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409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chr</t>
        </is>
      </c>
      <c r="B1" s="1" t="inlineStr">
        <is>
          <t>pos</t>
        </is>
      </c>
      <c r="C1" s="1" t="inlineStr">
        <is>
          <t>allele1</t>
        </is>
      </c>
      <c r="D1" s="1" t="inlineStr">
        <is>
          <t>allele2</t>
        </is>
      </c>
      <c r="E1" s="1" t="inlineStr">
        <is>
          <t>variant_id</t>
        </is>
      </c>
      <c r="F1" s="1" t="inlineStr">
        <is>
          <t>logfc.mean</t>
        </is>
      </c>
      <c r="G1" s="1" t="inlineStr">
        <is>
          <t>logfc.mean.pval</t>
        </is>
      </c>
      <c r="H1" s="1" t="inlineStr">
        <is>
          <t>jsd.mean</t>
        </is>
      </c>
      <c r="I1" s="1" t="inlineStr">
        <is>
          <t>jsd.mean.pval</t>
        </is>
      </c>
      <c r="J1" s="1" t="inlineStr">
        <is>
          <t>active_allele_quantile.mean</t>
        </is>
      </c>
      <c r="K1" s="1" t="inlineStr">
        <is>
          <t>active_allele_quantile.mean.pval</t>
        </is>
      </c>
      <c r="L1" s="1" t="inlineStr">
        <is>
          <t>sig.chrombpnet.relaxed</t>
        </is>
      </c>
      <c r="M1" s="1" t="inlineStr">
        <is>
          <t>sig.chrombpnet</t>
        </is>
      </c>
      <c r="N1" s="1" t="inlineStr">
        <is>
          <t>allele</t>
        </is>
      </c>
      <c r="O1" s="1" t="inlineStr">
        <is>
          <t>profile_shift</t>
        </is>
      </c>
      <c r="P1" s="1" t="inlineStr">
        <is>
          <t>profile_diff</t>
        </is>
      </c>
      <c r="Q1" s="1" t="inlineStr">
        <is>
          <t>count_shift</t>
        </is>
      </c>
      <c r="R1" s="1" t="inlineStr">
        <is>
          <t>count_diff</t>
        </is>
      </c>
      <c r="S1" s="1" t="inlineStr">
        <is>
          <t>count_shap_figure</t>
        </is>
      </c>
      <c r="T1" s="1" t="inlineStr">
        <is>
          <t>profile_shap_fiure</t>
        </is>
      </c>
    </row>
    <row r="2">
      <c r="A2" t="inlineStr">
        <is>
          <t>chr1</t>
        </is>
      </c>
      <c r="B2" t="n">
        <v>8319388</v>
      </c>
      <c r="C2" t="inlineStr">
        <is>
          <t>G</t>
        </is>
      </c>
      <c r="D2" t="inlineStr">
        <is>
          <t>A</t>
        </is>
      </c>
      <c r="E2" t="inlineStr">
        <is>
          <t>rs11121162</t>
        </is>
      </c>
      <c r="F2" t="n">
        <v>-0.146392898</v>
      </c>
      <c r="G2" t="n">
        <v>0.0118912502318294</v>
      </c>
      <c r="H2" t="n">
        <v>0.0125681483785277</v>
      </c>
      <c r="I2" t="n">
        <v>0.3832850398731517</v>
      </c>
      <c r="J2" t="n">
        <v>0.1542417959833301</v>
      </c>
      <c r="K2" t="n">
        <v>0.2727937702757099</v>
      </c>
      <c r="L2" t="b">
        <v>1</v>
      </c>
      <c r="M2" t="b">
        <v>0</v>
      </c>
      <c r="N2" t="inlineStr">
        <is>
          <t>ref</t>
        </is>
      </c>
      <c r="O2" t="n">
        <v>-100</v>
      </c>
      <c r="P2" t="n">
        <v>0.011284</v>
      </c>
      <c r="Q2" t="n">
        <v>-65</v>
      </c>
      <c r="R2" t="n">
        <v>0.0381</v>
      </c>
      <c r="S2">
        <f>IMAGE("https://mitra.stanford.edu/kundaje/oak/projects/neuro-variants/variant_position/credible/roussos_2024/variant_figures/roussos_2024.childhood.GABA/rs11121162_count_position.png",4,220,900)</f>
        <v/>
      </c>
      <c r="T2">
        <f>IMAGE("https://mitra.stanford.edu/kundaje/oak/projects/neuro-variants/variant_position/credible/roussos_2024/variant_figures/roussos_2024.childhood.GABA/rs11121162_profile_position.png",4,220,900)</f>
        <v/>
      </c>
    </row>
    <row r="3">
      <c r="A3" t="inlineStr">
        <is>
          <t>chr1</t>
        </is>
      </c>
      <c r="B3" t="n">
        <v>8320734</v>
      </c>
      <c r="C3" t="inlineStr">
        <is>
          <t>C</t>
        </is>
      </c>
      <c r="D3" t="inlineStr">
        <is>
          <t>T</t>
        </is>
      </c>
      <c r="E3" t="inlineStr">
        <is>
          <t>rs12408399</t>
        </is>
      </c>
      <c r="F3" t="n">
        <v>0.128385906</v>
      </c>
      <c r="G3" t="n">
        <v>0.0170683322580284</v>
      </c>
      <c r="H3" t="n">
        <v>0.0295739463063725</v>
      </c>
      <c r="I3" t="n">
        <v>0.0137787325248566</v>
      </c>
      <c r="J3" t="n">
        <v>0.1549307867898054</v>
      </c>
      <c r="K3" t="n">
        <v>0.2635867555754052</v>
      </c>
      <c r="L3" t="b">
        <v>1</v>
      </c>
      <c r="M3" t="b">
        <v>0</v>
      </c>
      <c r="N3" t="inlineStr">
        <is>
          <t>alt</t>
        </is>
      </c>
      <c r="O3" t="n">
        <v>15</v>
      </c>
      <c r="P3" t="n">
        <v>0.0004578</v>
      </c>
      <c r="Q3" t="n">
        <v>-50</v>
      </c>
      <c r="R3" t="n">
        <v>0.0421</v>
      </c>
      <c r="S3">
        <f>IMAGE("https://mitra.stanford.edu/kundaje/oak/projects/neuro-variants/variant_position/credible/roussos_2024/variant_figures/roussos_2024.childhood.GABA/rs12408399_count_position.png",4,220,900)</f>
        <v/>
      </c>
      <c r="T3">
        <f>IMAGE("https://mitra.stanford.edu/kundaje/oak/projects/neuro-variants/variant_position/credible/roussos_2024/variant_figures/roussos_2024.childhood.GABA/rs12408399_profile_position.png",4,220,900)</f>
        <v/>
      </c>
    </row>
    <row r="4">
      <c r="A4" t="inlineStr">
        <is>
          <t>chr1</t>
        </is>
      </c>
      <c r="B4" t="n">
        <v>8332335</v>
      </c>
      <c r="C4" t="inlineStr">
        <is>
          <t>G</t>
        </is>
      </c>
      <c r="D4" t="inlineStr">
        <is>
          <t>A</t>
        </is>
      </c>
      <c r="E4" t="inlineStr">
        <is>
          <t>rs11586622</t>
        </is>
      </c>
      <c r="F4" t="n">
        <v>-0.1766391159999999</v>
      </c>
      <c r="G4" t="n">
        <v>0.0064443045834422</v>
      </c>
      <c r="H4" t="n">
        <v>0.0240759444809819</v>
      </c>
      <c r="I4" t="n">
        <v>0.0373926457029715</v>
      </c>
      <c r="J4" t="n">
        <v>0.435486167828946</v>
      </c>
      <c r="K4" t="n">
        <v>0.0695255345576456</v>
      </c>
      <c r="L4" t="b">
        <v>1</v>
      </c>
      <c r="M4" t="b">
        <v>1</v>
      </c>
      <c r="N4" t="inlineStr">
        <is>
          <t>ref</t>
        </is>
      </c>
      <c r="O4" t="n">
        <v>80</v>
      </c>
      <c r="P4" t="n">
        <v>0.02441</v>
      </c>
      <c r="Q4" t="n">
        <v>-75</v>
      </c>
      <c r="R4" t="n">
        <v>0.03882</v>
      </c>
      <c r="S4">
        <f>IMAGE("https://mitra.stanford.edu/kundaje/oak/projects/neuro-variants/variant_position/credible/roussos_2024/variant_figures/roussos_2024.childhood.GABA/rs11586622_count_position.png",4,220,900)</f>
        <v/>
      </c>
      <c r="T4">
        <f>IMAGE("https://mitra.stanford.edu/kundaje/oak/projects/neuro-variants/variant_position/credible/roussos_2024/variant_figures/roussos_2024.childhood.GABA/rs11586622_profile_position.png",4,220,900)</f>
        <v/>
      </c>
    </row>
    <row r="5">
      <c r="A5" t="inlineStr">
        <is>
          <t>chr1</t>
        </is>
      </c>
      <c r="B5" t="n">
        <v>8332532</v>
      </c>
      <c r="C5" t="inlineStr">
        <is>
          <t>G</t>
        </is>
      </c>
      <c r="D5" t="inlineStr">
        <is>
          <t>A</t>
        </is>
      </c>
      <c r="E5" t="inlineStr">
        <is>
          <t>rs4908751</t>
        </is>
      </c>
      <c r="F5" t="n">
        <v>0.0039738628299999</v>
      </c>
      <c r="G5" t="n">
        <v>0.751313806972151</v>
      </c>
      <c r="H5" t="n">
        <v>0.0272210630357769</v>
      </c>
      <c r="I5" t="n">
        <v>0.0193646293851154</v>
      </c>
      <c r="J5" t="n">
        <v>0.4530397269167137</v>
      </c>
      <c r="K5" t="n">
        <v>0.0639018926666778</v>
      </c>
      <c r="L5" t="b">
        <v>1</v>
      </c>
      <c r="M5" t="b">
        <v>0</v>
      </c>
      <c r="N5" t="inlineStr">
        <is>
          <t>alt</t>
        </is>
      </c>
      <c r="O5" t="n">
        <v>70</v>
      </c>
      <c r="P5" t="n">
        <v>0.0126</v>
      </c>
      <c r="Q5" t="n">
        <v>-90</v>
      </c>
      <c r="R5" t="n">
        <v>0.41</v>
      </c>
      <c r="S5">
        <f>IMAGE("https://mitra.stanford.edu/kundaje/oak/projects/neuro-variants/variant_position/credible/roussos_2024/variant_figures/roussos_2024.childhood.GABA/rs4908751_count_position.png",4,220,900)</f>
        <v/>
      </c>
      <c r="T5">
        <f>IMAGE("https://mitra.stanford.edu/kundaje/oak/projects/neuro-variants/variant_position/credible/roussos_2024/variant_figures/roussos_2024.childhood.GABA/rs4908751_profile_position.png",4,220,900)</f>
        <v/>
      </c>
    </row>
    <row r="6">
      <c r="A6" t="inlineStr">
        <is>
          <t>chr1</t>
        </is>
      </c>
      <c r="B6" t="n">
        <v>8406670</v>
      </c>
      <c r="C6" t="inlineStr">
        <is>
          <t>T</t>
        </is>
      </c>
      <c r="D6" t="inlineStr">
        <is>
          <t>C</t>
        </is>
      </c>
      <c r="E6" t="inlineStr">
        <is>
          <t>rs301796</t>
        </is>
      </c>
      <c r="F6" t="n">
        <v>0.0151035824</v>
      </c>
      <c r="G6" t="n">
        <v>0.49710673028888</v>
      </c>
      <c r="H6" t="n">
        <v>0.0180844236034217</v>
      </c>
      <c r="I6" t="n">
        <v>0.1123254394914605</v>
      </c>
      <c r="J6" t="n">
        <v>0.0570731503005172</v>
      </c>
      <c r="K6" t="n">
        <v>0.4645177616264213</v>
      </c>
      <c r="L6" t="b">
        <v>0</v>
      </c>
      <c r="M6" t="b">
        <v>0</v>
      </c>
      <c r="N6" t="inlineStr">
        <is>
          <t>alt</t>
        </is>
      </c>
      <c r="O6" t="n">
        <v>-20</v>
      </c>
      <c r="P6" t="n">
        <v>0.001404</v>
      </c>
      <c r="Q6" t="n">
        <v>80</v>
      </c>
      <c r="R6" t="n">
        <v>0.1165</v>
      </c>
      <c r="S6">
        <f>IMAGE("https://mitra.stanford.edu/kundaje/oak/projects/neuro-variants/variant_position/credible/roussos_2024/variant_figures/roussos_2024.childhood.GABA/rs301796_count_position.png",4,220,900)</f>
        <v/>
      </c>
      <c r="T6">
        <f>IMAGE("https://mitra.stanford.edu/kundaje/oak/projects/neuro-variants/variant_position/credible/roussos_2024/variant_figures/roussos_2024.childhood.GABA/rs301796_profile_position.png",4,220,900)</f>
        <v/>
      </c>
    </row>
    <row r="7">
      <c r="A7" t="inlineStr">
        <is>
          <t>chr1</t>
        </is>
      </c>
      <c r="B7" t="n">
        <v>8409277</v>
      </c>
      <c r="C7" t="inlineStr">
        <is>
          <t>A</t>
        </is>
      </c>
      <c r="D7" t="inlineStr">
        <is>
          <t>G</t>
        </is>
      </c>
      <c r="E7" t="inlineStr">
        <is>
          <t>rs301789</t>
        </is>
      </c>
      <c r="F7" t="n">
        <v>0.0679160852</v>
      </c>
      <c r="G7" t="n">
        <v>0.0717473105403947</v>
      </c>
      <c r="H7" t="n">
        <v>0.0119683598040195</v>
      </c>
      <c r="I7" t="n">
        <v>0.4368337601609665</v>
      </c>
      <c r="J7" t="n">
        <v>0.5128667462461519</v>
      </c>
      <c r="K7" t="n">
        <v>0.0492013931503949</v>
      </c>
      <c r="L7" t="b">
        <v>0</v>
      </c>
      <c r="M7" t="b">
        <v>0</v>
      </c>
      <c r="N7" t="inlineStr">
        <is>
          <t>alt</t>
        </is>
      </c>
      <c r="O7" t="n">
        <v>-100</v>
      </c>
      <c r="P7" t="n">
        <v>0.01242</v>
      </c>
      <c r="Q7" t="n">
        <v>-25</v>
      </c>
      <c r="R7" t="n">
        <v>0.0891</v>
      </c>
      <c r="S7">
        <f>IMAGE("https://mitra.stanford.edu/kundaje/oak/projects/neuro-variants/variant_position/credible/roussos_2024/variant_figures/roussos_2024.childhood.GABA/rs301789_count_position.png",4,220,900)</f>
        <v/>
      </c>
      <c r="T7">
        <f>IMAGE("https://mitra.stanford.edu/kundaje/oak/projects/neuro-variants/variant_position/credible/roussos_2024/variant_figures/roussos_2024.childhood.GABA/rs301789_profile_position.png",4,220,900)</f>
        <v/>
      </c>
    </row>
    <row r="8">
      <c r="A8" t="inlineStr">
        <is>
          <t>chr1</t>
        </is>
      </c>
      <c r="B8" t="n">
        <v>8413271</v>
      </c>
      <c r="C8" t="inlineStr">
        <is>
          <t>G</t>
        </is>
      </c>
      <c r="D8" t="inlineStr">
        <is>
          <t>A</t>
        </is>
      </c>
      <c r="E8" t="inlineStr">
        <is>
          <t>rs1763838</t>
        </is>
      </c>
      <c r="F8" t="n">
        <v>-0.007852241039999999</v>
      </c>
      <c r="G8" t="n">
        <v>0.6894218288515199</v>
      </c>
      <c r="H8" t="n">
        <v>0.0117761763890812</v>
      </c>
      <c r="I8" t="n">
        <v>0.4570293030855903</v>
      </c>
      <c r="J8" t="n">
        <v>0.0461592427383719</v>
      </c>
      <c r="K8" t="n">
        <v>0.5169307002575334</v>
      </c>
      <c r="L8" t="b">
        <v>0</v>
      </c>
      <c r="M8" t="b">
        <v>0</v>
      </c>
      <c r="N8" t="inlineStr">
        <is>
          <t>ref</t>
        </is>
      </c>
      <c r="O8" t="n">
        <v>25</v>
      </c>
      <c r="P8" t="n">
        <v>0.001312</v>
      </c>
      <c r="Q8" t="n">
        <v>-100</v>
      </c>
      <c r="R8" t="n">
        <v>0.0324</v>
      </c>
      <c r="S8">
        <f>IMAGE("https://mitra.stanford.edu/kundaje/oak/projects/neuro-variants/variant_position/credible/roussos_2024/variant_figures/roussos_2024.childhood.GABA/rs1763838_count_position.png",4,220,900)</f>
        <v/>
      </c>
      <c r="T8">
        <f>IMAGE("https://mitra.stanford.edu/kundaje/oak/projects/neuro-variants/variant_position/credible/roussos_2024/variant_figures/roussos_2024.childhood.GABA/rs1763838_profile_position.png",4,220,900)</f>
        <v/>
      </c>
    </row>
    <row r="9">
      <c r="A9" t="inlineStr">
        <is>
          <t>chr1</t>
        </is>
      </c>
      <c r="B9" t="n">
        <v>8430260</v>
      </c>
      <c r="C9" t="inlineStr">
        <is>
          <t>T</t>
        </is>
      </c>
      <c r="D9" t="inlineStr">
        <is>
          <t>G</t>
        </is>
      </c>
      <c r="E9" t="inlineStr">
        <is>
          <t>rs302719</t>
        </is>
      </c>
      <c r="F9" t="n">
        <v>0.0019042946799999</v>
      </c>
      <c r="G9" t="n">
        <v>0.5480553697302056</v>
      </c>
      <c r="H9" t="n">
        <v>0.025973428205562</v>
      </c>
      <c r="I9" t="n">
        <v>0.0242915086331285</v>
      </c>
      <c r="J9" t="n">
        <v>0.0595547737220162</v>
      </c>
      <c r="K9" t="n">
        <v>0.4624631313818171</v>
      </c>
      <c r="L9" t="b">
        <v>0</v>
      </c>
      <c r="M9" t="b">
        <v>0</v>
      </c>
      <c r="N9" t="inlineStr">
        <is>
          <t>alt</t>
        </is>
      </c>
      <c r="O9" t="n">
        <v>95</v>
      </c>
      <c r="P9" t="n">
        <v>0.00444</v>
      </c>
      <c r="Q9" t="n">
        <v>-10</v>
      </c>
      <c r="R9" t="n">
        <v>0.013504</v>
      </c>
      <c r="S9">
        <f>IMAGE("https://mitra.stanford.edu/kundaje/oak/projects/neuro-variants/variant_position/credible/roussos_2024/variant_figures/roussos_2024.childhood.GABA/rs302719_count_position.png",4,220,900)</f>
        <v/>
      </c>
      <c r="T9">
        <f>IMAGE("https://mitra.stanford.edu/kundaje/oak/projects/neuro-variants/variant_position/credible/roussos_2024/variant_figures/roussos_2024.childhood.GABA/rs302719_profile_position.png",4,220,900)</f>
        <v/>
      </c>
    </row>
    <row r="10">
      <c r="A10" t="inlineStr">
        <is>
          <t>chr1</t>
        </is>
      </c>
      <c r="B10" t="n">
        <v>8435530</v>
      </c>
      <c r="C10" t="inlineStr">
        <is>
          <t>A</t>
        </is>
      </c>
      <c r="D10" t="inlineStr">
        <is>
          <t>G</t>
        </is>
      </c>
      <c r="E10" t="inlineStr">
        <is>
          <t>rs172531</t>
        </is>
      </c>
      <c r="F10" t="n">
        <v>-0.025469938</v>
      </c>
      <c r="G10" t="n">
        <v>0.3567833869857715</v>
      </c>
      <c r="H10" t="n">
        <v>0.0142814171186573</v>
      </c>
      <c r="I10" t="n">
        <v>0.2524203234037833</v>
      </c>
      <c r="J10" t="n">
        <v>0.0479162740047328</v>
      </c>
      <c r="K10" t="n">
        <v>0.5007983747574349</v>
      </c>
      <c r="L10" t="b">
        <v>0</v>
      </c>
      <c r="M10" t="b">
        <v>0</v>
      </c>
      <c r="N10" t="inlineStr">
        <is>
          <t>ref</t>
        </is>
      </c>
      <c r="O10" t="n">
        <v>30</v>
      </c>
      <c r="P10" t="n">
        <v>0.00576</v>
      </c>
      <c r="Q10" t="n">
        <v>-50</v>
      </c>
      <c r="R10" t="n">
        <v>0.02686</v>
      </c>
      <c r="S10">
        <f>IMAGE("https://mitra.stanford.edu/kundaje/oak/projects/neuro-variants/variant_position/credible/roussos_2024/variant_figures/roussos_2024.childhood.GABA/rs172531_count_position.png",4,220,900)</f>
        <v/>
      </c>
      <c r="T10">
        <f>IMAGE("https://mitra.stanford.edu/kundaje/oak/projects/neuro-variants/variant_position/credible/roussos_2024/variant_figures/roussos_2024.childhood.GABA/rs172531_profile_position.png",4,220,900)</f>
        <v/>
      </c>
    </row>
    <row r="11">
      <c r="A11" t="inlineStr">
        <is>
          <t>chr1</t>
        </is>
      </c>
      <c r="B11" t="n">
        <v>8443182</v>
      </c>
      <c r="C11" t="inlineStr">
        <is>
          <t>G</t>
        </is>
      </c>
      <c r="D11" t="inlineStr">
        <is>
          <t>A</t>
        </is>
      </c>
      <c r="E11" t="inlineStr">
        <is>
          <t>rs301818</t>
        </is>
      </c>
      <c r="F11" t="n">
        <v>0.05729201394</v>
      </c>
      <c r="G11" t="n">
        <v>0.1304051878381304</v>
      </c>
      <c r="H11" t="n">
        <v>0.0135798753354227</v>
      </c>
      <c r="I11" t="n">
        <v>0.3087046354824604</v>
      </c>
      <c r="J11" t="n">
        <v>0.0952587380368997</v>
      </c>
      <c r="K11" t="n">
        <v>0.3889167772979485</v>
      </c>
      <c r="L11" t="b">
        <v>0</v>
      </c>
      <c r="M11" t="b">
        <v>0</v>
      </c>
      <c r="N11" t="inlineStr">
        <is>
          <t>alt</t>
        </is>
      </c>
      <c r="O11" t="n">
        <v>-100</v>
      </c>
      <c r="P11" t="n">
        <v>0.00769</v>
      </c>
      <c r="Q11" t="n">
        <v>50</v>
      </c>
      <c r="R11" t="n">
        <v>0.04584</v>
      </c>
      <c r="S11">
        <f>IMAGE("https://mitra.stanford.edu/kundaje/oak/projects/neuro-variants/variant_position/credible/roussos_2024/variant_figures/roussos_2024.childhood.GABA/rs301818_count_position.png",4,220,900)</f>
        <v/>
      </c>
      <c r="T11">
        <f>IMAGE("https://mitra.stanford.edu/kundaje/oak/projects/neuro-variants/variant_position/credible/roussos_2024/variant_figures/roussos_2024.childhood.GABA/rs301818_profile_position.png",4,220,900)</f>
        <v/>
      </c>
    </row>
    <row r="12">
      <c r="A12" t="inlineStr">
        <is>
          <t>chr1</t>
        </is>
      </c>
      <c r="B12" t="n">
        <v>28647287</v>
      </c>
      <c r="C12" t="inlineStr">
        <is>
          <t>G</t>
        </is>
      </c>
      <c r="D12" t="inlineStr">
        <is>
          <t>T</t>
        </is>
      </c>
      <c r="E12" t="inlineStr">
        <is>
          <t>rs7368197</t>
        </is>
      </c>
      <c r="F12" t="n">
        <v>0.00280888828</v>
      </c>
      <c r="G12" t="n">
        <v>0.8552824749391641</v>
      </c>
      <c r="H12" t="n">
        <v>0.0356263697481998</v>
      </c>
      <c r="I12" t="n">
        <v>0.0059184832407486</v>
      </c>
      <c r="J12" t="n">
        <v>0.0448273334589851</v>
      </c>
      <c r="K12" t="n">
        <v>0.5301560334749571</v>
      </c>
      <c r="L12" t="b">
        <v>1</v>
      </c>
      <c r="M12" t="b">
        <v>0</v>
      </c>
      <c r="N12" t="inlineStr">
        <is>
          <t>alt</t>
        </is>
      </c>
      <c r="O12" t="n">
        <v>5</v>
      </c>
      <c r="P12" t="n">
        <v>1.526e-05</v>
      </c>
      <c r="Q12" t="n">
        <v>25</v>
      </c>
      <c r="R12" t="n">
        <v>0.0083</v>
      </c>
      <c r="S12">
        <f>IMAGE("https://mitra.stanford.edu/kundaje/oak/projects/neuro-variants/variant_position/credible/roussos_2024/variant_figures/roussos_2024.childhood.GABA/rs7368197_count_position.png",4,220,900)</f>
        <v/>
      </c>
      <c r="T12">
        <f>IMAGE("https://mitra.stanford.edu/kundaje/oak/projects/neuro-variants/variant_position/credible/roussos_2024/variant_figures/roussos_2024.childhood.GABA/rs7368197_profile_position.png",4,220,900)</f>
        <v/>
      </c>
    </row>
    <row r="13">
      <c r="A13" t="inlineStr">
        <is>
          <t>chr1</t>
        </is>
      </c>
      <c r="B13" t="n">
        <v>28688564</v>
      </c>
      <c r="C13" t="inlineStr">
        <is>
          <t>C</t>
        </is>
      </c>
      <c r="D13" t="inlineStr">
        <is>
          <t>A</t>
        </is>
      </c>
      <c r="E13" t="inlineStr">
        <is>
          <t>rs61786043</t>
        </is>
      </c>
      <c r="F13" t="n">
        <v>-0.1245321705799999</v>
      </c>
      <c r="G13" t="n">
        <v>0.0359606605450908</v>
      </c>
      <c r="H13" t="n">
        <v>0.0234851834233638</v>
      </c>
      <c r="I13" t="n">
        <v>0.0479619351866379</v>
      </c>
      <c r="J13" t="n">
        <v>0.10049946597977</v>
      </c>
      <c r="K13" t="n">
        <v>0.3580323557836184</v>
      </c>
      <c r="L13" t="b">
        <v>0</v>
      </c>
      <c r="M13" t="b">
        <v>0</v>
      </c>
      <c r="N13" t="inlineStr">
        <is>
          <t>ref</t>
        </is>
      </c>
      <c r="O13" t="n">
        <v>-15</v>
      </c>
      <c r="P13" t="n">
        <v>0.000286</v>
      </c>
      <c r="Q13" t="n">
        <v>100</v>
      </c>
      <c r="R13" t="n">
        <v>0.07733</v>
      </c>
      <c r="S13">
        <f>IMAGE("https://mitra.stanford.edu/kundaje/oak/projects/neuro-variants/variant_position/credible/roussos_2024/variant_figures/roussos_2024.childhood.GABA/rs61786043_count_position.png",4,220,900)</f>
        <v/>
      </c>
      <c r="T13">
        <f>IMAGE("https://mitra.stanford.edu/kundaje/oak/projects/neuro-variants/variant_position/credible/roussos_2024/variant_figures/roussos_2024.childhood.GABA/rs61786043_profile_position.png",4,220,900)</f>
        <v/>
      </c>
    </row>
    <row r="14">
      <c r="A14" t="inlineStr">
        <is>
          <t>chr1</t>
        </is>
      </c>
      <c r="B14" t="n">
        <v>28725056</v>
      </c>
      <c r="C14" t="inlineStr">
        <is>
          <t>G</t>
        </is>
      </c>
      <c r="D14" t="inlineStr">
        <is>
          <t>A</t>
        </is>
      </c>
      <c r="E14" t="inlineStr">
        <is>
          <t>rs61787564</t>
        </is>
      </c>
      <c r="F14" t="n">
        <v>-0.07795954099999999</v>
      </c>
      <c r="G14" t="n">
        <v>0.0565592291132414</v>
      </c>
      <c r="H14" t="n">
        <v>0.0127319980875922</v>
      </c>
      <c r="I14" t="n">
        <v>0.3660142265318442</v>
      </c>
      <c r="J14" t="n">
        <v>0.0142960356851165</v>
      </c>
      <c r="K14" t="n">
        <v>0.7061931447805626</v>
      </c>
      <c r="L14" t="b">
        <v>0</v>
      </c>
      <c r="M14" t="b">
        <v>0</v>
      </c>
      <c r="N14" t="inlineStr">
        <is>
          <t>ref</t>
        </is>
      </c>
      <c r="O14" t="n">
        <v>85</v>
      </c>
      <c r="P14" t="n">
        <v>0.0181</v>
      </c>
      <c r="Q14" t="n">
        <v>-100</v>
      </c>
      <c r="R14" t="n">
        <v>0.06660000000000001</v>
      </c>
      <c r="S14">
        <f>IMAGE("https://mitra.stanford.edu/kundaje/oak/projects/neuro-variants/variant_position/credible/roussos_2024/variant_figures/roussos_2024.childhood.GABA/rs61787564_count_position.png",4,220,900)</f>
        <v/>
      </c>
      <c r="T14">
        <f>IMAGE("https://mitra.stanford.edu/kundaje/oak/projects/neuro-variants/variant_position/credible/roussos_2024/variant_figures/roussos_2024.childhood.GABA/rs61787564_profile_position.png",4,220,900)</f>
        <v/>
      </c>
    </row>
    <row r="15">
      <c r="A15" t="inlineStr">
        <is>
          <t>chr1</t>
        </is>
      </c>
      <c r="B15" t="n">
        <v>28727199</v>
      </c>
      <c r="C15" t="inlineStr">
        <is>
          <t>T</t>
        </is>
      </c>
      <c r="D15" t="inlineStr">
        <is>
          <t>G</t>
        </is>
      </c>
      <c r="E15" t="inlineStr">
        <is>
          <t>rs61787565</t>
        </is>
      </c>
      <c r="F15" t="n">
        <v>-0.0044395987712</v>
      </c>
      <c r="G15" t="n">
        <v>0.7125558655837061</v>
      </c>
      <c r="H15" t="n">
        <v>0.0347938346125894</v>
      </c>
      <c r="I15" t="n">
        <v>0.0065980903641477</v>
      </c>
      <c r="J15" t="n">
        <v>0.0117170321040396</v>
      </c>
      <c r="K15" t="n">
        <v>0.724595708633559</v>
      </c>
      <c r="L15" t="b">
        <v>1</v>
      </c>
      <c r="M15" t="b">
        <v>0</v>
      </c>
      <c r="N15" t="inlineStr">
        <is>
          <t>ref</t>
        </is>
      </c>
      <c r="O15" t="n">
        <v>15</v>
      </c>
      <c r="P15" t="n">
        <v>0.0009155</v>
      </c>
      <c r="Q15" t="n">
        <v>-90</v>
      </c>
      <c r="R15" t="n">
        <v>0.0708</v>
      </c>
      <c r="S15">
        <f>IMAGE("https://mitra.stanford.edu/kundaje/oak/projects/neuro-variants/variant_position/credible/roussos_2024/variant_figures/roussos_2024.childhood.GABA/rs61787565_count_position.png",4,220,900)</f>
        <v/>
      </c>
      <c r="T15">
        <f>IMAGE("https://mitra.stanford.edu/kundaje/oak/projects/neuro-variants/variant_position/credible/roussos_2024/variant_figures/roussos_2024.childhood.GABA/rs61787565_profile_position.png",4,220,900)</f>
        <v/>
      </c>
    </row>
    <row r="16">
      <c r="A16" t="inlineStr">
        <is>
          <t>chr1</t>
        </is>
      </c>
      <c r="B16" t="n">
        <v>28786062</v>
      </c>
      <c r="C16" t="inlineStr">
        <is>
          <t>T</t>
        </is>
      </c>
      <c r="D16" t="inlineStr">
        <is>
          <t>G</t>
        </is>
      </c>
      <c r="E16" t="inlineStr">
        <is>
          <t>rs113507743</t>
        </is>
      </c>
      <c r="F16" t="n">
        <v>-0.003998929694</v>
      </c>
      <c r="G16" t="n">
        <v>0.8030543541791079</v>
      </c>
      <c r="H16" t="n">
        <v>0.0341448049708711</v>
      </c>
      <c r="I16" t="n">
        <v>0.0075236773956537</v>
      </c>
      <c r="J16" t="n">
        <v>0.1185734330171095</v>
      </c>
      <c r="K16" t="n">
        <v>0.33403276261227</v>
      </c>
      <c r="L16" t="b">
        <v>1</v>
      </c>
      <c r="M16" t="b">
        <v>1</v>
      </c>
      <c r="N16" t="inlineStr">
        <is>
          <t>ref</t>
        </is>
      </c>
      <c r="O16" t="n">
        <v>95</v>
      </c>
      <c r="P16" t="n">
        <v>0.00446</v>
      </c>
      <c r="Q16" t="n">
        <v>70</v>
      </c>
      <c r="R16" t="n">
        <v>0.01282</v>
      </c>
      <c r="S16">
        <f>IMAGE("https://mitra.stanford.edu/kundaje/oak/projects/neuro-variants/variant_position/credible/roussos_2024/variant_figures/roussos_2024.childhood.GABA/rs113507743_count_position.png",4,220,900)</f>
        <v/>
      </c>
      <c r="T16">
        <f>IMAGE("https://mitra.stanford.edu/kundaje/oak/projects/neuro-variants/variant_position/credible/roussos_2024/variant_figures/roussos_2024.childhood.GABA/rs113507743_profile_position.png",4,220,900)</f>
        <v/>
      </c>
    </row>
    <row r="17">
      <c r="A17" t="inlineStr">
        <is>
          <t>chr1</t>
        </is>
      </c>
      <c r="B17" t="n">
        <v>28790639</v>
      </c>
      <c r="C17" t="inlineStr">
        <is>
          <t>A</t>
        </is>
      </c>
      <c r="D17" t="inlineStr">
        <is>
          <t>T</t>
        </is>
      </c>
      <c r="E17" t="inlineStr">
        <is>
          <t>rs61787581</t>
        </is>
      </c>
      <c r="F17" t="n">
        <v>-0.03157430262</v>
      </c>
      <c r="G17" t="n">
        <v>0.317855031536737</v>
      </c>
      <c r="H17" t="n">
        <v>0.0134120202233696</v>
      </c>
      <c r="I17" t="n">
        <v>0.2972927595840378</v>
      </c>
      <c r="J17" t="n">
        <v>0.2322736696613683</v>
      </c>
      <c r="K17" t="n">
        <v>0.1894130346059149</v>
      </c>
      <c r="L17" t="b">
        <v>0</v>
      </c>
      <c r="M17" t="b">
        <v>0</v>
      </c>
      <c r="N17" t="inlineStr">
        <is>
          <t>ref</t>
        </is>
      </c>
      <c r="O17" t="n">
        <v>-45</v>
      </c>
      <c r="P17" t="n">
        <v>0.002308</v>
      </c>
      <c r="Q17" t="n">
        <v>100</v>
      </c>
      <c r="R17" t="n">
        <v>0.12384</v>
      </c>
      <c r="S17">
        <f>IMAGE("https://mitra.stanford.edu/kundaje/oak/projects/neuro-variants/variant_position/credible/roussos_2024/variant_figures/roussos_2024.childhood.GABA/rs61787581_count_position.png",4,220,900)</f>
        <v/>
      </c>
      <c r="T17">
        <f>IMAGE("https://mitra.stanford.edu/kundaje/oak/projects/neuro-variants/variant_position/credible/roussos_2024/variant_figures/roussos_2024.childhood.GABA/rs61787581_profile_position.png",4,220,900)</f>
        <v/>
      </c>
    </row>
    <row r="18">
      <c r="A18" t="inlineStr">
        <is>
          <t>chr1</t>
        </is>
      </c>
      <c r="B18" t="n">
        <v>28810174</v>
      </c>
      <c r="C18" t="inlineStr">
        <is>
          <t>A</t>
        </is>
      </c>
      <c r="D18" t="inlineStr">
        <is>
          <t>G</t>
        </is>
      </c>
      <c r="E18" t="inlineStr">
        <is>
          <t>rs569356</t>
        </is>
      </c>
      <c r="F18" t="n">
        <v>0.0183393836</v>
      </c>
      <c r="G18" t="n">
        <v>0.4367499635086165</v>
      </c>
      <c r="H18" t="n">
        <v>0.0147212095324665</v>
      </c>
      <c r="I18" t="n">
        <v>0.2389917530215186</v>
      </c>
      <c r="J18" t="n">
        <v>0.0325218320035182</v>
      </c>
      <c r="K18" t="n">
        <v>0.5807184788883918</v>
      </c>
      <c r="L18" t="b">
        <v>0</v>
      </c>
      <c r="M18" t="b">
        <v>0</v>
      </c>
      <c r="N18" t="inlineStr">
        <is>
          <t>alt</t>
        </is>
      </c>
      <c r="O18" t="n">
        <v>-60</v>
      </c>
      <c r="P18" t="n">
        <v>0.003471</v>
      </c>
      <c r="Q18" t="n">
        <v>100</v>
      </c>
      <c r="R18" t="n">
        <v>0.1504</v>
      </c>
      <c r="S18">
        <f>IMAGE("https://mitra.stanford.edu/kundaje/oak/projects/neuro-variants/variant_position/credible/roussos_2024/variant_figures/roussos_2024.childhood.GABA/rs569356_count_position.png",4,220,900)</f>
        <v/>
      </c>
      <c r="T18">
        <f>IMAGE("https://mitra.stanford.edu/kundaje/oak/projects/neuro-variants/variant_position/credible/roussos_2024/variant_figures/roussos_2024.childhood.GABA/rs569356_profile_position.png",4,220,900)</f>
        <v/>
      </c>
    </row>
    <row r="19">
      <c r="A19" t="inlineStr">
        <is>
          <t>chr1</t>
        </is>
      </c>
      <c r="B19" t="n">
        <v>28814643</v>
      </c>
      <c r="C19" t="inlineStr">
        <is>
          <t>G</t>
        </is>
      </c>
      <c r="D19" t="inlineStr">
        <is>
          <t>A</t>
        </is>
      </c>
      <c r="E19" t="inlineStr">
        <is>
          <t>rs533123</t>
        </is>
      </c>
      <c r="F19" t="n">
        <v>-0.0363171156</v>
      </c>
      <c r="G19" t="n">
        <v>0.2469540186738869</v>
      </c>
      <c r="H19" t="n">
        <v>0.0121095721304902</v>
      </c>
      <c r="I19" t="n">
        <v>0.4308701613046881</v>
      </c>
      <c r="J19" t="n">
        <v>0.5423153441812737</v>
      </c>
      <c r="K19" t="n">
        <v>0.0407342853518135</v>
      </c>
      <c r="L19" t="b">
        <v>0</v>
      </c>
      <c r="M19" t="b">
        <v>0</v>
      </c>
      <c r="N19" t="inlineStr">
        <is>
          <t>ref</t>
        </is>
      </c>
      <c r="O19" t="n">
        <v>95</v>
      </c>
      <c r="P19" t="n">
        <v>0.003746</v>
      </c>
      <c r="Q19" t="n">
        <v>45</v>
      </c>
      <c r="R19" t="n">
        <v>0.02814</v>
      </c>
      <c r="S19">
        <f>IMAGE("https://mitra.stanford.edu/kundaje/oak/projects/neuro-variants/variant_position/credible/roussos_2024/variant_figures/roussos_2024.childhood.GABA/rs533123_count_position.png",4,220,900)</f>
        <v/>
      </c>
      <c r="T19">
        <f>IMAGE("https://mitra.stanford.edu/kundaje/oak/projects/neuro-variants/variant_position/credible/roussos_2024/variant_figures/roussos_2024.childhood.GABA/rs533123_profile_position.png",4,220,900)</f>
        <v/>
      </c>
    </row>
    <row r="20">
      <c r="A20" t="inlineStr">
        <is>
          <t>chr1</t>
        </is>
      </c>
      <c r="B20" t="n">
        <v>28824876</v>
      </c>
      <c r="C20" t="inlineStr">
        <is>
          <t>T</t>
        </is>
      </c>
      <c r="D20" t="inlineStr">
        <is>
          <t>C</t>
        </is>
      </c>
      <c r="E20" t="inlineStr">
        <is>
          <t>rs369247</t>
        </is>
      </c>
      <c r="F20" t="n">
        <v>0.0405165757999999</v>
      </c>
      <c r="G20" t="n">
        <v>0.1940779424261031</v>
      </c>
      <c r="H20" t="n">
        <v>0.0104300822183947</v>
      </c>
      <c r="I20" t="n">
        <v>0.5754088393243472</v>
      </c>
      <c r="J20" t="n">
        <v>0.156784151117254</v>
      </c>
      <c r="K20" t="n">
        <v>0.2698258904792763</v>
      </c>
      <c r="L20" t="b">
        <v>0</v>
      </c>
      <c r="M20" t="b">
        <v>0</v>
      </c>
      <c r="N20" t="inlineStr">
        <is>
          <t>alt</t>
        </is>
      </c>
      <c r="O20" t="n">
        <v>100</v>
      </c>
      <c r="P20" t="n">
        <v>0.02615</v>
      </c>
      <c r="Q20" t="n">
        <v>10</v>
      </c>
      <c r="R20" t="n">
        <v>0.008240000000000001</v>
      </c>
      <c r="S20">
        <f>IMAGE("https://mitra.stanford.edu/kundaje/oak/projects/neuro-variants/variant_position/credible/roussos_2024/variant_figures/roussos_2024.childhood.GABA/rs369247_count_position.png",4,220,900)</f>
        <v/>
      </c>
      <c r="T20">
        <f>IMAGE("https://mitra.stanford.edu/kundaje/oak/projects/neuro-variants/variant_position/credible/roussos_2024/variant_figures/roussos_2024.childhood.GABA/rs369247_profile_position.png",4,220,900)</f>
        <v/>
      </c>
    </row>
    <row r="21">
      <c r="A21" t="inlineStr">
        <is>
          <t>chr1</t>
        </is>
      </c>
      <c r="B21" t="n">
        <v>28828321</v>
      </c>
      <c r="C21" t="inlineStr">
        <is>
          <t>T</t>
        </is>
      </c>
      <c r="D21" t="inlineStr">
        <is>
          <t>G</t>
        </is>
      </c>
      <c r="E21" t="inlineStr">
        <is>
          <t>rs4654375</t>
        </is>
      </c>
      <c r="F21" t="n">
        <v>0.0398150318</v>
      </c>
      <c r="G21" t="n">
        <v>0.2113019468008285</v>
      </c>
      <c r="H21" t="n">
        <v>0.0175965469075767</v>
      </c>
      <c r="I21" t="n">
        <v>0.1252874325047235</v>
      </c>
      <c r="J21" t="n">
        <v>0.3340055705639672</v>
      </c>
      <c r="K21" t="n">
        <v>0.1157727372811737</v>
      </c>
      <c r="L21" t="b">
        <v>0</v>
      </c>
      <c r="M21" t="b">
        <v>0</v>
      </c>
      <c r="N21" t="inlineStr">
        <is>
          <t>alt</t>
        </is>
      </c>
      <c r="O21" t="n">
        <v>85</v>
      </c>
      <c r="P21" t="n">
        <v>0.007385</v>
      </c>
      <c r="Q21" t="n">
        <v>100</v>
      </c>
      <c r="R21" t="n">
        <v>0.2322</v>
      </c>
      <c r="S21">
        <f>IMAGE("https://mitra.stanford.edu/kundaje/oak/projects/neuro-variants/variant_position/credible/roussos_2024/variant_figures/roussos_2024.childhood.GABA/rs4654375_count_position.png",4,220,900)</f>
        <v/>
      </c>
      <c r="T21">
        <f>IMAGE("https://mitra.stanford.edu/kundaje/oak/projects/neuro-variants/variant_position/credible/roussos_2024/variant_figures/roussos_2024.childhood.GABA/rs4654375_profile_position.png",4,220,900)</f>
        <v/>
      </c>
    </row>
    <row r="22">
      <c r="A22" t="inlineStr">
        <is>
          <t>chr1</t>
        </is>
      </c>
      <c r="B22" t="n">
        <v>28833590</v>
      </c>
      <c r="C22" t="inlineStr">
        <is>
          <t>A</t>
        </is>
      </c>
      <c r="D22" t="inlineStr">
        <is>
          <t>G</t>
        </is>
      </c>
      <c r="E22" t="inlineStr">
        <is>
          <t>rs2236859</t>
        </is>
      </c>
      <c r="F22" t="n">
        <v>0.08400419699999991</v>
      </c>
      <c r="G22" t="n">
        <v>0.0456280460527889</v>
      </c>
      <c r="H22" t="n">
        <v>0.020372448052381</v>
      </c>
      <c r="I22" t="n">
        <v>0.0720934142466545</v>
      </c>
      <c r="J22" t="n">
        <v>0.1264633201398923</v>
      </c>
      <c r="K22" t="n">
        <v>0.315609004888878</v>
      </c>
      <c r="L22" t="b">
        <v>0</v>
      </c>
      <c r="M22" t="b">
        <v>0</v>
      </c>
      <c r="N22" t="inlineStr">
        <is>
          <t>alt</t>
        </is>
      </c>
      <c r="O22" t="n">
        <v>30</v>
      </c>
      <c r="P22" t="n">
        <v>0.00206</v>
      </c>
      <c r="Q22" t="n">
        <v>100</v>
      </c>
      <c r="R22" t="n">
        <v>0.0827</v>
      </c>
      <c r="S22">
        <f>IMAGE("https://mitra.stanford.edu/kundaje/oak/projects/neuro-variants/variant_position/credible/roussos_2024/variant_figures/roussos_2024.childhood.GABA/rs2236859_count_position.png",4,220,900)</f>
        <v/>
      </c>
      <c r="T22">
        <f>IMAGE("https://mitra.stanford.edu/kundaje/oak/projects/neuro-variants/variant_position/credible/roussos_2024/variant_figures/roussos_2024.childhood.GABA/rs2236859_profile_position.png",4,220,900)</f>
        <v/>
      </c>
    </row>
    <row r="23">
      <c r="A23" t="inlineStr">
        <is>
          <t>chr1</t>
        </is>
      </c>
      <c r="B23" t="n">
        <v>28835487</v>
      </c>
      <c r="C23" t="inlineStr">
        <is>
          <t>C</t>
        </is>
      </c>
      <c r="D23" t="inlineStr">
        <is>
          <t>A</t>
        </is>
      </c>
      <c r="E23" t="inlineStr">
        <is>
          <t>rs2236855</t>
        </is>
      </c>
      <c r="F23" t="n">
        <v>-0.147946188</v>
      </c>
      <c r="G23" t="n">
        <v>0.0125276363731917</v>
      </c>
      <c r="H23" t="n">
        <v>0.0245058697273779</v>
      </c>
      <c r="I23" t="n">
        <v>0.0318141710100715</v>
      </c>
      <c r="J23" t="n">
        <v>0.2867395447215765</v>
      </c>
      <c r="K23" t="n">
        <v>0.1449922995430538</v>
      </c>
      <c r="L23" t="b">
        <v>1</v>
      </c>
      <c r="M23" t="b">
        <v>0</v>
      </c>
      <c r="N23" t="inlineStr">
        <is>
          <t>ref</t>
        </is>
      </c>
      <c r="O23" t="n">
        <v>70</v>
      </c>
      <c r="P23" t="n">
        <v>0.00763</v>
      </c>
      <c r="Q23" t="n">
        <v>70</v>
      </c>
      <c r="R23" t="n">
        <v>0.07199999999999999</v>
      </c>
      <c r="S23">
        <f>IMAGE("https://mitra.stanford.edu/kundaje/oak/projects/neuro-variants/variant_position/credible/roussos_2024/variant_figures/roussos_2024.childhood.GABA/rs2236855_count_position.png",4,220,900)</f>
        <v/>
      </c>
      <c r="T23">
        <f>IMAGE("https://mitra.stanford.edu/kundaje/oak/projects/neuro-variants/variant_position/credible/roussos_2024/variant_figures/roussos_2024.childhood.GABA/rs2236855_profile_position.png",4,220,900)</f>
        <v/>
      </c>
    </row>
    <row r="24">
      <c r="A24" t="inlineStr">
        <is>
          <t>chr1</t>
        </is>
      </c>
      <c r="B24" t="n">
        <v>28836056</v>
      </c>
      <c r="C24" t="inlineStr">
        <is>
          <t>A</t>
        </is>
      </c>
      <c r="D24" t="inlineStr">
        <is>
          <t>G</t>
        </is>
      </c>
      <c r="E24" t="inlineStr">
        <is>
          <t>rs760588</t>
        </is>
      </c>
      <c r="F24" t="n">
        <v>0.0280040291999999</v>
      </c>
      <c r="G24" t="n">
        <v>0.3062117757231214</v>
      </c>
      <c r="H24" t="n">
        <v>0.0082108655149318</v>
      </c>
      <c r="I24" t="n">
        <v>0.8146190536961548</v>
      </c>
      <c r="J24" t="n">
        <v>0.2454555925530355</v>
      </c>
      <c r="K24" t="n">
        <v>0.1765811075975986</v>
      </c>
      <c r="L24" t="b">
        <v>0</v>
      </c>
      <c r="M24" t="b">
        <v>0</v>
      </c>
      <c r="N24" t="inlineStr">
        <is>
          <t>alt</t>
        </is>
      </c>
      <c r="O24" t="n">
        <v>-100</v>
      </c>
      <c r="P24" t="n">
        <v>0.005424</v>
      </c>
      <c r="Q24" t="n">
        <v>10</v>
      </c>
      <c r="R24" t="n">
        <v>0.006958</v>
      </c>
      <c r="S24">
        <f>IMAGE("https://mitra.stanford.edu/kundaje/oak/projects/neuro-variants/variant_position/credible/roussos_2024/variant_figures/roussos_2024.childhood.GABA/rs760588_count_position.png",4,220,900)</f>
        <v/>
      </c>
      <c r="T24">
        <f>IMAGE("https://mitra.stanford.edu/kundaje/oak/projects/neuro-variants/variant_position/credible/roussos_2024/variant_figures/roussos_2024.childhood.GABA/rs760588_profile_position.png",4,220,900)</f>
        <v/>
      </c>
    </row>
    <row r="25">
      <c r="A25" t="inlineStr">
        <is>
          <t>chr1</t>
        </is>
      </c>
      <c r="B25" t="n">
        <v>28841542</v>
      </c>
      <c r="C25" t="inlineStr">
        <is>
          <t>C</t>
        </is>
      </c>
      <c r="D25" t="inlineStr">
        <is>
          <t>T</t>
        </is>
      </c>
      <c r="E25" t="inlineStr">
        <is>
          <t>rs4233254</t>
        </is>
      </c>
      <c r="F25" t="n">
        <v>-0.03057676</v>
      </c>
      <c r="G25" t="n">
        <v>0.2948445730023947</v>
      </c>
      <c r="H25" t="n">
        <v>0.0107618930490823</v>
      </c>
      <c r="I25" t="n">
        <v>0.5556823255140826</v>
      </c>
      <c r="J25" t="n">
        <v>0.1793386525936629</v>
      </c>
      <c r="K25" t="n">
        <v>0.236905824530497</v>
      </c>
      <c r="L25" t="b">
        <v>0</v>
      </c>
      <c r="M25" t="b">
        <v>0</v>
      </c>
      <c r="N25" t="inlineStr">
        <is>
          <t>ref</t>
        </is>
      </c>
      <c r="O25" t="n">
        <v>100</v>
      </c>
      <c r="P25" t="n">
        <v>0.05643</v>
      </c>
      <c r="Q25" t="n">
        <v>-100</v>
      </c>
      <c r="R25" t="n">
        <v>0.1498</v>
      </c>
      <c r="S25">
        <f>IMAGE("https://mitra.stanford.edu/kundaje/oak/projects/neuro-variants/variant_position/credible/roussos_2024/variant_figures/roussos_2024.childhood.GABA/rs4233254_count_position.png",4,220,900)</f>
        <v/>
      </c>
      <c r="T25">
        <f>IMAGE("https://mitra.stanford.edu/kundaje/oak/projects/neuro-variants/variant_position/credible/roussos_2024/variant_figures/roussos_2024.childhood.GABA/rs4233254_profile_position.png",4,220,900)</f>
        <v/>
      </c>
    </row>
    <row r="26">
      <c r="A26" t="inlineStr">
        <is>
          <t>chr1</t>
        </is>
      </c>
      <c r="B26" t="n">
        <v>28917939</v>
      </c>
      <c r="C26" t="inlineStr">
        <is>
          <t>G</t>
        </is>
      </c>
      <c r="D26" t="inlineStr">
        <is>
          <t>T</t>
        </is>
      </c>
      <c r="E26" t="inlineStr">
        <is>
          <t>rs150082</t>
        </is>
      </c>
      <c r="F26" t="n">
        <v>0.0308090029</v>
      </c>
      <c r="G26" t="n">
        <v>0.2916083340688098</v>
      </c>
      <c r="H26" t="n">
        <v>0.0268106421713125</v>
      </c>
      <c r="I26" t="n">
        <v>0.0209419414255191</v>
      </c>
      <c r="J26" t="n">
        <v>0.008792486021235099</v>
      </c>
      <c r="K26" t="n">
        <v>0.7580082340918334</v>
      </c>
      <c r="L26" t="b">
        <v>0</v>
      </c>
      <c r="M26" t="b">
        <v>0</v>
      </c>
      <c r="N26" t="inlineStr">
        <is>
          <t>alt</t>
        </is>
      </c>
      <c r="O26" t="n">
        <v>-60</v>
      </c>
      <c r="P26" t="n">
        <v>0.006874</v>
      </c>
      <c r="Q26" t="n">
        <v>-100</v>
      </c>
      <c r="R26" t="n">
        <v>0.08014</v>
      </c>
      <c r="S26">
        <f>IMAGE("https://mitra.stanford.edu/kundaje/oak/projects/neuro-variants/variant_position/credible/roussos_2024/variant_figures/roussos_2024.childhood.GABA/rs150082_count_position.png",4,220,900)</f>
        <v/>
      </c>
      <c r="T26">
        <f>IMAGE("https://mitra.stanford.edu/kundaje/oak/projects/neuro-variants/variant_position/credible/roussos_2024/variant_figures/roussos_2024.childhood.GABA/rs150082_profile_position.png",4,220,900)</f>
        <v/>
      </c>
    </row>
    <row r="27">
      <c r="A27" t="inlineStr">
        <is>
          <t>chr1</t>
        </is>
      </c>
      <c r="B27" t="n">
        <v>28959599</v>
      </c>
      <c r="C27" t="inlineStr">
        <is>
          <t>A</t>
        </is>
      </c>
      <c r="D27" t="inlineStr">
        <is>
          <t>T</t>
        </is>
      </c>
      <c r="E27" t="inlineStr">
        <is>
          <t>rs3102739</t>
        </is>
      </c>
      <c r="F27" t="n">
        <v>-0.1109501671999999</v>
      </c>
      <c r="G27" t="n">
        <v>0.0351672691887307</v>
      </c>
      <c r="H27" t="n">
        <v>0.0155804300201835</v>
      </c>
      <c r="I27" t="n">
        <v>0.1992317324899906</v>
      </c>
      <c r="J27" t="n">
        <v>0.1495288056794621</v>
      </c>
      <c r="K27" t="n">
        <v>0.2750271769779242</v>
      </c>
      <c r="L27" t="b">
        <v>0</v>
      </c>
      <c r="M27" t="b">
        <v>0</v>
      </c>
      <c r="N27" t="inlineStr">
        <is>
          <t>ref</t>
        </is>
      </c>
      <c r="O27" t="n">
        <v>55</v>
      </c>
      <c r="P27" t="n">
        <v>0.00391</v>
      </c>
      <c r="Q27" t="n">
        <v>-75</v>
      </c>
      <c r="R27" t="n">
        <v>0.10284</v>
      </c>
      <c r="S27">
        <f>IMAGE("https://mitra.stanford.edu/kundaje/oak/projects/neuro-variants/variant_position/credible/roussos_2024/variant_figures/roussos_2024.childhood.GABA/rs3102739_count_position.png",4,220,900)</f>
        <v/>
      </c>
      <c r="T27">
        <f>IMAGE("https://mitra.stanford.edu/kundaje/oak/projects/neuro-variants/variant_position/credible/roussos_2024/variant_figures/roussos_2024.childhood.GABA/rs3102739_profile_position.png",4,220,900)</f>
        <v/>
      </c>
    </row>
    <row r="28">
      <c r="A28" t="inlineStr">
        <is>
          <t>chr1</t>
        </is>
      </c>
      <c r="B28" t="n">
        <v>28983862</v>
      </c>
      <c r="C28" t="inlineStr">
        <is>
          <t>T</t>
        </is>
      </c>
      <c r="D28" t="inlineStr">
        <is>
          <t>G</t>
        </is>
      </c>
      <c r="E28" t="inlineStr">
        <is>
          <t>rs2985339</t>
        </is>
      </c>
      <c r="F28" t="n">
        <v>0.021259279</v>
      </c>
      <c r="G28" t="n">
        <v>0.4093777747800681</v>
      </c>
      <c r="H28" t="n">
        <v>0.017640729615055</v>
      </c>
      <c r="I28" t="n">
        <v>0.1249312913578751</v>
      </c>
      <c r="J28" t="n">
        <v>0.4099767544135201</v>
      </c>
      <c r="K28" t="n">
        <v>0.0822156794504819</v>
      </c>
      <c r="L28" t="b">
        <v>0</v>
      </c>
      <c r="M28" t="b">
        <v>0</v>
      </c>
      <c r="N28" t="inlineStr">
        <is>
          <t>alt</t>
        </is>
      </c>
      <c r="O28" t="n">
        <v>95</v>
      </c>
      <c r="P28" t="n">
        <v>0.001087</v>
      </c>
      <c r="Q28" t="n">
        <v>-100</v>
      </c>
      <c r="R28" t="n">
        <v>0.1329</v>
      </c>
      <c r="S28">
        <f>IMAGE("https://mitra.stanford.edu/kundaje/oak/projects/neuro-variants/variant_position/credible/roussos_2024/variant_figures/roussos_2024.childhood.GABA/rs2985339_count_position.png",4,220,900)</f>
        <v/>
      </c>
      <c r="T28">
        <f>IMAGE("https://mitra.stanford.edu/kundaje/oak/projects/neuro-variants/variant_position/credible/roussos_2024/variant_figures/roussos_2024.childhood.GABA/rs2985339_profile_position.png",4,220,900)</f>
        <v/>
      </c>
    </row>
    <row r="29">
      <c r="A29" t="inlineStr">
        <is>
          <t>chr1</t>
        </is>
      </c>
      <c r="B29" t="n">
        <v>28989957</v>
      </c>
      <c r="C29" t="inlineStr">
        <is>
          <t>G</t>
        </is>
      </c>
      <c r="D29" t="inlineStr">
        <is>
          <t>A</t>
        </is>
      </c>
      <c r="E29" t="inlineStr">
        <is>
          <t>rs7513398</t>
        </is>
      </c>
      <c r="F29" t="n">
        <v>-0.0019279583279999</v>
      </c>
      <c r="G29" t="n">
        <v>0.8751590598244167</v>
      </c>
      <c r="H29" t="n">
        <v>0.0288358104015348</v>
      </c>
      <c r="I29" t="n">
        <v>0.0151227235154617</v>
      </c>
      <c r="J29" t="n">
        <v>0.0266015371405834</v>
      </c>
      <c r="K29" t="n">
        <v>0.612672911426269</v>
      </c>
      <c r="L29" t="b">
        <v>1</v>
      </c>
      <c r="M29" t="b">
        <v>0</v>
      </c>
      <c r="N29" t="inlineStr">
        <is>
          <t>ref</t>
        </is>
      </c>
      <c r="O29" t="n">
        <v>100</v>
      </c>
      <c r="P29" t="n">
        <v>0.02452</v>
      </c>
      <c r="Q29" t="n">
        <v>-100</v>
      </c>
      <c r="R29" t="n">
        <v>0.107</v>
      </c>
      <c r="S29">
        <f>IMAGE("https://mitra.stanford.edu/kundaje/oak/projects/neuro-variants/variant_position/credible/roussos_2024/variant_figures/roussos_2024.childhood.GABA/rs7513398_count_position.png",4,220,900)</f>
        <v/>
      </c>
      <c r="T29">
        <f>IMAGE("https://mitra.stanford.edu/kundaje/oak/projects/neuro-variants/variant_position/credible/roussos_2024/variant_figures/roussos_2024.childhood.GABA/rs7513398_profile_position.png",4,220,900)</f>
        <v/>
      </c>
    </row>
    <row r="30">
      <c r="A30" t="inlineStr">
        <is>
          <t>chr1</t>
        </is>
      </c>
      <c r="B30" t="n">
        <v>29040724</v>
      </c>
      <c r="C30" t="inlineStr">
        <is>
          <t>C</t>
        </is>
      </c>
      <c r="D30" t="inlineStr">
        <is>
          <t>T</t>
        </is>
      </c>
      <c r="E30" t="inlineStr">
        <is>
          <t>rs2486201</t>
        </is>
      </c>
      <c r="F30" t="n">
        <v>0.0528529841999999</v>
      </c>
      <c r="G30" t="n">
        <v>0.1358104183314118</v>
      </c>
      <c r="H30" t="n">
        <v>0.0200157293872725</v>
      </c>
      <c r="I30" t="n">
        <v>0.0742966620229147</v>
      </c>
      <c r="J30" t="n">
        <v>0.0232518690708047</v>
      </c>
      <c r="K30" t="n">
        <v>0.6359016744505869</v>
      </c>
      <c r="L30" t="b">
        <v>0</v>
      </c>
      <c r="M30" t="b">
        <v>0</v>
      </c>
      <c r="N30" t="inlineStr">
        <is>
          <t>alt</t>
        </is>
      </c>
      <c r="O30" t="n">
        <v>-35</v>
      </c>
      <c r="P30" t="n">
        <v>0.00248</v>
      </c>
      <c r="Q30" t="n">
        <v>15</v>
      </c>
      <c r="R30" t="n">
        <v>0.02917</v>
      </c>
      <c r="S30">
        <f>IMAGE("https://mitra.stanford.edu/kundaje/oak/projects/neuro-variants/variant_position/credible/roussos_2024/variant_figures/roussos_2024.childhood.GABA/rs2486201_count_position.png",4,220,900)</f>
        <v/>
      </c>
      <c r="T30">
        <f>IMAGE("https://mitra.stanford.edu/kundaje/oak/projects/neuro-variants/variant_position/credible/roussos_2024/variant_figures/roussos_2024.childhood.GABA/rs2486201_profile_position.png",4,220,900)</f>
        <v/>
      </c>
    </row>
    <row r="31">
      <c r="A31" t="inlineStr">
        <is>
          <t>chr1</t>
        </is>
      </c>
      <c r="B31" t="n">
        <v>29944296</v>
      </c>
      <c r="C31" t="inlineStr">
        <is>
          <t>C</t>
        </is>
      </c>
      <c r="D31" t="inlineStr">
        <is>
          <t>A</t>
        </is>
      </c>
      <c r="E31" t="inlineStr">
        <is>
          <t>rs10914662</t>
        </is>
      </c>
      <c r="F31" t="n">
        <v>-0.08184142359999989</v>
      </c>
      <c r="G31" t="n">
        <v>0.0557954347020132</v>
      </c>
      <c r="H31" t="n">
        <v>0.0151611252928154</v>
      </c>
      <c r="I31" t="n">
        <v>0.2276068947604353</v>
      </c>
      <c r="J31" t="n">
        <v>0.6403080563757827</v>
      </c>
      <c r="K31" t="n">
        <v>0.0227633466580184</v>
      </c>
      <c r="L31" t="b">
        <v>0</v>
      </c>
      <c r="M31" t="b">
        <v>0</v>
      </c>
      <c r="N31" t="inlineStr">
        <is>
          <t>ref</t>
        </is>
      </c>
      <c r="O31" t="n">
        <v>85</v>
      </c>
      <c r="P31" t="n">
        <v>0.00351</v>
      </c>
      <c r="Q31" t="n">
        <v>-20</v>
      </c>
      <c r="R31" t="n">
        <v>0.02881</v>
      </c>
      <c r="S31">
        <f>IMAGE("https://mitra.stanford.edu/kundaje/oak/projects/neuro-variants/variant_position/credible/roussos_2024/variant_figures/roussos_2024.childhood.GABA/rs10914662_count_position.png",4,220,900)</f>
        <v/>
      </c>
      <c r="T31">
        <f>IMAGE("https://mitra.stanford.edu/kundaje/oak/projects/neuro-variants/variant_position/credible/roussos_2024/variant_figures/roussos_2024.childhood.GABA/rs10914662_profile_position.png",4,220,900)</f>
        <v/>
      </c>
    </row>
    <row r="32">
      <c r="A32" t="inlineStr">
        <is>
          <t>chr1</t>
        </is>
      </c>
      <c r="B32" t="n">
        <v>29954792</v>
      </c>
      <c r="C32" t="inlineStr">
        <is>
          <t>A</t>
        </is>
      </c>
      <c r="D32" t="inlineStr">
        <is>
          <t>G</t>
        </is>
      </c>
      <c r="E32" t="inlineStr">
        <is>
          <t>rs56335113</t>
        </is>
      </c>
      <c r="F32" t="n">
        <v>-0.022375207</v>
      </c>
      <c r="G32" t="n">
        <v>0.4051447078357934</v>
      </c>
      <c r="H32" t="n">
        <v>0.0221217863038287</v>
      </c>
      <c r="I32" t="n">
        <v>0.0483487633051144</v>
      </c>
      <c r="J32" t="n">
        <v>0.3262182990932127</v>
      </c>
      <c r="K32" t="n">
        <v>0.1229021711299155</v>
      </c>
      <c r="L32" t="b">
        <v>0</v>
      </c>
      <c r="M32" t="b">
        <v>0</v>
      </c>
      <c r="N32" t="inlineStr">
        <is>
          <t>ref</t>
        </is>
      </c>
      <c r="O32" t="n">
        <v>-100</v>
      </c>
      <c r="P32" t="n">
        <v>0.0007477</v>
      </c>
      <c r="Q32" t="n">
        <v>-80</v>
      </c>
      <c r="R32" t="n">
        <v>0.004395</v>
      </c>
      <c r="S32">
        <f>IMAGE("https://mitra.stanford.edu/kundaje/oak/projects/neuro-variants/variant_position/credible/roussos_2024/variant_figures/roussos_2024.childhood.GABA/rs56335113_count_position.png",4,220,900)</f>
        <v/>
      </c>
      <c r="T32">
        <f>IMAGE("https://mitra.stanford.edu/kundaje/oak/projects/neuro-variants/variant_position/credible/roussos_2024/variant_figures/roussos_2024.childhood.GABA/rs56335113_profile_position.png",4,220,900)</f>
        <v/>
      </c>
    </row>
    <row r="33">
      <c r="A33" t="inlineStr">
        <is>
          <t>chr1</t>
        </is>
      </c>
      <c r="B33" t="n">
        <v>29958713</v>
      </c>
      <c r="C33" t="inlineStr">
        <is>
          <t>G</t>
        </is>
      </c>
      <c r="D33" t="inlineStr">
        <is>
          <t>A</t>
        </is>
      </c>
      <c r="E33" t="inlineStr">
        <is>
          <t>rs1009080</t>
        </is>
      </c>
      <c r="F33" t="n">
        <v>-0.0609331982</v>
      </c>
      <c r="G33" t="n">
        <v>0.1043248537727243</v>
      </c>
      <c r="H33" t="n">
        <v>0.0139683474269086</v>
      </c>
      <c r="I33" t="n">
        <v>0.2855596916875906</v>
      </c>
      <c r="J33" t="n">
        <v>0.1513444744612678</v>
      </c>
      <c r="K33" t="n">
        <v>0.2758350304668433</v>
      </c>
      <c r="L33" t="b">
        <v>0</v>
      </c>
      <c r="M33" t="b">
        <v>0</v>
      </c>
      <c r="N33" t="inlineStr">
        <is>
          <t>ref</t>
        </is>
      </c>
      <c r="O33" t="n">
        <v>90</v>
      </c>
      <c r="P33" t="n">
        <v>0.007515</v>
      </c>
      <c r="Q33" t="n">
        <v>100</v>
      </c>
      <c r="R33" t="n">
        <v>0.0861</v>
      </c>
      <c r="S33">
        <f>IMAGE("https://mitra.stanford.edu/kundaje/oak/projects/neuro-variants/variant_position/credible/roussos_2024/variant_figures/roussos_2024.childhood.GABA/rs1009080_count_position.png",4,220,900)</f>
        <v/>
      </c>
      <c r="T33">
        <f>IMAGE("https://mitra.stanford.edu/kundaje/oak/projects/neuro-variants/variant_position/credible/roussos_2024/variant_figures/roussos_2024.childhood.GABA/rs1009080_profile_position.png",4,220,900)</f>
        <v/>
      </c>
    </row>
    <row r="34">
      <c r="A34" t="inlineStr">
        <is>
          <t>chr1</t>
        </is>
      </c>
      <c r="B34" t="n">
        <v>29961039</v>
      </c>
      <c r="C34" t="inlineStr">
        <is>
          <t>C</t>
        </is>
      </c>
      <c r="D34" t="inlineStr">
        <is>
          <t>G</t>
        </is>
      </c>
      <c r="E34" t="inlineStr">
        <is>
          <t>rs6679167</t>
        </is>
      </c>
      <c r="F34" t="n">
        <v>-0.0169359142</v>
      </c>
      <c r="G34" t="n">
        <v>0.4697489937819517</v>
      </c>
      <c r="H34" t="n">
        <v>0.0120045063170752</v>
      </c>
      <c r="I34" t="n">
        <v>0.4343046475226947</v>
      </c>
      <c r="J34" t="n">
        <v>0.7105547527800465</v>
      </c>
      <c r="K34" t="n">
        <v>0.0135795194245083</v>
      </c>
      <c r="L34" t="b">
        <v>0</v>
      </c>
      <c r="M34" t="b">
        <v>0</v>
      </c>
      <c r="N34" t="inlineStr">
        <is>
          <t>ref</t>
        </is>
      </c>
      <c r="O34" t="n">
        <v>20</v>
      </c>
      <c r="P34" t="n">
        <v>0.00116</v>
      </c>
      <c r="Q34" t="n">
        <v>15</v>
      </c>
      <c r="R34" t="n">
        <v>0.03174</v>
      </c>
      <c r="S34">
        <f>IMAGE("https://mitra.stanford.edu/kundaje/oak/projects/neuro-variants/variant_position/credible/roussos_2024/variant_figures/roussos_2024.childhood.GABA/rs6679167_count_position.png",4,220,900)</f>
        <v/>
      </c>
      <c r="T34">
        <f>IMAGE("https://mitra.stanford.edu/kundaje/oak/projects/neuro-variants/variant_position/credible/roussos_2024/variant_figures/roussos_2024.childhood.GABA/rs6679167_profile_position.png",4,220,900)</f>
        <v/>
      </c>
    </row>
    <row r="35">
      <c r="A35" t="inlineStr">
        <is>
          <t>chr1</t>
        </is>
      </c>
      <c r="B35" t="n">
        <v>29961104</v>
      </c>
      <c r="C35" t="inlineStr">
        <is>
          <t>T</t>
        </is>
      </c>
      <c r="D35" t="inlineStr">
        <is>
          <t>C</t>
        </is>
      </c>
      <c r="E35" t="inlineStr">
        <is>
          <t>rs1498232</t>
        </is>
      </c>
      <c r="F35" t="n">
        <v>-0.258681418</v>
      </c>
      <c r="G35" t="n">
        <v>0.0022571692755571</v>
      </c>
      <c r="H35" t="n">
        <v>0.0371737972795549</v>
      </c>
      <c r="I35" t="n">
        <v>0.0055345911322551</v>
      </c>
      <c r="J35" t="n">
        <v>0.7121379656970535</v>
      </c>
      <c r="K35" t="n">
        <v>0.0134278268438563</v>
      </c>
      <c r="L35" t="b">
        <v>1</v>
      </c>
      <c r="M35" t="b">
        <v>1</v>
      </c>
      <c r="N35" t="inlineStr">
        <is>
          <t>ref</t>
        </is>
      </c>
      <c r="O35" t="n">
        <v>-45</v>
      </c>
      <c r="P35" t="n">
        <v>0.003265</v>
      </c>
      <c r="Q35" t="n">
        <v>-50</v>
      </c>
      <c r="R35" t="n">
        <v>0.04248</v>
      </c>
      <c r="S35">
        <f>IMAGE("https://mitra.stanford.edu/kundaje/oak/projects/neuro-variants/variant_position/credible/roussos_2024/variant_figures/roussos_2024.childhood.GABA/rs1498232_count_position.png",4,220,900)</f>
        <v/>
      </c>
      <c r="T35">
        <f>IMAGE("https://mitra.stanford.edu/kundaje/oak/projects/neuro-variants/variant_position/credible/roussos_2024/variant_figures/roussos_2024.childhood.GABA/rs1498232_profile_position.png",4,220,900)</f>
        <v/>
      </c>
    </row>
    <row r="36">
      <c r="A36" t="inlineStr">
        <is>
          <t>chr1</t>
        </is>
      </c>
      <c r="B36" t="n">
        <v>29990225</v>
      </c>
      <c r="C36" t="inlineStr">
        <is>
          <t>C</t>
        </is>
      </c>
      <c r="D36" t="inlineStr">
        <is>
          <t>T</t>
        </is>
      </c>
      <c r="E36" t="inlineStr">
        <is>
          <t>rs10127492</t>
        </is>
      </c>
      <c r="F36" t="n">
        <v>0.1197247394</v>
      </c>
      <c r="G36" t="n">
        <v>0.026717530407209</v>
      </c>
      <c r="H36" t="n">
        <v>0.0223258766821578</v>
      </c>
      <c r="I36" t="n">
        <v>0.0532023229975765</v>
      </c>
      <c r="J36" t="n">
        <v>0.6385950032460053</v>
      </c>
      <c r="K36" t="n">
        <v>0.0228384770085443</v>
      </c>
      <c r="L36" t="b">
        <v>0</v>
      </c>
      <c r="M36" t="b">
        <v>0</v>
      </c>
      <c r="N36" t="inlineStr">
        <is>
          <t>alt</t>
        </is>
      </c>
      <c r="O36" t="n">
        <v>-50</v>
      </c>
      <c r="P36" t="n">
        <v>0.00928</v>
      </c>
      <c r="Q36" t="n">
        <v>-50</v>
      </c>
      <c r="R36" t="n">
        <v>0.04834</v>
      </c>
      <c r="S36">
        <f>IMAGE("https://mitra.stanford.edu/kundaje/oak/projects/neuro-variants/variant_position/credible/roussos_2024/variant_figures/roussos_2024.childhood.GABA/rs10127492_count_position.png",4,220,900)</f>
        <v/>
      </c>
      <c r="T36">
        <f>IMAGE("https://mitra.stanford.edu/kundaje/oak/projects/neuro-variants/variant_position/credible/roussos_2024/variant_figures/roussos_2024.childhood.GABA/rs10127492_profile_position.png",4,220,900)</f>
        <v/>
      </c>
    </row>
    <row r="37">
      <c r="A37" t="inlineStr">
        <is>
          <t>chr1</t>
        </is>
      </c>
      <c r="B37" t="n">
        <v>29998186</v>
      </c>
      <c r="C37" t="inlineStr">
        <is>
          <t>G</t>
        </is>
      </c>
      <c r="D37" t="inlineStr">
        <is>
          <t>T</t>
        </is>
      </c>
      <c r="E37" t="inlineStr">
        <is>
          <t>rs10798981</t>
        </is>
      </c>
      <c r="F37" t="n">
        <v>0.0145692336</v>
      </c>
      <c r="G37" t="n">
        <v>0.5134675892924156</v>
      </c>
      <c r="H37" t="n">
        <v>0.0122134539086402</v>
      </c>
      <c r="I37" t="n">
        <v>0.4177429345944873</v>
      </c>
      <c r="J37" t="n">
        <v>0.008766308558982999</v>
      </c>
      <c r="K37" t="n">
        <v>0.7649117524909028</v>
      </c>
      <c r="L37" t="b">
        <v>0</v>
      </c>
      <c r="M37" t="b">
        <v>0</v>
      </c>
      <c r="N37" t="inlineStr">
        <is>
          <t>alt</t>
        </is>
      </c>
      <c r="O37" t="n">
        <v>-80</v>
      </c>
      <c r="P37" t="n">
        <v>0.00678</v>
      </c>
      <c r="Q37" t="n">
        <v>30</v>
      </c>
      <c r="R37" t="n">
        <v>0.06107</v>
      </c>
      <c r="S37">
        <f>IMAGE("https://mitra.stanford.edu/kundaje/oak/projects/neuro-variants/variant_position/credible/roussos_2024/variant_figures/roussos_2024.childhood.GABA/rs10798981_count_position.png",4,220,900)</f>
        <v/>
      </c>
      <c r="T37">
        <f>IMAGE("https://mitra.stanford.edu/kundaje/oak/projects/neuro-variants/variant_position/credible/roussos_2024/variant_figures/roussos_2024.childhood.GABA/rs10798981_profile_position.png",4,220,900)</f>
        <v/>
      </c>
    </row>
    <row r="38">
      <c r="A38" t="inlineStr">
        <is>
          <t>chr1</t>
        </is>
      </c>
      <c r="B38" t="n">
        <v>30001463</v>
      </c>
      <c r="C38" t="inlineStr">
        <is>
          <t>C</t>
        </is>
      </c>
      <c r="D38" t="inlineStr">
        <is>
          <t>T</t>
        </is>
      </c>
      <c r="E38" t="inlineStr">
        <is>
          <t>rs143052415</t>
        </is>
      </c>
      <c r="F38" t="n">
        <v>-0.0237519690399999</v>
      </c>
      <c r="G38" t="n">
        <v>0.3508956492619036</v>
      </c>
      <c r="H38" t="n">
        <v>0.0157245159602636</v>
      </c>
      <c r="I38" t="n">
        <v>0.1968866137811893</v>
      </c>
      <c r="J38" t="n">
        <v>0.4377363824841365</v>
      </c>
      <c r="K38" t="n">
        <v>0.07096346859653151</v>
      </c>
      <c r="L38" t="b">
        <v>0</v>
      </c>
      <c r="M38" t="b">
        <v>0</v>
      </c>
      <c r="N38" t="inlineStr">
        <is>
          <t>ref</t>
        </is>
      </c>
      <c r="O38" t="n">
        <v>50</v>
      </c>
      <c r="P38" t="n">
        <v>0.002941</v>
      </c>
      <c r="Q38" t="n">
        <v>40</v>
      </c>
      <c r="R38" t="n">
        <v>0.003418</v>
      </c>
      <c r="S38">
        <f>IMAGE("https://mitra.stanford.edu/kundaje/oak/projects/neuro-variants/variant_position/credible/roussos_2024/variant_figures/roussos_2024.childhood.GABA/rs143052415_count_position.png",4,220,900)</f>
        <v/>
      </c>
      <c r="T38">
        <f>IMAGE("https://mitra.stanford.edu/kundaje/oak/projects/neuro-variants/variant_position/credible/roussos_2024/variant_figures/roussos_2024.childhood.GABA/rs143052415_profile_position.png",4,220,900)</f>
        <v/>
      </c>
    </row>
    <row r="39">
      <c r="A39" t="inlineStr">
        <is>
          <t>chr1</t>
        </is>
      </c>
      <c r="B39" t="n">
        <v>30059087</v>
      </c>
      <c r="C39" t="inlineStr">
        <is>
          <t>G</t>
        </is>
      </c>
      <c r="D39" t="inlineStr">
        <is>
          <t>A</t>
        </is>
      </c>
      <c r="E39" t="inlineStr">
        <is>
          <t>rs1966008</t>
        </is>
      </c>
      <c r="F39" t="n">
        <v>-0.1267779822</v>
      </c>
      <c r="G39" t="n">
        <v>0.0173775089672588</v>
      </c>
      <c r="H39" t="n">
        <v>0.016345630636494</v>
      </c>
      <c r="I39" t="n">
        <v>0.1680320686948188</v>
      </c>
      <c r="J39" t="n">
        <v>0.3998397939310171</v>
      </c>
      <c r="K39" t="n">
        <v>0.0860151929096333</v>
      </c>
      <c r="L39" t="b">
        <v>1</v>
      </c>
      <c r="M39" t="b">
        <v>0</v>
      </c>
      <c r="N39" t="inlineStr">
        <is>
          <t>ref</t>
        </is>
      </c>
      <c r="O39" t="n">
        <v>100</v>
      </c>
      <c r="P39" t="n">
        <v>0.00876</v>
      </c>
      <c r="Q39" t="n">
        <v>95</v>
      </c>
      <c r="R39" t="n">
        <v>0.07104000000000001</v>
      </c>
      <c r="S39">
        <f>IMAGE("https://mitra.stanford.edu/kundaje/oak/projects/neuro-variants/variant_position/credible/roussos_2024/variant_figures/roussos_2024.childhood.GABA/rs1966008_count_position.png",4,220,900)</f>
        <v/>
      </c>
      <c r="T39">
        <f>IMAGE("https://mitra.stanford.edu/kundaje/oak/projects/neuro-variants/variant_position/credible/roussos_2024/variant_figures/roussos_2024.childhood.GABA/rs1966008_profile_position.png",4,220,900)</f>
        <v/>
      </c>
    </row>
    <row r="40">
      <c r="A40" t="inlineStr">
        <is>
          <t>chr1</t>
        </is>
      </c>
      <c r="B40" t="n">
        <v>30059135</v>
      </c>
      <c r="C40" t="inlineStr">
        <is>
          <t>C</t>
        </is>
      </c>
      <c r="D40" t="inlineStr">
        <is>
          <t>T</t>
        </is>
      </c>
      <c r="E40" t="inlineStr">
        <is>
          <t>rs1966007</t>
        </is>
      </c>
      <c r="F40" t="n">
        <v>0.1124762602</v>
      </c>
      <c r="G40" t="n">
        <v>0.0236112587392319</v>
      </c>
      <c r="H40" t="n">
        <v>0.0177582527294482</v>
      </c>
      <c r="I40" t="n">
        <v>0.128337324061583</v>
      </c>
      <c r="J40" t="n">
        <v>0.4441184477811982</v>
      </c>
      <c r="K40" t="n">
        <v>0.0692157904972555</v>
      </c>
      <c r="L40" t="b">
        <v>0</v>
      </c>
      <c r="M40" t="b">
        <v>0</v>
      </c>
      <c r="N40" t="inlineStr">
        <is>
          <t>alt</t>
        </is>
      </c>
      <c r="O40" t="n">
        <v>20</v>
      </c>
      <c r="P40" t="n">
        <v>0.003052</v>
      </c>
      <c r="Q40" t="n">
        <v>50</v>
      </c>
      <c r="R40" t="n">
        <v>0.04468</v>
      </c>
      <c r="S40">
        <f>IMAGE("https://mitra.stanford.edu/kundaje/oak/projects/neuro-variants/variant_position/credible/roussos_2024/variant_figures/roussos_2024.childhood.GABA/rs1966007_count_position.png",4,220,900)</f>
        <v/>
      </c>
      <c r="T40">
        <f>IMAGE("https://mitra.stanford.edu/kundaje/oak/projects/neuro-variants/variant_position/credible/roussos_2024/variant_figures/roussos_2024.childhood.GABA/rs1966007_profile_position.png",4,220,900)</f>
        <v/>
      </c>
    </row>
    <row r="41">
      <c r="A41" t="inlineStr">
        <is>
          <t>chr1</t>
        </is>
      </c>
      <c r="B41" t="n">
        <v>30059448</v>
      </c>
      <c r="C41" t="inlineStr">
        <is>
          <t>C</t>
        </is>
      </c>
      <c r="D41" t="inlineStr">
        <is>
          <t>T</t>
        </is>
      </c>
      <c r="E41" t="inlineStr">
        <is>
          <t>rs616924</t>
        </is>
      </c>
      <c r="F41" t="n">
        <v>0.1735150552</v>
      </c>
      <c r="G41" t="n">
        <v>0.007875040986063</v>
      </c>
      <c r="H41" t="n">
        <v>0.0321899063457725</v>
      </c>
      <c r="I41" t="n">
        <v>0.0117900451823661</v>
      </c>
      <c r="J41" t="n">
        <v>0.4376557559003999</v>
      </c>
      <c r="K41" t="n">
        <v>0.07066568417846179</v>
      </c>
      <c r="L41" t="b">
        <v>1</v>
      </c>
      <c r="M41" t="b">
        <v>1</v>
      </c>
      <c r="N41" t="inlineStr">
        <is>
          <t>alt</t>
        </is>
      </c>
      <c r="O41" t="n">
        <v>-100</v>
      </c>
      <c r="P41" t="n">
        <v>0.00859</v>
      </c>
      <c r="Q41" t="n">
        <v>-85</v>
      </c>
      <c r="R41" t="n">
        <v>0.02563</v>
      </c>
      <c r="S41">
        <f>IMAGE("https://mitra.stanford.edu/kundaje/oak/projects/neuro-variants/variant_position/credible/roussos_2024/variant_figures/roussos_2024.childhood.GABA/rs616924_count_position.png",4,220,900)</f>
        <v/>
      </c>
      <c r="T41">
        <f>IMAGE("https://mitra.stanford.edu/kundaje/oak/projects/neuro-variants/variant_position/credible/roussos_2024/variant_figures/roussos_2024.childhood.GABA/rs616924_profile_position.png",4,220,900)</f>
        <v/>
      </c>
    </row>
    <row r="42">
      <c r="A42" t="inlineStr">
        <is>
          <t>chr1</t>
        </is>
      </c>
      <c r="B42" t="n">
        <v>35702473</v>
      </c>
      <c r="C42" t="inlineStr">
        <is>
          <t>C</t>
        </is>
      </c>
      <c r="D42" t="inlineStr">
        <is>
          <t>A</t>
        </is>
      </c>
      <c r="E42" t="inlineStr">
        <is>
          <t>rs28734113</t>
        </is>
      </c>
      <c r="F42" t="n">
        <v>-0.07870844</v>
      </c>
      <c r="G42" t="n">
        <v>0.0549634081350287</v>
      </c>
      <c r="H42" t="n">
        <v>0.0269019212187955</v>
      </c>
      <c r="I42" t="n">
        <v>0.022876324702178</v>
      </c>
      <c r="J42" t="n">
        <v>0.5017664551527716</v>
      </c>
      <c r="K42" t="n">
        <v>0.0514114416482276</v>
      </c>
      <c r="L42" t="b">
        <v>0</v>
      </c>
      <c r="M42" t="b">
        <v>0</v>
      </c>
      <c r="N42" t="inlineStr">
        <is>
          <t>ref</t>
        </is>
      </c>
      <c r="O42" t="n">
        <v>90</v>
      </c>
      <c r="P42" t="n">
        <v>0.01599</v>
      </c>
      <c r="Q42" t="n">
        <v>95</v>
      </c>
      <c r="R42" t="n">
        <v>0.0315</v>
      </c>
      <c r="S42">
        <f>IMAGE("https://mitra.stanford.edu/kundaje/oak/projects/neuro-variants/variant_position/credible/roussos_2024/variant_figures/roussos_2024.childhood.GABA/rs28734113_count_position.png",4,220,900)</f>
        <v/>
      </c>
      <c r="T42">
        <f>IMAGE("https://mitra.stanford.edu/kundaje/oak/projects/neuro-variants/variant_position/credible/roussos_2024/variant_figures/roussos_2024.childhood.GABA/rs28734113_profile_position.png",4,220,900)</f>
        <v/>
      </c>
    </row>
    <row r="43">
      <c r="A43" t="inlineStr">
        <is>
          <t>chr1</t>
        </is>
      </c>
      <c r="B43" t="n">
        <v>35713267</v>
      </c>
      <c r="C43" t="inlineStr">
        <is>
          <t>G</t>
        </is>
      </c>
      <c r="D43" t="inlineStr">
        <is>
          <t>T</t>
        </is>
      </c>
      <c r="E43" t="inlineStr">
        <is>
          <t>rs12562583</t>
        </is>
      </c>
      <c r="F43" t="n">
        <v>-3.158013159999989e-05</v>
      </c>
      <c r="G43" t="n">
        <v>0.8114593951440607</v>
      </c>
      <c r="H43" t="n">
        <v>0.0274546649807821</v>
      </c>
      <c r="I43" t="n">
        <v>0.0186993140369964</v>
      </c>
      <c r="J43" t="n">
        <v>0.0538124856023957</v>
      </c>
      <c r="K43" t="n">
        <v>0.4912520316024576</v>
      </c>
      <c r="L43" t="b">
        <v>1</v>
      </c>
      <c r="M43" t="b">
        <v>0</v>
      </c>
      <c r="N43" t="inlineStr">
        <is>
          <t>ref</t>
        </is>
      </c>
      <c r="O43" t="n">
        <v>-100</v>
      </c>
      <c r="P43" t="n">
        <v>0.02884</v>
      </c>
      <c r="Q43" t="n">
        <v>50</v>
      </c>
      <c r="R43" t="n">
        <v>0.07245</v>
      </c>
      <c r="S43">
        <f>IMAGE("https://mitra.stanford.edu/kundaje/oak/projects/neuro-variants/variant_position/credible/roussos_2024/variant_figures/roussos_2024.childhood.GABA/rs12562583_count_position.png",4,220,900)</f>
        <v/>
      </c>
      <c r="T43">
        <f>IMAGE("https://mitra.stanford.edu/kundaje/oak/projects/neuro-variants/variant_position/credible/roussos_2024/variant_figures/roussos_2024.childhood.GABA/rs12562583_profile_position.png",4,220,900)</f>
        <v/>
      </c>
    </row>
    <row r="44">
      <c r="A44" t="inlineStr">
        <is>
          <t>chr1</t>
        </is>
      </c>
      <c r="B44" t="n">
        <v>35720505</v>
      </c>
      <c r="C44" t="inlineStr">
        <is>
          <t>A</t>
        </is>
      </c>
      <c r="D44" t="inlineStr">
        <is>
          <t>G</t>
        </is>
      </c>
      <c r="E44" t="inlineStr">
        <is>
          <t>rs6658453</t>
        </is>
      </c>
      <c r="F44" t="n">
        <v>0.0610687886</v>
      </c>
      <c r="G44" t="n">
        <v>0.0943190043361124</v>
      </c>
      <c r="H44" t="n">
        <v>0.0139675820063438</v>
      </c>
      <c r="I44" t="n">
        <v>0.2845808152741209</v>
      </c>
      <c r="J44" t="n">
        <v>0.07783083076794201</v>
      </c>
      <c r="K44" t="n">
        <v>0.4213356923087206</v>
      </c>
      <c r="L44" t="b">
        <v>0</v>
      </c>
      <c r="M44" t="b">
        <v>0</v>
      </c>
      <c r="N44" t="inlineStr">
        <is>
          <t>alt</t>
        </is>
      </c>
      <c r="O44" t="n">
        <v>65</v>
      </c>
      <c r="P44" t="n">
        <v>0.006073</v>
      </c>
      <c r="Q44" t="n">
        <v>-75</v>
      </c>
      <c r="R44" t="n">
        <v>0.06177</v>
      </c>
      <c r="S44">
        <f>IMAGE("https://mitra.stanford.edu/kundaje/oak/projects/neuro-variants/variant_position/credible/roussos_2024/variant_figures/roussos_2024.childhood.GABA/rs6658453_count_position.png",4,220,900)</f>
        <v/>
      </c>
      <c r="T44">
        <f>IMAGE("https://mitra.stanford.edu/kundaje/oak/projects/neuro-variants/variant_position/credible/roussos_2024/variant_figures/roussos_2024.childhood.GABA/rs6658453_profile_position.png",4,220,900)</f>
        <v/>
      </c>
    </row>
    <row r="45">
      <c r="A45" t="inlineStr">
        <is>
          <t>chr1</t>
        </is>
      </c>
      <c r="B45" t="n">
        <v>35729771</v>
      </c>
      <c r="C45" t="inlineStr">
        <is>
          <t>C</t>
        </is>
      </c>
      <c r="D45" t="inlineStr">
        <is>
          <t>T</t>
        </is>
      </c>
      <c r="E45" t="inlineStr">
        <is>
          <t>rs11264194</t>
        </is>
      </c>
      <c r="F45" t="n">
        <v>0.0454226623999999</v>
      </c>
      <c r="G45" t="n">
        <v>0.1563702596396156</v>
      </c>
      <c r="H45" t="n">
        <v>0.0127502965843524</v>
      </c>
      <c r="I45" t="n">
        <v>0.3543841384378483</v>
      </c>
      <c r="J45" t="n">
        <v>0.105936001340286</v>
      </c>
      <c r="K45" t="n">
        <v>0.3470182302711356</v>
      </c>
      <c r="L45" t="b">
        <v>0</v>
      </c>
      <c r="M45" t="b">
        <v>0</v>
      </c>
      <c r="N45" t="inlineStr">
        <is>
          <t>alt</t>
        </is>
      </c>
      <c r="O45" t="n">
        <v>25</v>
      </c>
      <c r="P45" t="n">
        <v>0.003609</v>
      </c>
      <c r="Q45" t="n">
        <v>-85</v>
      </c>
      <c r="R45" t="n">
        <v>0.05478</v>
      </c>
      <c r="S45">
        <f>IMAGE("https://mitra.stanford.edu/kundaje/oak/projects/neuro-variants/variant_position/credible/roussos_2024/variant_figures/roussos_2024.childhood.GABA/rs11264194_count_position.png",4,220,900)</f>
        <v/>
      </c>
      <c r="T45">
        <f>IMAGE("https://mitra.stanford.edu/kundaje/oak/projects/neuro-variants/variant_position/credible/roussos_2024/variant_figures/roussos_2024.childhood.GABA/rs11264194_profile_position.png",4,220,900)</f>
        <v/>
      </c>
    </row>
    <row r="46">
      <c r="A46" t="inlineStr">
        <is>
          <t>chr1</t>
        </is>
      </c>
      <c r="B46" t="n">
        <v>35754957</v>
      </c>
      <c r="C46" t="inlineStr">
        <is>
          <t>C</t>
        </is>
      </c>
      <c r="D46" t="inlineStr">
        <is>
          <t>A</t>
        </is>
      </c>
      <c r="E46" t="inlineStr">
        <is>
          <t>rs16822339</t>
        </is>
      </c>
      <c r="F46" t="n">
        <v>0.1182359309999999</v>
      </c>
      <c r="G46" t="n">
        <v>0.0200427300765738</v>
      </c>
      <c r="H46" t="n">
        <v>0.0283710762239494</v>
      </c>
      <c r="I46" t="n">
        <v>0.0170373840182418</v>
      </c>
      <c r="J46" t="n">
        <v>0.0556532847479633</v>
      </c>
      <c r="K46" t="n">
        <v>0.4799546428474204</v>
      </c>
      <c r="L46" t="b">
        <v>1</v>
      </c>
      <c r="M46" t="b">
        <v>0</v>
      </c>
      <c r="N46" t="inlineStr">
        <is>
          <t>alt</t>
        </is>
      </c>
      <c r="O46" t="n">
        <v>-100</v>
      </c>
      <c r="P46" t="n">
        <v>0.007860000000000001</v>
      </c>
      <c r="Q46" t="n">
        <v>85</v>
      </c>
      <c r="R46" t="n">
        <v>0.05652</v>
      </c>
      <c r="S46">
        <f>IMAGE("https://mitra.stanford.edu/kundaje/oak/projects/neuro-variants/variant_position/credible/roussos_2024/variant_figures/roussos_2024.childhood.GABA/rs16822339_count_position.png",4,220,900)</f>
        <v/>
      </c>
      <c r="T46">
        <f>IMAGE("https://mitra.stanford.edu/kundaje/oak/projects/neuro-variants/variant_position/credible/roussos_2024/variant_figures/roussos_2024.childhood.GABA/rs16822339_profile_position.png",4,220,900)</f>
        <v/>
      </c>
    </row>
    <row r="47">
      <c r="A47" t="inlineStr">
        <is>
          <t>chr1</t>
        </is>
      </c>
      <c r="B47" t="n">
        <v>35796132</v>
      </c>
      <c r="C47" t="inlineStr">
        <is>
          <t>T</t>
        </is>
      </c>
      <c r="D47" t="inlineStr">
        <is>
          <t>G</t>
        </is>
      </c>
      <c r="E47" t="inlineStr">
        <is>
          <t>rs12037102</t>
        </is>
      </c>
      <c r="F47" t="n">
        <v>-0.0069258259</v>
      </c>
      <c r="G47" t="n">
        <v>0.3355532536634403</v>
      </c>
      <c r="H47" t="n">
        <v>0.0124827861602422</v>
      </c>
      <c r="I47" t="n">
        <v>0.3732424708682811</v>
      </c>
      <c r="J47" t="n">
        <v>0.0717293878662226</v>
      </c>
      <c r="K47" t="n">
        <v>0.4322980108441407</v>
      </c>
      <c r="L47" t="b">
        <v>0</v>
      </c>
      <c r="M47" t="b">
        <v>0</v>
      </c>
      <c r="N47" t="inlineStr">
        <is>
          <t>ref</t>
        </is>
      </c>
      <c r="O47" t="n">
        <v>100</v>
      </c>
      <c r="P47" t="n">
        <v>0.02039</v>
      </c>
      <c r="Q47" t="n">
        <v>50</v>
      </c>
      <c r="R47" t="n">
        <v>0.07495</v>
      </c>
      <c r="S47">
        <f>IMAGE("https://mitra.stanford.edu/kundaje/oak/projects/neuro-variants/variant_position/credible/roussos_2024/variant_figures/roussos_2024.childhood.GABA/rs12037102_count_position.png",4,220,900)</f>
        <v/>
      </c>
      <c r="T47">
        <f>IMAGE("https://mitra.stanford.edu/kundaje/oak/projects/neuro-variants/variant_position/credible/roussos_2024/variant_figures/roussos_2024.childhood.GABA/rs12037102_profile_position.png",4,220,900)</f>
        <v/>
      </c>
    </row>
    <row r="48">
      <c r="A48" t="inlineStr">
        <is>
          <t>chr1</t>
        </is>
      </c>
      <c r="B48" t="n">
        <v>35810036</v>
      </c>
      <c r="C48" t="inlineStr">
        <is>
          <t>T</t>
        </is>
      </c>
      <c r="D48" t="inlineStr">
        <is>
          <t>G</t>
        </is>
      </c>
      <c r="E48" t="inlineStr">
        <is>
          <t>rs515346</t>
        </is>
      </c>
      <c r="F48" t="n">
        <v>0.00458887702</v>
      </c>
      <c r="G48" t="n">
        <v>0.7248345744698991</v>
      </c>
      <c r="H48" t="n">
        <v>0.0375664480939487</v>
      </c>
      <c r="I48" t="n">
        <v>0.0049207605602908</v>
      </c>
      <c r="J48" t="n">
        <v>0.0935414965131619</v>
      </c>
      <c r="K48" t="n">
        <v>0.3644573773664261</v>
      </c>
      <c r="L48" t="b">
        <v>1</v>
      </c>
      <c r="M48" t="b">
        <v>1</v>
      </c>
      <c r="N48" t="inlineStr">
        <is>
          <t>alt</t>
        </is>
      </c>
      <c r="O48" t="n">
        <v>55</v>
      </c>
      <c r="P48" t="n">
        <v>0.01402</v>
      </c>
      <c r="Q48" t="n">
        <v>100</v>
      </c>
      <c r="R48" t="n">
        <v>0.1055</v>
      </c>
      <c r="S48">
        <f>IMAGE("https://mitra.stanford.edu/kundaje/oak/projects/neuro-variants/variant_position/credible/roussos_2024/variant_figures/roussos_2024.childhood.GABA/rs515346_count_position.png",4,220,900)</f>
        <v/>
      </c>
      <c r="T48">
        <f>IMAGE("https://mitra.stanford.edu/kundaje/oak/projects/neuro-variants/variant_position/credible/roussos_2024/variant_figures/roussos_2024.childhood.GABA/rs515346_profile_position.png",4,220,900)</f>
        <v/>
      </c>
    </row>
    <row r="49">
      <c r="A49" t="inlineStr">
        <is>
          <t>chr1</t>
        </is>
      </c>
      <c r="B49" t="n">
        <v>35890856</v>
      </c>
      <c r="C49" t="inlineStr">
        <is>
          <t>A</t>
        </is>
      </c>
      <c r="D49" t="inlineStr">
        <is>
          <t>G</t>
        </is>
      </c>
      <c r="E49" t="inlineStr">
        <is>
          <t>rs2765012</t>
        </is>
      </c>
      <c r="F49" t="n">
        <v>0.0150044202</v>
      </c>
      <c r="G49" t="n">
        <v>0.4802340533229098</v>
      </c>
      <c r="H49" t="n">
        <v>0.0198379489792831</v>
      </c>
      <c r="I49" t="n">
        <v>0.0790522263925206</v>
      </c>
      <c r="J49" t="n">
        <v>0.0104804087872505</v>
      </c>
      <c r="K49" t="n">
        <v>0.7568334944983119</v>
      </c>
      <c r="L49" t="b">
        <v>0</v>
      </c>
      <c r="M49" t="b">
        <v>0</v>
      </c>
      <c r="N49" t="inlineStr">
        <is>
          <t>alt</t>
        </is>
      </c>
      <c r="O49" t="n">
        <v>80</v>
      </c>
      <c r="P49" t="n">
        <v>0.00357</v>
      </c>
      <c r="Q49" t="n">
        <v>100</v>
      </c>
      <c r="R49" t="n">
        <v>0.1633</v>
      </c>
      <c r="S49">
        <f>IMAGE("https://mitra.stanford.edu/kundaje/oak/projects/neuro-variants/variant_position/credible/roussos_2024/variant_figures/roussos_2024.childhood.GABA/rs2765012_count_position.png",4,220,900)</f>
        <v/>
      </c>
      <c r="T49">
        <f>IMAGE("https://mitra.stanford.edu/kundaje/oak/projects/neuro-variants/variant_position/credible/roussos_2024/variant_figures/roussos_2024.childhood.GABA/rs2765012_profile_position.png",4,220,900)</f>
        <v/>
      </c>
    </row>
    <row r="50">
      <c r="A50" t="inlineStr">
        <is>
          <t>chr1</t>
        </is>
      </c>
      <c r="B50" t="n">
        <v>35898381</v>
      </c>
      <c r="C50" t="inlineStr">
        <is>
          <t>G</t>
        </is>
      </c>
      <c r="D50" t="inlineStr">
        <is>
          <t>C</t>
        </is>
      </c>
      <c r="E50" t="inlineStr">
        <is>
          <t>rs647690</t>
        </is>
      </c>
      <c r="F50" t="n">
        <v>-0.07089771959999989</v>
      </c>
      <c r="G50" t="n">
        <v>0.07679015674605939</v>
      </c>
      <c r="H50" t="n">
        <v>0.0162884939494899</v>
      </c>
      <c r="I50" t="n">
        <v>0.1691502113993761</v>
      </c>
      <c r="J50" t="n">
        <v>0.0208309773617306</v>
      </c>
      <c r="K50" t="n">
        <v>0.6711661972989016</v>
      </c>
      <c r="L50" t="b">
        <v>0</v>
      </c>
      <c r="M50" t="b">
        <v>0</v>
      </c>
      <c r="N50" t="inlineStr">
        <is>
          <t>ref</t>
        </is>
      </c>
      <c r="O50" t="n">
        <v>15</v>
      </c>
      <c r="P50" t="n">
        <v>0.001434</v>
      </c>
      <c r="Q50" t="n">
        <v>20</v>
      </c>
      <c r="R50" t="n">
        <v>0.010864</v>
      </c>
      <c r="S50">
        <f>IMAGE("https://mitra.stanford.edu/kundaje/oak/projects/neuro-variants/variant_position/credible/roussos_2024/variant_figures/roussos_2024.childhood.GABA/rs647690_count_position.png",4,220,900)</f>
        <v/>
      </c>
      <c r="T50">
        <f>IMAGE("https://mitra.stanford.edu/kundaje/oak/projects/neuro-variants/variant_position/credible/roussos_2024/variant_figures/roussos_2024.childhood.GABA/rs647690_profile_position.png",4,220,900)</f>
        <v/>
      </c>
    </row>
    <row r="51">
      <c r="A51" t="inlineStr">
        <is>
          <t>chr1</t>
        </is>
      </c>
      <c r="B51" t="n">
        <v>35905567</v>
      </c>
      <c r="C51" t="inlineStr">
        <is>
          <t>T</t>
        </is>
      </c>
      <c r="D51" t="inlineStr">
        <is>
          <t>C</t>
        </is>
      </c>
      <c r="E51" t="inlineStr">
        <is>
          <t>rs2791962</t>
        </is>
      </c>
      <c r="F51" t="n">
        <v>0.0585821194</v>
      </c>
      <c r="G51" t="n">
        <v>0.0944528715660775</v>
      </c>
      <c r="H51" t="n">
        <v>0.0178610216415433</v>
      </c>
      <c r="I51" t="n">
        <v>0.1188464696868793</v>
      </c>
      <c r="J51" t="n">
        <v>0.0200571715775585</v>
      </c>
      <c r="K51" t="n">
        <v>0.6557896316609493</v>
      </c>
      <c r="L51" t="b">
        <v>0</v>
      </c>
      <c r="M51" t="b">
        <v>0</v>
      </c>
      <c r="N51" t="inlineStr">
        <is>
          <t>alt</t>
        </is>
      </c>
      <c r="O51" t="n">
        <v>-100</v>
      </c>
      <c r="P51" t="n">
        <v>0.0473</v>
      </c>
      <c r="Q51" t="n">
        <v>25</v>
      </c>
      <c r="R51" t="n">
        <v>0.04172</v>
      </c>
      <c r="S51">
        <f>IMAGE("https://mitra.stanford.edu/kundaje/oak/projects/neuro-variants/variant_position/credible/roussos_2024/variant_figures/roussos_2024.childhood.GABA/rs2791962_count_position.png",4,220,900)</f>
        <v/>
      </c>
      <c r="T51">
        <f>IMAGE("https://mitra.stanford.edu/kundaje/oak/projects/neuro-variants/variant_position/credible/roussos_2024/variant_figures/roussos_2024.childhood.GABA/rs2791962_profile_position.png",4,220,900)</f>
        <v/>
      </c>
    </row>
    <row r="52">
      <c r="A52" t="inlineStr">
        <is>
          <t>chr1</t>
        </is>
      </c>
      <c r="B52" t="n">
        <v>35959384</v>
      </c>
      <c r="C52" t="inlineStr">
        <is>
          <t>A</t>
        </is>
      </c>
      <c r="D52" t="inlineStr">
        <is>
          <t>G</t>
        </is>
      </c>
      <c r="E52" t="inlineStr">
        <is>
          <t>rs10796876</t>
        </is>
      </c>
      <c r="F52" t="n">
        <v>0.1345271844</v>
      </c>
      <c r="G52" t="n">
        <v>0.0266533476200528</v>
      </c>
      <c r="H52" t="n">
        <v>0.0370797732752295</v>
      </c>
      <c r="I52" t="n">
        <v>0.0061242733792747</v>
      </c>
      <c r="J52" t="n">
        <v>0.0007916064585034</v>
      </c>
      <c r="K52" t="n">
        <v>0.9296609971484164</v>
      </c>
      <c r="L52" t="b">
        <v>0</v>
      </c>
      <c r="M52" t="b">
        <v>0</v>
      </c>
      <c r="N52" t="inlineStr">
        <is>
          <t>alt</t>
        </is>
      </c>
      <c r="O52" t="n">
        <v>-65</v>
      </c>
      <c r="P52" t="n">
        <v>0.006866</v>
      </c>
      <c r="Q52" t="n">
        <v>100</v>
      </c>
      <c r="R52" t="n">
        <v>0.0388</v>
      </c>
      <c r="S52">
        <f>IMAGE("https://mitra.stanford.edu/kundaje/oak/projects/neuro-variants/variant_position/credible/roussos_2024/variant_figures/roussos_2024.childhood.GABA/rs10796876_count_position.png",4,220,900)</f>
        <v/>
      </c>
      <c r="T52">
        <f>IMAGE("https://mitra.stanford.edu/kundaje/oak/projects/neuro-variants/variant_position/credible/roussos_2024/variant_figures/roussos_2024.childhood.GABA/rs10796876_profile_position.png",4,220,900)</f>
        <v/>
      </c>
    </row>
    <row r="53">
      <c r="A53" t="inlineStr">
        <is>
          <t>chr1</t>
        </is>
      </c>
      <c r="B53" t="n">
        <v>35975547</v>
      </c>
      <c r="C53" t="inlineStr">
        <is>
          <t>G</t>
        </is>
      </c>
      <c r="D53" t="inlineStr">
        <is>
          <t>T</t>
        </is>
      </c>
      <c r="E53" t="inlineStr">
        <is>
          <t>rs709309</t>
        </is>
      </c>
      <c r="F53" t="n">
        <v>0.0071320868999999</v>
      </c>
      <c r="G53" t="n">
        <v>0.6698296529014754</v>
      </c>
      <c r="H53" t="n">
        <v>0.0254759449956828</v>
      </c>
      <c r="I53" t="n">
        <v>0.0258547306019437</v>
      </c>
      <c r="J53" t="n">
        <v>0.0001926661221754</v>
      </c>
      <c r="K53" t="n">
        <v>0.961958010581657</v>
      </c>
      <c r="L53" t="b">
        <v>0</v>
      </c>
      <c r="M53" t="b">
        <v>0</v>
      </c>
      <c r="N53" t="inlineStr">
        <is>
          <t>alt</t>
        </is>
      </c>
      <c r="O53" t="n">
        <v>-60</v>
      </c>
      <c r="P53" t="n">
        <v>0.003937</v>
      </c>
      <c r="Q53" t="n">
        <v>95</v>
      </c>
      <c r="R53" t="n">
        <v>0.01666</v>
      </c>
      <c r="S53">
        <f>IMAGE("https://mitra.stanford.edu/kundaje/oak/projects/neuro-variants/variant_position/credible/roussos_2024/variant_figures/roussos_2024.childhood.GABA/rs709309_count_position.png",4,220,900)</f>
        <v/>
      </c>
      <c r="T53">
        <f>IMAGE("https://mitra.stanford.edu/kundaje/oak/projects/neuro-variants/variant_position/credible/roussos_2024/variant_figures/roussos_2024.childhood.GABA/rs709309_profile_position.png",4,220,900)</f>
        <v/>
      </c>
    </row>
    <row r="54">
      <c r="A54" t="inlineStr">
        <is>
          <t>chr1</t>
        </is>
      </c>
      <c r="B54" t="n">
        <v>36027819</v>
      </c>
      <c r="C54" t="inlineStr">
        <is>
          <t>T</t>
        </is>
      </c>
      <c r="D54" t="inlineStr">
        <is>
          <t>C</t>
        </is>
      </c>
      <c r="E54" t="inlineStr">
        <is>
          <t>rs274728</t>
        </is>
      </c>
      <c r="F54" t="n">
        <v>-0.1745799999999999</v>
      </c>
      <c r="G54" t="n">
        <v>0.0103171551185957</v>
      </c>
      <c r="H54" t="n">
        <v>0.0331814959737851</v>
      </c>
      <c r="I54" t="n">
        <v>0.0124499772562828</v>
      </c>
      <c r="J54" t="n">
        <v>0.074502104667965</v>
      </c>
      <c r="K54" t="n">
        <v>0.4324690732071078</v>
      </c>
      <c r="L54" t="b">
        <v>1</v>
      </c>
      <c r="M54" t="b">
        <v>0</v>
      </c>
      <c r="N54" t="inlineStr">
        <is>
          <t>ref</t>
        </is>
      </c>
      <c r="O54" t="n">
        <v>-95</v>
      </c>
      <c r="P54" t="n">
        <v>0.01279</v>
      </c>
      <c r="Q54" t="n">
        <v>5</v>
      </c>
      <c r="R54" t="n">
        <v>0.004395</v>
      </c>
      <c r="S54">
        <f>IMAGE("https://mitra.stanford.edu/kundaje/oak/projects/neuro-variants/variant_position/credible/roussos_2024/variant_figures/roussos_2024.childhood.GABA/rs274728_count_position.png",4,220,900)</f>
        <v/>
      </c>
      <c r="T54">
        <f>IMAGE("https://mitra.stanford.edu/kundaje/oak/projects/neuro-variants/variant_position/credible/roussos_2024/variant_figures/roussos_2024.childhood.GABA/rs274728_profile_position.png",4,220,900)</f>
        <v/>
      </c>
    </row>
    <row r="55">
      <c r="A55" t="inlineStr">
        <is>
          <t>chr1</t>
        </is>
      </c>
      <c r="B55" t="n">
        <v>36044355</v>
      </c>
      <c r="C55" t="inlineStr">
        <is>
          <t>A</t>
        </is>
      </c>
      <c r="D55" t="inlineStr">
        <is>
          <t>T</t>
        </is>
      </c>
      <c r="E55" t="inlineStr">
        <is>
          <t>rs812106</t>
        </is>
      </c>
      <c r="F55" t="n">
        <v>-0.0068568810199999</v>
      </c>
      <c r="G55" t="n">
        <v>0.7340039649222131</v>
      </c>
      <c r="H55" t="n">
        <v>0.0169457995097154</v>
      </c>
      <c r="I55" t="n">
        <v>0.1463993768443618</v>
      </c>
      <c r="J55" t="n">
        <v>0.009057401939226301</v>
      </c>
      <c r="K55" t="n">
        <v>0.7605377859568428</v>
      </c>
      <c r="L55" t="b">
        <v>0</v>
      </c>
      <c r="M55" t="b">
        <v>0</v>
      </c>
      <c r="N55" t="inlineStr">
        <is>
          <t>ref</t>
        </is>
      </c>
      <c r="O55" t="n">
        <v>95</v>
      </c>
      <c r="P55" t="n">
        <v>0.00409</v>
      </c>
      <c r="Q55" t="n">
        <v>25</v>
      </c>
      <c r="R55" t="n">
        <v>0.05106</v>
      </c>
      <c r="S55">
        <f>IMAGE("https://mitra.stanford.edu/kundaje/oak/projects/neuro-variants/variant_position/credible/roussos_2024/variant_figures/roussos_2024.childhood.GABA/rs812106_count_position.png",4,220,900)</f>
        <v/>
      </c>
      <c r="T55">
        <f>IMAGE("https://mitra.stanford.edu/kundaje/oak/projects/neuro-variants/variant_position/credible/roussos_2024/variant_figures/roussos_2024.childhood.GABA/rs812106_profile_position.png",4,220,900)</f>
        <v/>
      </c>
    </row>
    <row r="56">
      <c r="A56" t="inlineStr">
        <is>
          <t>chr1</t>
        </is>
      </c>
      <c r="B56" t="n">
        <v>36128255</v>
      </c>
      <c r="C56" t="inlineStr">
        <is>
          <t>T</t>
        </is>
      </c>
      <c r="D56" t="inlineStr">
        <is>
          <t>C</t>
        </is>
      </c>
      <c r="E56" t="inlineStr">
        <is>
          <t>rs7542594</t>
        </is>
      </c>
      <c r="F56" t="n">
        <v>-0.028460001</v>
      </c>
      <c r="G56" t="n">
        <v>0.3117891527735345</v>
      </c>
      <c r="H56" t="n">
        <v>0.0153782505275034</v>
      </c>
      <c r="I56" t="n">
        <v>0.2074288504261276</v>
      </c>
      <c r="J56" t="n">
        <v>0.3525852861720173</v>
      </c>
      <c r="K56" t="n">
        <v>0.1072828554751203</v>
      </c>
      <c r="L56" t="b">
        <v>0</v>
      </c>
      <c r="M56" t="b">
        <v>0</v>
      </c>
      <c r="N56" t="inlineStr">
        <is>
          <t>ref</t>
        </is>
      </c>
      <c r="O56" t="n">
        <v>-95</v>
      </c>
      <c r="P56" t="n">
        <v>0.002409</v>
      </c>
      <c r="Q56" t="n">
        <v>-15</v>
      </c>
      <c r="R56" t="n">
        <v>0.0166</v>
      </c>
      <c r="S56">
        <f>IMAGE("https://mitra.stanford.edu/kundaje/oak/projects/neuro-variants/variant_position/credible/roussos_2024/variant_figures/roussos_2024.childhood.GABA/rs7542594_count_position.png",4,220,900)</f>
        <v/>
      </c>
      <c r="T56">
        <f>IMAGE("https://mitra.stanford.edu/kundaje/oak/projects/neuro-variants/variant_position/credible/roussos_2024/variant_figures/roussos_2024.childhood.GABA/rs7542594_profile_position.png",4,220,900)</f>
        <v/>
      </c>
    </row>
    <row r="57">
      <c r="A57" t="inlineStr">
        <is>
          <t>chr1</t>
        </is>
      </c>
      <c r="B57" t="n">
        <v>43337449</v>
      </c>
      <c r="C57" t="inlineStr">
        <is>
          <t>C</t>
        </is>
      </c>
      <c r="D57" t="inlineStr">
        <is>
          <t>A</t>
        </is>
      </c>
      <c r="E57" t="inlineStr">
        <is>
          <t>rs839993</t>
        </is>
      </c>
      <c r="F57" t="n">
        <v>-0.0565612986</v>
      </c>
      <c r="G57" t="n">
        <v>0.1195459440198025</v>
      </c>
      <c r="H57" t="n">
        <v>0.0165553522524957</v>
      </c>
      <c r="I57" t="n">
        <v>0.1610714257100027</v>
      </c>
      <c r="J57" t="n">
        <v>0.1928326108353751</v>
      </c>
      <c r="K57" t="n">
        <v>0.2274257061196238</v>
      </c>
      <c r="L57" t="b">
        <v>0</v>
      </c>
      <c r="M57" t="b">
        <v>0</v>
      </c>
      <c r="N57" t="inlineStr">
        <is>
          <t>ref</t>
        </is>
      </c>
      <c r="O57" t="n">
        <v>-100</v>
      </c>
      <c r="P57" t="n">
        <v>0.001062</v>
      </c>
      <c r="Q57" t="n">
        <v>100</v>
      </c>
      <c r="R57" t="n">
        <v>0.1085</v>
      </c>
      <c r="S57">
        <f>IMAGE("https://mitra.stanford.edu/kundaje/oak/projects/neuro-variants/variant_position/credible/roussos_2024/variant_figures/roussos_2024.childhood.GABA/rs839993_count_position.png",4,220,900)</f>
        <v/>
      </c>
      <c r="T57">
        <f>IMAGE("https://mitra.stanford.edu/kundaje/oak/projects/neuro-variants/variant_position/credible/roussos_2024/variant_figures/roussos_2024.childhood.GABA/rs839993_profile_position.png",4,220,900)</f>
        <v/>
      </c>
    </row>
    <row r="58">
      <c r="A58" t="inlineStr">
        <is>
          <t>chr1</t>
        </is>
      </c>
      <c r="B58" t="n">
        <v>43350861</v>
      </c>
      <c r="C58" t="inlineStr">
        <is>
          <t>T</t>
        </is>
      </c>
      <c r="D58" t="inlineStr">
        <is>
          <t>C</t>
        </is>
      </c>
      <c r="E58" t="inlineStr">
        <is>
          <t>rs839996</t>
        </is>
      </c>
      <c r="F58" t="n">
        <v>0.000156663366</v>
      </c>
      <c r="G58" t="n">
        <v>0.8716053595845237</v>
      </c>
      <c r="H58" t="n">
        <v>0.0240303433766098</v>
      </c>
      <c r="I58" t="n">
        <v>0.0354432987623465</v>
      </c>
      <c r="J58" t="n">
        <v>0.0248047161315992</v>
      </c>
      <c r="K58" t="n">
        <v>0.6344851819483053</v>
      </c>
      <c r="L58" t="b">
        <v>0</v>
      </c>
      <c r="M58" t="b">
        <v>0</v>
      </c>
      <c r="N58" t="inlineStr">
        <is>
          <t>alt</t>
        </is>
      </c>
      <c r="O58" t="n">
        <v>70</v>
      </c>
      <c r="P58" t="n">
        <v>0.01857</v>
      </c>
      <c r="Q58" t="n">
        <v>0</v>
      </c>
      <c r="R58" t="n">
        <v>0</v>
      </c>
      <c r="S58">
        <f>IMAGE("https://mitra.stanford.edu/kundaje/oak/projects/neuro-variants/variant_position/credible/roussos_2024/variant_figures/roussos_2024.childhood.GABA/rs839996_count_position.png",4,220,900)</f>
        <v/>
      </c>
      <c r="T58">
        <f>IMAGE("https://mitra.stanford.edu/kundaje/oak/projects/neuro-variants/variant_position/credible/roussos_2024/variant_figures/roussos_2024.childhood.GABA/rs839996_profile_position.png",4,220,900)</f>
        <v/>
      </c>
    </row>
    <row r="59">
      <c r="A59" t="inlineStr">
        <is>
          <t>chr1</t>
        </is>
      </c>
      <c r="B59" t="n">
        <v>43376073</v>
      </c>
      <c r="C59" t="inlineStr">
        <is>
          <t>T</t>
        </is>
      </c>
      <c r="D59" t="inlineStr">
        <is>
          <t>C</t>
        </is>
      </c>
      <c r="E59" t="inlineStr">
        <is>
          <t>rs11587504</t>
        </is>
      </c>
      <c r="F59" t="n">
        <v>0.0627861</v>
      </c>
      <c r="G59" t="n">
        <v>0.1207898788258135</v>
      </c>
      <c r="H59" t="n">
        <v>0.0125380546874443</v>
      </c>
      <c r="I59" t="n">
        <v>0.3595789287467902</v>
      </c>
      <c r="J59" t="n">
        <v>0.0580144918431027</v>
      </c>
      <c r="K59" t="n">
        <v>0.4729726088084203</v>
      </c>
      <c r="L59" t="b">
        <v>0</v>
      </c>
      <c r="M59" t="b">
        <v>0</v>
      </c>
      <c r="N59" t="inlineStr">
        <is>
          <t>alt</t>
        </is>
      </c>
      <c r="O59" t="n">
        <v>100</v>
      </c>
      <c r="P59" t="n">
        <v>0.05643</v>
      </c>
      <c r="Q59" t="n">
        <v>85</v>
      </c>
      <c r="R59" t="n">
        <v>0.1236</v>
      </c>
      <c r="S59">
        <f>IMAGE("https://mitra.stanford.edu/kundaje/oak/projects/neuro-variants/variant_position/credible/roussos_2024/variant_figures/roussos_2024.childhood.GABA/rs11587504_count_position.png",4,220,900)</f>
        <v/>
      </c>
      <c r="T59">
        <f>IMAGE("https://mitra.stanford.edu/kundaje/oak/projects/neuro-variants/variant_position/credible/roussos_2024/variant_figures/roussos_2024.childhood.GABA/rs11587504_profile_position.png",4,220,900)</f>
        <v/>
      </c>
    </row>
    <row r="60">
      <c r="A60" t="inlineStr">
        <is>
          <t>chr1</t>
        </is>
      </c>
      <c r="B60" t="n">
        <v>43376500</v>
      </c>
      <c r="C60" t="inlineStr">
        <is>
          <t>A</t>
        </is>
      </c>
      <c r="D60" t="inlineStr">
        <is>
          <t>G</t>
        </is>
      </c>
      <c r="E60" t="inlineStr">
        <is>
          <t>rs685756</t>
        </is>
      </c>
      <c r="F60" t="n">
        <v>-0.00749982576</v>
      </c>
      <c r="G60" t="n">
        <v>0.6478047063117472</v>
      </c>
      <c r="H60" t="n">
        <v>0.0205651390086915</v>
      </c>
      <c r="I60" t="n">
        <v>0.067584932727835</v>
      </c>
      <c r="J60" t="n">
        <v>0.0453205168478146</v>
      </c>
      <c r="K60" t="n">
        <v>0.5170519993692226</v>
      </c>
      <c r="L60" t="b">
        <v>0</v>
      </c>
      <c r="M60" t="b">
        <v>0</v>
      </c>
      <c r="N60" t="inlineStr">
        <is>
          <t>ref</t>
        </is>
      </c>
      <c r="O60" t="n">
        <v>-100</v>
      </c>
      <c r="P60" t="n">
        <v>0.05127</v>
      </c>
      <c r="Q60" t="n">
        <v>-100</v>
      </c>
      <c r="R60" t="n">
        <v>0.06042</v>
      </c>
      <c r="S60">
        <f>IMAGE("https://mitra.stanford.edu/kundaje/oak/projects/neuro-variants/variant_position/credible/roussos_2024/variant_figures/roussos_2024.childhood.GABA/rs685756_count_position.png",4,220,900)</f>
        <v/>
      </c>
      <c r="T60">
        <f>IMAGE("https://mitra.stanford.edu/kundaje/oak/projects/neuro-variants/variant_position/credible/roussos_2024/variant_figures/roussos_2024.childhood.GABA/rs685756_profile_position.png",4,220,900)</f>
        <v/>
      </c>
    </row>
    <row r="61">
      <c r="A61" t="inlineStr">
        <is>
          <t>chr1</t>
        </is>
      </c>
      <c r="B61" t="n">
        <v>43398186</v>
      </c>
      <c r="C61" t="inlineStr">
        <is>
          <t>G</t>
        </is>
      </c>
      <c r="D61" t="inlineStr">
        <is>
          <t>A</t>
        </is>
      </c>
      <c r="E61" t="inlineStr">
        <is>
          <t>rs839761</t>
        </is>
      </c>
      <c r="F61" t="n">
        <v>0.0310079557999999</v>
      </c>
      <c r="G61" t="n">
        <v>0.301749206046861</v>
      </c>
      <c r="H61" t="n">
        <v>0.0182818061567648</v>
      </c>
      <c r="I61" t="n">
        <v>0.1087572166680644</v>
      </c>
      <c r="J61" t="n">
        <v>0.0654132897740361</v>
      </c>
      <c r="K61" t="n">
        <v>0.4404600740621817</v>
      </c>
      <c r="L61" t="b">
        <v>0</v>
      </c>
      <c r="M61" t="b">
        <v>0</v>
      </c>
      <c r="N61" t="inlineStr">
        <is>
          <t>alt</t>
        </is>
      </c>
      <c r="O61" t="n">
        <v>-50</v>
      </c>
      <c r="P61" t="n">
        <v>0.0005608</v>
      </c>
      <c r="Q61" t="n">
        <v>-15</v>
      </c>
      <c r="R61" t="n">
        <v>0.00551</v>
      </c>
      <c r="S61">
        <f>IMAGE("https://mitra.stanford.edu/kundaje/oak/projects/neuro-variants/variant_position/credible/roussos_2024/variant_figures/roussos_2024.childhood.GABA/rs839761_count_position.png",4,220,900)</f>
        <v/>
      </c>
      <c r="T61">
        <f>IMAGE("https://mitra.stanford.edu/kundaje/oak/projects/neuro-variants/variant_position/credible/roussos_2024/variant_figures/roussos_2024.childhood.GABA/rs839761_profile_position.png",4,220,900)</f>
        <v/>
      </c>
    </row>
    <row r="62">
      <c r="A62" t="inlineStr">
        <is>
          <t>chr1</t>
        </is>
      </c>
      <c r="B62" t="n">
        <v>43410148</v>
      </c>
      <c r="C62" t="inlineStr">
        <is>
          <t>T</t>
        </is>
      </c>
      <c r="D62" t="inlineStr">
        <is>
          <t>C</t>
        </is>
      </c>
      <c r="E62" t="inlineStr">
        <is>
          <t>rs3001721</t>
        </is>
      </c>
      <c r="F62" t="n">
        <v>0.0258089546</v>
      </c>
      <c r="G62" t="n">
        <v>0.3307175808910739</v>
      </c>
      <c r="H62" t="n">
        <v>0.0141891838448813</v>
      </c>
      <c r="I62" t="n">
        <v>0.2669179174141642</v>
      </c>
      <c r="J62" t="n">
        <v>0.0521633054805134</v>
      </c>
      <c r="K62" t="n">
        <v>0.4772643551458454</v>
      </c>
      <c r="L62" t="b">
        <v>0</v>
      </c>
      <c r="M62" t="b">
        <v>0</v>
      </c>
      <c r="N62" t="inlineStr">
        <is>
          <t>alt</t>
        </is>
      </c>
      <c r="O62" t="n">
        <v>-20</v>
      </c>
      <c r="P62" t="n">
        <v>0.004578</v>
      </c>
      <c r="Q62" t="n">
        <v>-75</v>
      </c>
      <c r="R62" t="n">
        <v>0.01834</v>
      </c>
      <c r="S62">
        <f>IMAGE("https://mitra.stanford.edu/kundaje/oak/projects/neuro-variants/variant_position/credible/roussos_2024/variant_figures/roussos_2024.childhood.GABA/rs3001721_count_position.png",4,220,900)</f>
        <v/>
      </c>
      <c r="T62">
        <f>IMAGE("https://mitra.stanford.edu/kundaje/oak/projects/neuro-variants/variant_position/credible/roussos_2024/variant_figures/roussos_2024.childhood.GABA/rs3001721_profile_position.png",4,220,900)</f>
        <v/>
      </c>
    </row>
    <row r="63">
      <c r="A63" t="inlineStr">
        <is>
          <t>chr1</t>
        </is>
      </c>
      <c r="B63" t="n">
        <v>43414425</v>
      </c>
      <c r="C63" t="inlineStr">
        <is>
          <t>A</t>
        </is>
      </c>
      <c r="D63" t="inlineStr">
        <is>
          <t>T</t>
        </is>
      </c>
      <c r="E63" t="inlineStr">
        <is>
          <t>rs72671121</t>
        </is>
      </c>
      <c r="F63" t="n">
        <v>-0.000445601812</v>
      </c>
      <c r="G63" t="n">
        <v>0.9353737501080824</v>
      </c>
      <c r="H63" t="n">
        <v>0.0235462939746417</v>
      </c>
      <c r="I63" t="n">
        <v>0.0399714151485542</v>
      </c>
      <c r="J63" t="n">
        <v>0.1963393436786663</v>
      </c>
      <c r="K63" t="n">
        <v>0.221675052324747</v>
      </c>
      <c r="L63" t="b">
        <v>0</v>
      </c>
      <c r="M63" t="b">
        <v>0</v>
      </c>
      <c r="N63" t="inlineStr">
        <is>
          <t>ref</t>
        </is>
      </c>
      <c r="O63" t="n">
        <v>100</v>
      </c>
      <c r="P63" t="n">
        <v>0.02594</v>
      </c>
      <c r="Q63" t="n">
        <v>100</v>
      </c>
      <c r="R63" t="n">
        <v>0.23</v>
      </c>
      <c r="S63">
        <f>IMAGE("https://mitra.stanford.edu/kundaje/oak/projects/neuro-variants/variant_position/credible/roussos_2024/variant_figures/roussos_2024.childhood.GABA/rs72671121_count_position.png",4,220,900)</f>
        <v/>
      </c>
      <c r="T63">
        <f>IMAGE("https://mitra.stanford.edu/kundaje/oak/projects/neuro-variants/variant_position/credible/roussos_2024/variant_figures/roussos_2024.childhood.GABA/rs72671121_profile_position.png",4,220,900)</f>
        <v/>
      </c>
    </row>
    <row r="64">
      <c r="A64" t="inlineStr">
        <is>
          <t>chr1</t>
        </is>
      </c>
      <c r="B64" t="n">
        <v>43441225</v>
      </c>
      <c r="C64" t="inlineStr">
        <is>
          <t>A</t>
        </is>
      </c>
      <c r="D64" t="inlineStr">
        <is>
          <t>G</t>
        </is>
      </c>
      <c r="E64" t="inlineStr">
        <is>
          <t>rs2027130</t>
        </is>
      </c>
      <c r="F64" t="n">
        <v>0.0103735634199999</v>
      </c>
      <c r="G64" t="n">
        <v>0.6235084148615253</v>
      </c>
      <c r="H64" t="n">
        <v>0.0116581515949344</v>
      </c>
      <c r="I64" t="n">
        <v>0.4495733440575698</v>
      </c>
      <c r="J64" t="n">
        <v>0.3253167472932504</v>
      </c>
      <c r="K64" t="n">
        <v>0.1220534207977192</v>
      </c>
      <c r="L64" t="b">
        <v>0</v>
      </c>
      <c r="M64" t="b">
        <v>0</v>
      </c>
      <c r="N64" t="inlineStr">
        <is>
          <t>alt</t>
        </is>
      </c>
      <c r="O64" t="n">
        <v>90</v>
      </c>
      <c r="P64" t="n">
        <v>0.003914</v>
      </c>
      <c r="Q64" t="n">
        <v>95</v>
      </c>
      <c r="R64" t="n">
        <v>0.02869</v>
      </c>
      <c r="S64">
        <f>IMAGE("https://mitra.stanford.edu/kundaje/oak/projects/neuro-variants/variant_position/credible/roussos_2024/variant_figures/roussos_2024.childhood.GABA/rs2027130_count_position.png",4,220,900)</f>
        <v/>
      </c>
      <c r="T64">
        <f>IMAGE("https://mitra.stanford.edu/kundaje/oak/projects/neuro-variants/variant_position/credible/roussos_2024/variant_figures/roussos_2024.childhood.GABA/rs2027130_profile_position.png",4,220,900)</f>
        <v/>
      </c>
    </row>
    <row r="65">
      <c r="A65" t="inlineStr">
        <is>
          <t>chr1</t>
        </is>
      </c>
      <c r="B65" t="n">
        <v>43458495</v>
      </c>
      <c r="C65" t="inlineStr">
        <is>
          <t>A</t>
        </is>
      </c>
      <c r="D65" t="inlineStr">
        <is>
          <t>T</t>
        </is>
      </c>
      <c r="E65" t="inlineStr">
        <is>
          <t>rs2494994</t>
        </is>
      </c>
      <c r="F65" t="n">
        <v>-0.0229011703999999</v>
      </c>
      <c r="G65" t="n">
        <v>0.3859581978809477</v>
      </c>
      <c r="H65" t="n">
        <v>0.0127273497279443</v>
      </c>
      <c r="I65" t="n">
        <v>0.3750478854135976</v>
      </c>
      <c r="J65" t="n">
        <v>0.0141431593055642</v>
      </c>
      <c r="K65" t="n">
        <v>0.7111015377317903</v>
      </c>
      <c r="L65" t="b">
        <v>0</v>
      </c>
      <c r="M65" t="b">
        <v>0</v>
      </c>
      <c r="N65" t="inlineStr">
        <is>
          <t>ref</t>
        </is>
      </c>
      <c r="O65" t="n">
        <v>85</v>
      </c>
      <c r="P65" t="n">
        <v>0.008995</v>
      </c>
      <c r="Q65" t="n">
        <v>-40</v>
      </c>
      <c r="R65" t="n">
        <v>0.00415</v>
      </c>
      <c r="S65">
        <f>IMAGE("https://mitra.stanford.edu/kundaje/oak/projects/neuro-variants/variant_position/credible/roussos_2024/variant_figures/roussos_2024.childhood.GABA/rs2494994_count_position.png",4,220,900)</f>
        <v/>
      </c>
      <c r="T65">
        <f>IMAGE("https://mitra.stanford.edu/kundaje/oak/projects/neuro-variants/variant_position/credible/roussos_2024/variant_figures/roussos_2024.childhood.GABA/rs2494994_profile_position.png",4,220,900)</f>
        <v/>
      </c>
    </row>
    <row r="66">
      <c r="A66" t="inlineStr">
        <is>
          <t>chr1</t>
        </is>
      </c>
      <c r="B66" t="n">
        <v>43461740</v>
      </c>
      <c r="C66" t="inlineStr">
        <is>
          <t>T</t>
        </is>
      </c>
      <c r="D66" t="inlineStr">
        <is>
          <t>C</t>
        </is>
      </c>
      <c r="E66" t="inlineStr">
        <is>
          <t>rs2842196</t>
        </is>
      </c>
      <c r="F66" t="n">
        <v>0.1028868759999999</v>
      </c>
      <c r="G66" t="n">
        <v>0.0294834096290112</v>
      </c>
      <c r="H66" t="n">
        <v>0.0286584685401072</v>
      </c>
      <c r="I66" t="n">
        <v>0.0155296705967526</v>
      </c>
      <c r="J66" t="n">
        <v>0.049078553328726</v>
      </c>
      <c r="K66" t="n">
        <v>0.5206186655683923</v>
      </c>
      <c r="L66" t="b">
        <v>1</v>
      </c>
      <c r="M66" t="b">
        <v>0</v>
      </c>
      <c r="N66" t="inlineStr">
        <is>
          <t>alt</t>
        </is>
      </c>
      <c r="O66" t="n">
        <v>-100</v>
      </c>
      <c r="P66" t="n">
        <v>0.008354</v>
      </c>
      <c r="Q66" t="n">
        <v>-70</v>
      </c>
      <c r="R66" t="n">
        <v>0.0597</v>
      </c>
      <c r="S66">
        <f>IMAGE("https://mitra.stanford.edu/kundaje/oak/projects/neuro-variants/variant_position/credible/roussos_2024/variant_figures/roussos_2024.childhood.GABA/rs2842196_count_position.png",4,220,900)</f>
        <v/>
      </c>
      <c r="T66">
        <f>IMAGE("https://mitra.stanford.edu/kundaje/oak/projects/neuro-variants/variant_position/credible/roussos_2024/variant_figures/roussos_2024.childhood.GABA/rs2842196_profile_position.png",4,220,900)</f>
        <v/>
      </c>
    </row>
    <row r="67">
      <c r="A67" t="inlineStr">
        <is>
          <t>chr1</t>
        </is>
      </c>
      <c r="B67" t="n">
        <v>43473130</v>
      </c>
      <c r="C67" t="inlineStr">
        <is>
          <t>A</t>
        </is>
      </c>
      <c r="D67" t="inlineStr">
        <is>
          <t>C</t>
        </is>
      </c>
      <c r="E67" t="inlineStr">
        <is>
          <t>rs7413861</t>
        </is>
      </c>
      <c r="F67" t="n">
        <v>-0.0658856922</v>
      </c>
      <c r="G67" t="n">
        <v>0.1034877416121043</v>
      </c>
      <c r="H67" t="n">
        <v>0.0265968600741829</v>
      </c>
      <c r="I67" t="n">
        <v>0.0283681191077917</v>
      </c>
      <c r="J67" t="n">
        <v>0.1983947980147012</v>
      </c>
      <c r="K67" t="n">
        <v>0.222893029198177</v>
      </c>
      <c r="L67" t="b">
        <v>0</v>
      </c>
      <c r="M67" t="b">
        <v>0</v>
      </c>
      <c r="N67" t="inlineStr">
        <is>
          <t>ref</t>
        </is>
      </c>
      <c r="O67" t="n">
        <v>-50</v>
      </c>
      <c r="P67" t="n">
        <v>0.00202</v>
      </c>
      <c r="Q67" t="n">
        <v>-90</v>
      </c>
      <c r="R67" t="n">
        <v>0.0781</v>
      </c>
      <c r="S67">
        <f>IMAGE("https://mitra.stanford.edu/kundaje/oak/projects/neuro-variants/variant_position/credible/roussos_2024/variant_figures/roussos_2024.childhood.GABA/rs7413861_count_position.png",4,220,900)</f>
        <v/>
      </c>
      <c r="T67">
        <f>IMAGE("https://mitra.stanford.edu/kundaje/oak/projects/neuro-variants/variant_position/credible/roussos_2024/variant_figures/roussos_2024.childhood.GABA/rs7413861_profile_position.png",4,220,900)</f>
        <v/>
      </c>
    </row>
    <row r="68">
      <c r="A68" t="inlineStr">
        <is>
          <t>chr1</t>
        </is>
      </c>
      <c r="B68" t="n">
        <v>43483103</v>
      </c>
      <c r="C68" t="inlineStr">
        <is>
          <t>G</t>
        </is>
      </c>
      <c r="D68" t="inlineStr">
        <is>
          <t>A</t>
        </is>
      </c>
      <c r="E68" t="inlineStr">
        <is>
          <t>rs10789433</t>
        </is>
      </c>
      <c r="F68" t="n">
        <v>0.008386435719999899</v>
      </c>
      <c r="G68" t="n">
        <v>0.6664116427465147</v>
      </c>
      <c r="H68" t="n">
        <v>0.0385420525447082</v>
      </c>
      <c r="I68" t="n">
        <v>0.0044005947563583</v>
      </c>
      <c r="J68" t="n">
        <v>0.0054260643756151</v>
      </c>
      <c r="K68" t="n">
        <v>0.8092054398610279</v>
      </c>
      <c r="L68" t="b">
        <v>0</v>
      </c>
      <c r="M68" t="b">
        <v>0</v>
      </c>
      <c r="N68" t="inlineStr">
        <is>
          <t>alt</t>
        </is>
      </c>
      <c r="O68" t="n">
        <v>-90</v>
      </c>
      <c r="P68" t="n">
        <v>0.0349</v>
      </c>
      <c r="Q68" t="n">
        <v>-50</v>
      </c>
      <c r="R68" t="n">
        <v>0.0761</v>
      </c>
      <c r="S68">
        <f>IMAGE("https://mitra.stanford.edu/kundaje/oak/projects/neuro-variants/variant_position/credible/roussos_2024/variant_figures/roussos_2024.childhood.GABA/rs10789433_count_position.png",4,220,900)</f>
        <v/>
      </c>
      <c r="T68">
        <f>IMAGE("https://mitra.stanford.edu/kundaje/oak/projects/neuro-variants/variant_position/credible/roussos_2024/variant_figures/roussos_2024.childhood.GABA/rs10789433_profile_position.png",4,220,900)</f>
        <v/>
      </c>
    </row>
    <row r="69">
      <c r="A69" t="inlineStr">
        <is>
          <t>chr1</t>
        </is>
      </c>
      <c r="B69" t="n">
        <v>43483424</v>
      </c>
      <c r="C69" t="inlineStr">
        <is>
          <t>A</t>
        </is>
      </c>
      <c r="D69" t="inlineStr">
        <is>
          <t>G</t>
        </is>
      </c>
      <c r="E69" t="inlineStr">
        <is>
          <t>rs10732843</t>
        </is>
      </c>
      <c r="F69" t="n">
        <v>-0.0240671986</v>
      </c>
      <c r="G69" t="n">
        <v>0.3766563639302016</v>
      </c>
      <c r="H69" t="n">
        <v>0.025217159979869</v>
      </c>
      <c r="I69" t="n">
        <v>0.0280959175366285</v>
      </c>
      <c r="J69" t="n">
        <v>0.0041590752026134</v>
      </c>
      <c r="K69" t="n">
        <v>0.8313257201567311</v>
      </c>
      <c r="L69" t="b">
        <v>0</v>
      </c>
      <c r="M69" t="b">
        <v>0</v>
      </c>
      <c r="N69" t="inlineStr">
        <is>
          <t>ref</t>
        </is>
      </c>
      <c r="O69" t="n">
        <v>90</v>
      </c>
      <c r="P69" t="n">
        <v>0.006714</v>
      </c>
      <c r="Q69" t="n">
        <v>-40</v>
      </c>
      <c r="R69" t="n">
        <v>0.03375</v>
      </c>
      <c r="S69">
        <f>IMAGE("https://mitra.stanford.edu/kundaje/oak/projects/neuro-variants/variant_position/credible/roussos_2024/variant_figures/roussos_2024.childhood.GABA/rs10732843_count_position.png",4,220,900)</f>
        <v/>
      </c>
      <c r="T69">
        <f>IMAGE("https://mitra.stanford.edu/kundaje/oak/projects/neuro-variants/variant_position/credible/roussos_2024/variant_figures/roussos_2024.childhood.GABA/rs10732843_profile_position.png",4,220,900)</f>
        <v/>
      </c>
    </row>
    <row r="70">
      <c r="A70" t="inlineStr">
        <is>
          <t>chr1</t>
        </is>
      </c>
      <c r="B70" t="n">
        <v>43580248</v>
      </c>
      <c r="C70" t="inlineStr">
        <is>
          <t>A</t>
        </is>
      </c>
      <c r="D70" t="inlineStr">
        <is>
          <t>G</t>
        </is>
      </c>
      <c r="E70" t="inlineStr">
        <is>
          <t>rs2077652</t>
        </is>
      </c>
      <c r="F70" t="n">
        <v>0.0636462</v>
      </c>
      <c r="G70" t="n">
        <v>0.0866374399799766</v>
      </c>
      <c r="H70" t="n">
        <v>0.0110440224418564</v>
      </c>
      <c r="I70" t="n">
        <v>0.5250902146600822</v>
      </c>
      <c r="J70" t="n">
        <v>0.2993309040648363</v>
      </c>
      <c r="K70" t="n">
        <v>0.1384894080753634</v>
      </c>
      <c r="L70" t="b">
        <v>0</v>
      </c>
      <c r="M70" t="b">
        <v>0</v>
      </c>
      <c r="N70" t="inlineStr">
        <is>
          <t>alt</t>
        </is>
      </c>
      <c r="O70" t="n">
        <v>-80</v>
      </c>
      <c r="P70" t="n">
        <v>0.03134</v>
      </c>
      <c r="Q70" t="n">
        <v>35</v>
      </c>
      <c r="R70" t="n">
        <v>0.006714</v>
      </c>
      <c r="S70">
        <f>IMAGE("https://mitra.stanford.edu/kundaje/oak/projects/neuro-variants/variant_position/credible/roussos_2024/variant_figures/roussos_2024.childhood.GABA/rs2077652_count_position.png",4,220,900)</f>
        <v/>
      </c>
      <c r="T70">
        <f>IMAGE("https://mitra.stanford.edu/kundaje/oak/projects/neuro-variants/variant_position/credible/roussos_2024/variant_figures/roussos_2024.childhood.GABA/rs2077652_profile_position.png",4,220,900)</f>
        <v/>
      </c>
    </row>
    <row r="71">
      <c r="A71" t="inlineStr">
        <is>
          <t>chr1</t>
        </is>
      </c>
      <c r="B71" t="n">
        <v>43582229</v>
      </c>
      <c r="C71" t="inlineStr">
        <is>
          <t>G</t>
        </is>
      </c>
      <c r="D71" t="inlineStr">
        <is>
          <t>C</t>
        </is>
      </c>
      <c r="E71" t="inlineStr">
        <is>
          <t>rs16830935</t>
        </is>
      </c>
      <c r="F71" t="n">
        <v>0.0137438533199999</v>
      </c>
      <c r="G71" t="n">
        <v>0.2787447078352514</v>
      </c>
      <c r="H71" t="n">
        <v>0.0114593258997722</v>
      </c>
      <c r="I71" t="n">
        <v>0.482834990705513</v>
      </c>
      <c r="J71" t="n">
        <v>0.546683839081904</v>
      </c>
      <c r="K71" t="n">
        <v>0.0395043986436013</v>
      </c>
      <c r="L71" t="b">
        <v>0</v>
      </c>
      <c r="M71" t="b">
        <v>0</v>
      </c>
      <c r="N71" t="inlineStr">
        <is>
          <t>alt</t>
        </is>
      </c>
      <c r="O71" t="n">
        <v>100</v>
      </c>
      <c r="P71" t="n">
        <v>0.006645</v>
      </c>
      <c r="Q71" t="n">
        <v>50</v>
      </c>
      <c r="R71" t="n">
        <v>0.07874</v>
      </c>
      <c r="S71">
        <f>IMAGE("https://mitra.stanford.edu/kundaje/oak/projects/neuro-variants/variant_position/credible/roussos_2024/variant_figures/roussos_2024.childhood.GABA/rs16830935_count_position.png",4,220,900)</f>
        <v/>
      </c>
      <c r="T71">
        <f>IMAGE("https://mitra.stanford.edu/kundaje/oak/projects/neuro-variants/variant_position/credible/roussos_2024/variant_figures/roussos_2024.childhood.GABA/rs16830935_profile_position.png",4,220,900)</f>
        <v/>
      </c>
    </row>
    <row r="72">
      <c r="A72" t="inlineStr">
        <is>
          <t>chr1</t>
        </is>
      </c>
      <c r="B72" t="n">
        <v>43596766</v>
      </c>
      <c r="C72" t="inlineStr">
        <is>
          <t>C</t>
        </is>
      </c>
      <c r="D72" t="inlineStr">
        <is>
          <t>T</t>
        </is>
      </c>
      <c r="E72" t="inlineStr">
        <is>
          <t>rs10890265</t>
        </is>
      </c>
      <c r="F72" t="n">
        <v>-0.0427969163999999</v>
      </c>
      <c r="G72" t="n">
        <v>0.1861402545520677</v>
      </c>
      <c r="H72" t="n">
        <v>0.0154959509692489</v>
      </c>
      <c r="I72" t="n">
        <v>0.2025286284577811</v>
      </c>
      <c r="J72" t="n">
        <v>0.262332726016209</v>
      </c>
      <c r="K72" t="n">
        <v>0.1659588828141505</v>
      </c>
      <c r="L72" t="b">
        <v>0</v>
      </c>
      <c r="M72" t="b">
        <v>0</v>
      </c>
      <c r="N72" t="inlineStr">
        <is>
          <t>ref</t>
        </is>
      </c>
      <c r="O72" t="n">
        <v>35</v>
      </c>
      <c r="P72" t="n">
        <v>0.001201</v>
      </c>
      <c r="Q72" t="n">
        <v>-60</v>
      </c>
      <c r="R72" t="n">
        <v>0.01785</v>
      </c>
      <c r="S72">
        <f>IMAGE("https://mitra.stanford.edu/kundaje/oak/projects/neuro-variants/variant_position/credible/roussos_2024/variant_figures/roussos_2024.childhood.GABA/rs10890265_count_position.png",4,220,900)</f>
        <v/>
      </c>
      <c r="T72">
        <f>IMAGE("https://mitra.stanford.edu/kundaje/oak/projects/neuro-variants/variant_position/credible/roussos_2024/variant_figures/roussos_2024.childhood.GABA/rs10890265_profile_position.png",4,220,900)</f>
        <v/>
      </c>
    </row>
    <row r="73">
      <c r="A73" t="inlineStr">
        <is>
          <t>chr1</t>
        </is>
      </c>
      <c r="B73" t="n">
        <v>43613740</v>
      </c>
      <c r="C73" t="inlineStr">
        <is>
          <t>T</t>
        </is>
      </c>
      <c r="D73" t="inlineStr">
        <is>
          <t>C</t>
        </is>
      </c>
      <c r="E73" t="inlineStr">
        <is>
          <t>rs603542</t>
        </is>
      </c>
      <c r="F73" t="n">
        <v>0.0796341094</v>
      </c>
      <c r="G73" t="n">
        <v>0.054114290817174</v>
      </c>
      <c r="H73" t="n">
        <v>0.0186508052962458</v>
      </c>
      <c r="I73" t="n">
        <v>0.0997831485800115</v>
      </c>
      <c r="J73" t="n">
        <v>0.4044323679085255</v>
      </c>
      <c r="K73" t="n">
        <v>0.08275035646365241</v>
      </c>
      <c r="L73" t="b">
        <v>0</v>
      </c>
      <c r="M73" t="b">
        <v>0</v>
      </c>
      <c r="N73" t="inlineStr">
        <is>
          <t>alt</t>
        </is>
      </c>
      <c r="O73" t="n">
        <v>-45</v>
      </c>
      <c r="P73" t="n">
        <v>0.002167</v>
      </c>
      <c r="Q73" t="n">
        <v>15</v>
      </c>
      <c r="R73" t="n">
        <v>0.02228</v>
      </c>
      <c r="S73">
        <f>IMAGE("https://mitra.stanford.edu/kundaje/oak/projects/neuro-variants/variant_position/credible/roussos_2024/variant_figures/roussos_2024.childhood.GABA/rs603542_count_position.png",4,220,900)</f>
        <v/>
      </c>
      <c r="T73">
        <f>IMAGE("https://mitra.stanford.edu/kundaje/oak/projects/neuro-variants/variant_position/credible/roussos_2024/variant_figures/roussos_2024.childhood.GABA/rs603542_profile_position.png",4,220,900)</f>
        <v/>
      </c>
    </row>
    <row r="74">
      <c r="A74" t="inlineStr">
        <is>
          <t>chr1</t>
        </is>
      </c>
      <c r="B74" t="n">
        <v>43618949</v>
      </c>
      <c r="C74" t="inlineStr">
        <is>
          <t>G</t>
        </is>
      </c>
      <c r="D74" t="inlineStr">
        <is>
          <t>T</t>
        </is>
      </c>
      <c r="E74" t="inlineStr">
        <is>
          <t>rs16831024</t>
        </is>
      </c>
      <c r="F74" t="n">
        <v>-0.0118082561999999</v>
      </c>
      <c r="G74" t="n">
        <v>0.6003686823556528</v>
      </c>
      <c r="H74" t="n">
        <v>0.0097938007404331</v>
      </c>
      <c r="I74" t="n">
        <v>0.6536292158784477</v>
      </c>
      <c r="J74" t="n">
        <v>0.4365667734707126</v>
      </c>
      <c r="K74" t="n">
        <v>0.07065582336221719</v>
      </c>
      <c r="L74" t="b">
        <v>0</v>
      </c>
      <c r="M74" t="b">
        <v>0</v>
      </c>
      <c r="N74" t="inlineStr">
        <is>
          <t>ref</t>
        </is>
      </c>
      <c r="O74" t="n">
        <v>-70</v>
      </c>
      <c r="P74" t="n">
        <v>0.001173</v>
      </c>
      <c r="Q74" t="n">
        <v>100</v>
      </c>
      <c r="R74" t="n">
        <v>0.006866</v>
      </c>
      <c r="S74">
        <f>IMAGE("https://mitra.stanford.edu/kundaje/oak/projects/neuro-variants/variant_position/credible/roussos_2024/variant_figures/roussos_2024.childhood.GABA/rs16831024_count_position.png",4,220,900)</f>
        <v/>
      </c>
      <c r="T74">
        <f>IMAGE("https://mitra.stanford.edu/kundaje/oak/projects/neuro-variants/variant_position/credible/roussos_2024/variant_figures/roussos_2024.childhood.GABA/rs16831024_profile_position.png",4,220,900)</f>
        <v/>
      </c>
    </row>
    <row r="75">
      <c r="A75" t="inlineStr">
        <is>
          <t>chr1</t>
        </is>
      </c>
      <c r="B75" t="n">
        <v>43621160</v>
      </c>
      <c r="C75" t="inlineStr">
        <is>
          <t>C</t>
        </is>
      </c>
      <c r="D75" t="inlineStr">
        <is>
          <t>T</t>
        </is>
      </c>
      <c r="E75" t="inlineStr">
        <is>
          <t>rs1143702</t>
        </is>
      </c>
      <c r="F75" t="n">
        <v>0.1928082019999999</v>
      </c>
      <c r="G75" t="n">
        <v>0.0052455683506469</v>
      </c>
      <c r="H75" t="n">
        <v>0.031482017913606</v>
      </c>
      <c r="I75" t="n">
        <v>0.0108787629949355</v>
      </c>
      <c r="J75" t="n">
        <v>0.61408975728257</v>
      </c>
      <c r="K75" t="n">
        <v>0.0257128872762081</v>
      </c>
      <c r="L75" t="b">
        <v>1</v>
      </c>
      <c r="M75" t="b">
        <v>1</v>
      </c>
      <c r="N75" t="inlineStr">
        <is>
          <t>alt</t>
        </is>
      </c>
      <c r="O75" t="n">
        <v>85</v>
      </c>
      <c r="P75" t="n">
        <v>0.00116</v>
      </c>
      <c r="Q75" t="n">
        <v>60</v>
      </c>
      <c r="R75" t="n">
        <v>0.01172</v>
      </c>
      <c r="S75">
        <f>IMAGE("https://mitra.stanford.edu/kundaje/oak/projects/neuro-variants/variant_position/credible/roussos_2024/variant_figures/roussos_2024.childhood.GABA/rs1143702_count_position.png",4,220,900)</f>
        <v/>
      </c>
      <c r="T75">
        <f>IMAGE("https://mitra.stanford.edu/kundaje/oak/projects/neuro-variants/variant_position/credible/roussos_2024/variant_figures/roussos_2024.childhood.GABA/rs1143702_profile_position.png",4,220,900)</f>
        <v/>
      </c>
    </row>
    <row r="76">
      <c r="A76" t="inlineStr">
        <is>
          <t>chr1</t>
        </is>
      </c>
      <c r="B76" t="n">
        <v>43636916</v>
      </c>
      <c r="C76" t="inlineStr">
        <is>
          <t>C</t>
        </is>
      </c>
      <c r="D76" t="inlineStr">
        <is>
          <t>T</t>
        </is>
      </c>
      <c r="E76" t="inlineStr">
        <is>
          <t>rs11210894</t>
        </is>
      </c>
      <c r="F76" t="n">
        <v>-0.04874707</v>
      </c>
      <c r="G76" t="n">
        <v>0.1618824537200975</v>
      </c>
      <c r="H76" t="n">
        <v>0.0163258510768912</v>
      </c>
      <c r="I76" t="n">
        <v>0.16775876165781</v>
      </c>
      <c r="J76" t="n">
        <v>0.083654792569789</v>
      </c>
      <c r="K76" t="n">
        <v>0.4071108529443756</v>
      </c>
      <c r="L76" t="b">
        <v>0</v>
      </c>
      <c r="M76" t="b">
        <v>0</v>
      </c>
      <c r="N76" t="inlineStr">
        <is>
          <t>ref</t>
        </is>
      </c>
      <c r="O76" t="n">
        <v>-100</v>
      </c>
      <c r="P76" t="n">
        <v>0.02148</v>
      </c>
      <c r="Q76" t="n">
        <v>15</v>
      </c>
      <c r="R76" t="n">
        <v>0.01776</v>
      </c>
      <c r="S76">
        <f>IMAGE("https://mitra.stanford.edu/kundaje/oak/projects/neuro-variants/variant_position/credible/roussos_2024/variant_figures/roussos_2024.childhood.GABA/rs11210894_count_position.png",4,220,900)</f>
        <v/>
      </c>
      <c r="T76">
        <f>IMAGE("https://mitra.stanford.edu/kundaje/oak/projects/neuro-variants/variant_position/credible/roussos_2024/variant_figures/roussos_2024.childhood.GABA/rs11210894_profile_position.png",4,220,900)</f>
        <v/>
      </c>
    </row>
    <row r="77">
      <c r="A77" t="inlineStr">
        <is>
          <t>chr1</t>
        </is>
      </c>
      <c r="B77" t="n">
        <v>43640118</v>
      </c>
      <c r="C77" t="inlineStr">
        <is>
          <t>C</t>
        </is>
      </c>
      <c r="D77" t="inlineStr">
        <is>
          <t>T</t>
        </is>
      </c>
      <c r="E77" t="inlineStr">
        <is>
          <t>rs12045413</t>
        </is>
      </c>
      <c r="F77" t="n">
        <v>-0.06500378900000001</v>
      </c>
      <c r="G77" t="n">
        <v>0.0861345372332511</v>
      </c>
      <c r="H77" t="n">
        <v>0.0114163948365125</v>
      </c>
      <c r="I77" t="n">
        <v>0.4831707327547497</v>
      </c>
      <c r="J77" t="n">
        <v>0.0249366505413498</v>
      </c>
      <c r="K77" t="n">
        <v>0.6240439934933086</v>
      </c>
      <c r="L77" t="b">
        <v>0</v>
      </c>
      <c r="M77" t="b">
        <v>0</v>
      </c>
      <c r="N77" t="inlineStr">
        <is>
          <t>ref</t>
        </is>
      </c>
      <c r="O77" t="n">
        <v>80</v>
      </c>
      <c r="P77" t="n">
        <v>0.02943</v>
      </c>
      <c r="Q77" t="n">
        <v>-100</v>
      </c>
      <c r="R77" t="n">
        <v>0.05682</v>
      </c>
      <c r="S77">
        <f>IMAGE("https://mitra.stanford.edu/kundaje/oak/projects/neuro-variants/variant_position/credible/roussos_2024/variant_figures/roussos_2024.childhood.GABA/rs12045413_count_position.png",4,220,900)</f>
        <v/>
      </c>
      <c r="T77">
        <f>IMAGE("https://mitra.stanford.edu/kundaje/oak/projects/neuro-variants/variant_position/credible/roussos_2024/variant_figures/roussos_2024.childhood.GABA/rs12045413_profile_position.png",4,220,900)</f>
        <v/>
      </c>
    </row>
    <row r="78">
      <c r="A78" t="inlineStr">
        <is>
          <t>chr1</t>
        </is>
      </c>
      <c r="B78" t="n">
        <v>43652524</v>
      </c>
      <c r="C78" t="inlineStr">
        <is>
          <t>A</t>
        </is>
      </c>
      <c r="D78" t="inlineStr">
        <is>
          <t>T</t>
        </is>
      </c>
      <c r="E78" t="inlineStr">
        <is>
          <t>rs12041746</t>
        </is>
      </c>
      <c r="F78" t="n">
        <v>-0.00087515878</v>
      </c>
      <c r="G78" t="n">
        <v>0.9739201092467856</v>
      </c>
      <c r="H78" t="n">
        <v>0.0252646771683676</v>
      </c>
      <c r="I78" t="n">
        <v>0.0272963336150751</v>
      </c>
      <c r="J78" t="n">
        <v>0.0163179828694686</v>
      </c>
      <c r="K78" t="n">
        <v>0.6786312460113995</v>
      </c>
      <c r="L78" t="b">
        <v>0</v>
      </c>
      <c r="M78" t="b">
        <v>0</v>
      </c>
      <c r="N78" t="inlineStr">
        <is>
          <t>ref</t>
        </is>
      </c>
      <c r="O78" t="n">
        <v>55</v>
      </c>
      <c r="P78" t="n">
        <v>0.056</v>
      </c>
      <c r="Q78" t="n">
        <v>100</v>
      </c>
      <c r="R78" t="n">
        <v>0.07480000000000001</v>
      </c>
      <c r="S78">
        <f>IMAGE("https://mitra.stanford.edu/kundaje/oak/projects/neuro-variants/variant_position/credible/roussos_2024/variant_figures/roussos_2024.childhood.GABA/rs12041746_count_position.png",4,220,900)</f>
        <v/>
      </c>
      <c r="T78">
        <f>IMAGE("https://mitra.stanford.edu/kundaje/oak/projects/neuro-variants/variant_position/credible/roussos_2024/variant_figures/roussos_2024.childhood.GABA/rs12041746_profile_position.png",4,220,900)</f>
        <v/>
      </c>
    </row>
    <row r="79">
      <c r="A79" t="inlineStr">
        <is>
          <t>chr1</t>
        </is>
      </c>
      <c r="B79" t="n">
        <v>43706787</v>
      </c>
      <c r="C79" t="inlineStr">
        <is>
          <t>C</t>
        </is>
      </c>
      <c r="D79" t="inlineStr">
        <is>
          <t>T</t>
        </is>
      </c>
      <c r="E79" t="inlineStr">
        <is>
          <t>rs34550543</t>
        </is>
      </c>
      <c r="F79" t="n">
        <v>-0.02755592772</v>
      </c>
      <c r="G79" t="n">
        <v>0.3265295302528267</v>
      </c>
      <c r="H79" t="n">
        <v>0.0112075936446193</v>
      </c>
      <c r="I79" t="n">
        <v>0.4857146826775028</v>
      </c>
      <c r="J79" t="n">
        <v>0.7138489246298507</v>
      </c>
      <c r="K79" t="n">
        <v>0.0133719753695343</v>
      </c>
      <c r="L79" t="b">
        <v>0</v>
      </c>
      <c r="M79" t="b">
        <v>0</v>
      </c>
      <c r="N79" t="inlineStr">
        <is>
          <t>ref</t>
        </is>
      </c>
      <c r="O79" t="n">
        <v>-70</v>
      </c>
      <c r="P79" t="n">
        <v>0.01101</v>
      </c>
      <c r="Q79" t="n">
        <v>90</v>
      </c>
      <c r="R79" t="n">
        <v>0.05414</v>
      </c>
      <c r="S79">
        <f>IMAGE("https://mitra.stanford.edu/kundaje/oak/projects/neuro-variants/variant_position/credible/roussos_2024/variant_figures/roussos_2024.childhood.GABA/rs34550543_count_position.png",4,220,900)</f>
        <v/>
      </c>
      <c r="T79">
        <f>IMAGE("https://mitra.stanford.edu/kundaje/oak/projects/neuro-variants/variant_position/credible/roussos_2024/variant_figures/roussos_2024.childhood.GABA/rs34550543_profile_position.png",4,220,900)</f>
        <v/>
      </c>
    </row>
    <row r="80">
      <c r="A80" t="inlineStr">
        <is>
          <t>chr1</t>
        </is>
      </c>
      <c r="B80" t="n">
        <v>43765809</v>
      </c>
      <c r="C80" t="inlineStr">
        <is>
          <t>G</t>
        </is>
      </c>
      <c r="D80" t="inlineStr">
        <is>
          <t>A</t>
        </is>
      </c>
      <c r="E80" t="inlineStr">
        <is>
          <t>rs56352978</t>
        </is>
      </c>
      <c r="F80" t="n">
        <v>0.09098886320000001</v>
      </c>
      <c r="G80" t="n">
        <v>0.0261224846413273</v>
      </c>
      <c r="H80" t="n">
        <v>0.0286608451482583</v>
      </c>
      <c r="I80" t="n">
        <v>0.0161691138004707</v>
      </c>
      <c r="J80" t="n">
        <v>0.5121976503109882</v>
      </c>
      <c r="K80" t="n">
        <v>0.0480399891731059</v>
      </c>
      <c r="L80" t="b">
        <v>1</v>
      </c>
      <c r="M80" t="b">
        <v>0</v>
      </c>
      <c r="N80" t="inlineStr">
        <is>
          <t>alt</t>
        </is>
      </c>
      <c r="O80" t="n">
        <v>40</v>
      </c>
      <c r="P80" t="n">
        <v>0.001343</v>
      </c>
      <c r="Q80" t="n">
        <v>55</v>
      </c>
      <c r="R80" t="n">
        <v>0.03467</v>
      </c>
      <c r="S80">
        <f>IMAGE("https://mitra.stanford.edu/kundaje/oak/projects/neuro-variants/variant_position/credible/roussos_2024/variant_figures/roussos_2024.childhood.GABA/rs56352978_count_position.png",4,220,900)</f>
        <v/>
      </c>
      <c r="T80">
        <f>IMAGE("https://mitra.stanford.edu/kundaje/oak/projects/neuro-variants/variant_position/credible/roussos_2024/variant_figures/roussos_2024.childhood.GABA/rs56352978_profile_position.png",4,220,900)</f>
        <v/>
      </c>
    </row>
    <row r="81">
      <c r="A81" t="inlineStr">
        <is>
          <t>chr1</t>
        </is>
      </c>
      <c r="B81" t="n">
        <v>43767861</v>
      </c>
      <c r="C81" t="inlineStr">
        <is>
          <t>C</t>
        </is>
      </c>
      <c r="D81" t="inlineStr">
        <is>
          <t>T</t>
        </is>
      </c>
      <c r="E81" t="inlineStr">
        <is>
          <t>rs11590088</t>
        </is>
      </c>
      <c r="F81" t="n">
        <v>0.00342884716</v>
      </c>
      <c r="G81" t="n">
        <v>0.8251735945234291</v>
      </c>
      <c r="H81" t="n">
        <v>0.0183668664259986</v>
      </c>
      <c r="I81" t="n">
        <v>0.106842801688085</v>
      </c>
      <c r="J81" t="n">
        <v>0.0013340034763669</v>
      </c>
      <c r="K81" t="n">
        <v>0.9027304475945048</v>
      </c>
      <c r="L81" t="b">
        <v>0</v>
      </c>
      <c r="M81" t="b">
        <v>0</v>
      </c>
      <c r="N81" t="inlineStr">
        <is>
          <t>alt</t>
        </is>
      </c>
      <c r="O81" t="n">
        <v>95</v>
      </c>
      <c r="P81" t="n">
        <v>0.02151</v>
      </c>
      <c r="Q81" t="n">
        <v>-60</v>
      </c>
      <c r="R81" t="n">
        <v>0.06775</v>
      </c>
      <c r="S81">
        <f>IMAGE("https://mitra.stanford.edu/kundaje/oak/projects/neuro-variants/variant_position/credible/roussos_2024/variant_figures/roussos_2024.childhood.GABA/rs11590088_count_position.png",4,220,900)</f>
        <v/>
      </c>
      <c r="T81">
        <f>IMAGE("https://mitra.stanford.edu/kundaje/oak/projects/neuro-variants/variant_position/credible/roussos_2024/variant_figures/roussos_2024.childhood.GABA/rs11590088_profile_position.png",4,220,900)</f>
        <v/>
      </c>
    </row>
    <row r="82">
      <c r="A82" t="inlineStr">
        <is>
          <t>chr1</t>
        </is>
      </c>
      <c r="B82" t="n">
        <v>49392239</v>
      </c>
      <c r="C82" t="inlineStr">
        <is>
          <t>C</t>
        </is>
      </c>
      <c r="D82" t="inlineStr">
        <is>
          <t>T</t>
        </is>
      </c>
      <c r="E82" t="inlineStr">
        <is>
          <t>rs3957</t>
        </is>
      </c>
      <c r="F82" t="n">
        <v>-0.1243698011999999</v>
      </c>
      <c r="G82" t="n">
        <v>0.0172996604064763</v>
      </c>
      <c r="H82" t="n">
        <v>0.0113770069728969</v>
      </c>
      <c r="I82" t="n">
        <v>0.4934848572706919</v>
      </c>
      <c r="J82" t="n">
        <v>0.2165535800297375</v>
      </c>
      <c r="K82" t="n">
        <v>0.1948548433670526</v>
      </c>
      <c r="L82" t="b">
        <v>1</v>
      </c>
      <c r="M82" t="b">
        <v>0</v>
      </c>
      <c r="N82" t="inlineStr">
        <is>
          <t>ref</t>
        </is>
      </c>
      <c r="O82" t="n">
        <v>40</v>
      </c>
      <c r="P82" t="n">
        <v>0.0017395</v>
      </c>
      <c r="Q82" t="n">
        <v>35</v>
      </c>
      <c r="R82" t="n">
        <v>0.05908</v>
      </c>
      <c r="S82">
        <f>IMAGE("https://mitra.stanford.edu/kundaje/oak/projects/neuro-variants/variant_position/credible/roussos_2024/variant_figures/roussos_2024.childhood.GABA/rs3957_count_position.png",4,220,900)</f>
        <v/>
      </c>
      <c r="T82">
        <f>IMAGE("https://mitra.stanford.edu/kundaje/oak/projects/neuro-variants/variant_position/credible/roussos_2024/variant_figures/roussos_2024.childhood.GABA/rs3957_profile_position.png",4,220,900)</f>
        <v/>
      </c>
    </row>
    <row r="83">
      <c r="A83" t="inlineStr">
        <is>
          <t>chr1</t>
        </is>
      </c>
      <c r="B83" t="n">
        <v>49508120</v>
      </c>
      <c r="C83" t="inlineStr">
        <is>
          <t>T</t>
        </is>
      </c>
      <c r="D83" t="inlineStr">
        <is>
          <t>C</t>
        </is>
      </c>
      <c r="E83" t="inlineStr">
        <is>
          <t>rs1167295</t>
        </is>
      </c>
      <c r="F83" t="n">
        <v>-0.00241776056</v>
      </c>
      <c r="G83" t="n">
        <v>0.8681802684553118</v>
      </c>
      <c r="H83" t="n">
        <v>0.0184783737533808</v>
      </c>
      <c r="I83" t="n">
        <v>0.10468031033484</v>
      </c>
      <c r="J83" t="n">
        <v>0.000113086636929</v>
      </c>
      <c r="K83" t="n">
        <v>0.9800587209145796</v>
      </c>
      <c r="L83" t="b">
        <v>0</v>
      </c>
      <c r="M83" t="b">
        <v>0</v>
      </c>
      <c r="N83" t="inlineStr">
        <is>
          <t>ref</t>
        </is>
      </c>
      <c r="O83" t="n">
        <v>95</v>
      </c>
      <c r="P83" t="n">
        <v>0.008803999999999999</v>
      </c>
      <c r="Q83" t="n">
        <v>90</v>
      </c>
      <c r="R83" t="n">
        <v>0.07153</v>
      </c>
      <c r="S83">
        <f>IMAGE("https://mitra.stanford.edu/kundaje/oak/projects/neuro-variants/variant_position/credible/roussos_2024/variant_figures/roussos_2024.childhood.GABA/rs1167295_count_position.png",4,220,900)</f>
        <v/>
      </c>
      <c r="T83">
        <f>IMAGE("https://mitra.stanford.edu/kundaje/oak/projects/neuro-variants/variant_position/credible/roussos_2024/variant_figures/roussos_2024.childhood.GABA/rs1167295_profile_position.png",4,220,900)</f>
        <v/>
      </c>
    </row>
    <row r="84">
      <c r="A84" t="inlineStr">
        <is>
          <t>chr1</t>
        </is>
      </c>
      <c r="B84" t="n">
        <v>49509401</v>
      </c>
      <c r="C84" t="inlineStr">
        <is>
          <t>C</t>
        </is>
      </c>
      <c r="D84" t="inlineStr">
        <is>
          <t>T</t>
        </is>
      </c>
      <c r="E84" t="inlineStr">
        <is>
          <t>rs1167294</t>
        </is>
      </c>
      <c r="F84" t="n">
        <v>0.00928577674</v>
      </c>
      <c r="G84" t="n">
        <v>0.6551361127895652</v>
      </c>
      <c r="H84" t="n">
        <v>0.0214247032880878</v>
      </c>
      <c r="I84" t="n">
        <v>0.0561296523085545</v>
      </c>
      <c r="J84" t="n">
        <v>0.00174760737995</v>
      </c>
      <c r="K84" t="n">
        <v>0.8897103165228446</v>
      </c>
      <c r="L84" t="b">
        <v>0</v>
      </c>
      <c r="M84" t="b">
        <v>0</v>
      </c>
      <c r="N84" t="inlineStr">
        <is>
          <t>alt</t>
        </is>
      </c>
      <c r="O84" t="n">
        <v>70</v>
      </c>
      <c r="P84" t="n">
        <v>0.001137</v>
      </c>
      <c r="Q84" t="n">
        <v>-100</v>
      </c>
      <c r="R84" t="n">
        <v>0.03143</v>
      </c>
      <c r="S84">
        <f>IMAGE("https://mitra.stanford.edu/kundaje/oak/projects/neuro-variants/variant_position/credible/roussos_2024/variant_figures/roussos_2024.childhood.GABA/rs1167294_count_position.png",4,220,900)</f>
        <v/>
      </c>
      <c r="T84">
        <f>IMAGE("https://mitra.stanford.edu/kundaje/oak/projects/neuro-variants/variant_position/credible/roussos_2024/variant_figures/roussos_2024.childhood.GABA/rs1167294_profile_position.png",4,220,900)</f>
        <v/>
      </c>
    </row>
    <row r="85">
      <c r="A85" t="inlineStr">
        <is>
          <t>chr1</t>
        </is>
      </c>
      <c r="B85" t="n">
        <v>49552771</v>
      </c>
      <c r="C85" t="inlineStr">
        <is>
          <t>T</t>
        </is>
      </c>
      <c r="D85" t="inlineStr">
        <is>
          <t>C</t>
        </is>
      </c>
      <c r="E85" t="inlineStr">
        <is>
          <t>rs1405913</t>
        </is>
      </c>
      <c r="F85" t="n">
        <v>0.0144983655999999</v>
      </c>
      <c r="G85" t="n">
        <v>0.3728152953327843</v>
      </c>
      <c r="H85" t="n">
        <v>0.0122715621785698</v>
      </c>
      <c r="I85" t="n">
        <v>0.4079812146941619</v>
      </c>
      <c r="J85" t="n">
        <v>0.2287721723105274</v>
      </c>
      <c r="K85" t="n">
        <v>0.1886696574852187</v>
      </c>
      <c r="L85" t="b">
        <v>0</v>
      </c>
      <c r="M85" t="b">
        <v>0</v>
      </c>
      <c r="N85" t="inlineStr">
        <is>
          <t>alt</t>
        </is>
      </c>
      <c r="O85" t="n">
        <v>-95</v>
      </c>
      <c r="P85" t="n">
        <v>0.003298</v>
      </c>
      <c r="Q85" t="n">
        <v>-55</v>
      </c>
      <c r="R85" t="n">
        <v>0.01074</v>
      </c>
      <c r="S85">
        <f>IMAGE("https://mitra.stanford.edu/kundaje/oak/projects/neuro-variants/variant_position/credible/roussos_2024/variant_figures/roussos_2024.childhood.GABA/rs1405913_count_position.png",4,220,900)</f>
        <v/>
      </c>
      <c r="T85">
        <f>IMAGE("https://mitra.stanford.edu/kundaje/oak/projects/neuro-variants/variant_position/credible/roussos_2024/variant_figures/roussos_2024.childhood.GABA/rs1405913_profile_position.png",4,220,900)</f>
        <v/>
      </c>
    </row>
    <row r="86">
      <c r="A86" t="inlineStr">
        <is>
          <t>chr1</t>
        </is>
      </c>
      <c r="B86" t="n">
        <v>49561483</v>
      </c>
      <c r="C86" t="inlineStr">
        <is>
          <t>C</t>
        </is>
      </c>
      <c r="D86" t="inlineStr">
        <is>
          <t>T</t>
        </is>
      </c>
      <c r="E86" t="inlineStr">
        <is>
          <t>rs1305494</t>
        </is>
      </c>
      <c r="F86" t="n">
        <v>-0.01005316581</v>
      </c>
      <c r="G86" t="n">
        <v>0.6496890573362765</v>
      </c>
      <c r="H86" t="n">
        <v>0.0091233662256366</v>
      </c>
      <c r="I86" t="n">
        <v>0.7453236305517824</v>
      </c>
      <c r="J86" t="n">
        <v>0.001609390379259</v>
      </c>
      <c r="K86" t="n">
        <v>0.8995760510629961</v>
      </c>
      <c r="L86" t="b">
        <v>0</v>
      </c>
      <c r="M86" t="b">
        <v>0</v>
      </c>
      <c r="N86" t="inlineStr">
        <is>
          <t>ref</t>
        </is>
      </c>
      <c r="O86" t="n">
        <v>-100</v>
      </c>
      <c r="P86" t="n">
        <v>0.0708</v>
      </c>
      <c r="Q86" t="n">
        <v>-100</v>
      </c>
      <c r="R86" t="n">
        <v>0.04535</v>
      </c>
      <c r="S86">
        <f>IMAGE("https://mitra.stanford.edu/kundaje/oak/projects/neuro-variants/variant_position/credible/roussos_2024/variant_figures/roussos_2024.childhood.GABA/rs1305494_count_position.png",4,220,900)</f>
        <v/>
      </c>
      <c r="T86">
        <f>IMAGE("https://mitra.stanford.edu/kundaje/oak/projects/neuro-variants/variant_position/credible/roussos_2024/variant_figures/roussos_2024.childhood.GABA/rs1305494_profile_position.png",4,220,900)</f>
        <v/>
      </c>
    </row>
    <row r="87">
      <c r="A87" t="inlineStr">
        <is>
          <t>chr1</t>
        </is>
      </c>
      <c r="B87" t="n">
        <v>49615927</v>
      </c>
      <c r="C87" t="inlineStr">
        <is>
          <t>C</t>
        </is>
      </c>
      <c r="D87" t="inlineStr">
        <is>
          <t>T</t>
        </is>
      </c>
      <c r="E87" t="inlineStr">
        <is>
          <t>rs11205633</t>
        </is>
      </c>
      <c r="F87" t="n">
        <v>-0.0616911334</v>
      </c>
      <c r="G87" t="n">
        <v>0.1012277608464672</v>
      </c>
      <c r="H87" t="n">
        <v>0.0137939603064957</v>
      </c>
      <c r="I87" t="n">
        <v>0.2969540642179745</v>
      </c>
      <c r="J87" t="n">
        <v>0.0155295177064354</v>
      </c>
      <c r="K87" t="n">
        <v>0.6881493100666563</v>
      </c>
      <c r="L87" t="b">
        <v>0</v>
      </c>
      <c r="M87" t="b">
        <v>0</v>
      </c>
      <c r="N87" t="inlineStr">
        <is>
          <t>ref</t>
        </is>
      </c>
      <c r="O87" t="n">
        <v>-70</v>
      </c>
      <c r="P87" t="n">
        <v>0.007046</v>
      </c>
      <c r="Q87" t="n">
        <v>70</v>
      </c>
      <c r="R87" t="n">
        <v>0.0736</v>
      </c>
      <c r="S87">
        <f>IMAGE("https://mitra.stanford.edu/kundaje/oak/projects/neuro-variants/variant_position/credible/roussos_2024/variant_figures/roussos_2024.childhood.GABA/rs11205633_count_position.png",4,220,900)</f>
        <v/>
      </c>
      <c r="T87">
        <f>IMAGE("https://mitra.stanford.edu/kundaje/oak/projects/neuro-variants/variant_position/credible/roussos_2024/variant_figures/roussos_2024.childhood.GABA/rs11205633_profile_position.png",4,220,900)</f>
        <v/>
      </c>
    </row>
    <row r="88">
      <c r="A88" t="inlineStr">
        <is>
          <t>chr1</t>
        </is>
      </c>
      <c r="B88" t="n">
        <v>49620517</v>
      </c>
      <c r="C88" t="inlineStr">
        <is>
          <t>C</t>
        </is>
      </c>
      <c r="D88" t="inlineStr">
        <is>
          <t>G</t>
        </is>
      </c>
      <c r="E88" t="inlineStr">
        <is>
          <t>rs6684606</t>
        </is>
      </c>
      <c r="F88" t="n">
        <v>-0.0300281278</v>
      </c>
      <c r="G88" t="n">
        <v>0.3038880013868723</v>
      </c>
      <c r="H88" t="n">
        <v>0.008050719653039599</v>
      </c>
      <c r="I88" t="n">
        <v>0.8560289305326492</v>
      </c>
      <c r="J88" t="n">
        <v>0.0033412912818579</v>
      </c>
      <c r="K88" t="n">
        <v>0.8478595454530968</v>
      </c>
      <c r="L88" t="b">
        <v>0</v>
      </c>
      <c r="M88" t="b">
        <v>0</v>
      </c>
      <c r="N88" t="inlineStr">
        <is>
          <t>ref</t>
        </is>
      </c>
      <c r="O88" t="n">
        <v>65</v>
      </c>
      <c r="P88" t="n">
        <v>0.00476</v>
      </c>
      <c r="Q88" t="n">
        <v>80</v>
      </c>
      <c r="R88" t="n">
        <v>0.04886</v>
      </c>
      <c r="S88">
        <f>IMAGE("https://mitra.stanford.edu/kundaje/oak/projects/neuro-variants/variant_position/credible/roussos_2024/variant_figures/roussos_2024.childhood.GABA/rs6684606_count_position.png",4,220,900)</f>
        <v/>
      </c>
      <c r="T88">
        <f>IMAGE("https://mitra.stanford.edu/kundaje/oak/projects/neuro-variants/variant_position/credible/roussos_2024/variant_figures/roussos_2024.childhood.GABA/rs6684606_profile_position.png",4,220,900)</f>
        <v/>
      </c>
    </row>
    <row r="89">
      <c r="A89" t="inlineStr">
        <is>
          <t>chr1</t>
        </is>
      </c>
      <c r="B89" t="n">
        <v>49647919</v>
      </c>
      <c r="C89" t="inlineStr">
        <is>
          <t>T</t>
        </is>
      </c>
      <c r="D89" t="inlineStr">
        <is>
          <t>C</t>
        </is>
      </c>
      <c r="E89" t="inlineStr">
        <is>
          <t>rs6588355</t>
        </is>
      </c>
      <c r="F89" t="n">
        <v>-0.0757475253999999</v>
      </c>
      <c r="G89" t="n">
        <v>0.0681216103140647</v>
      </c>
      <c r="H89" t="n">
        <v>0.0206395105576092</v>
      </c>
      <c r="I89" t="n">
        <v>0.0676243467594846</v>
      </c>
      <c r="J89" t="n">
        <v>0.0153305689933194</v>
      </c>
      <c r="K89" t="n">
        <v>0.6890153511961483</v>
      </c>
      <c r="L89" t="b">
        <v>0</v>
      </c>
      <c r="M89" t="b">
        <v>0</v>
      </c>
      <c r="N89" t="inlineStr">
        <is>
          <t>ref</t>
        </is>
      </c>
      <c r="O89" t="n">
        <v>-100</v>
      </c>
      <c r="P89" t="n">
        <v>0.009169999999999999</v>
      </c>
      <c r="Q89" t="n">
        <v>-80</v>
      </c>
      <c r="R89" t="n">
        <v>0.01221</v>
      </c>
      <c r="S89">
        <f>IMAGE("https://mitra.stanford.edu/kundaje/oak/projects/neuro-variants/variant_position/credible/roussos_2024/variant_figures/roussos_2024.childhood.GABA/rs6588355_count_position.png",4,220,900)</f>
        <v/>
      </c>
      <c r="T89">
        <f>IMAGE("https://mitra.stanford.edu/kundaje/oak/projects/neuro-variants/variant_position/credible/roussos_2024/variant_figures/roussos_2024.childhood.GABA/rs6588355_profile_position.png",4,220,900)</f>
        <v/>
      </c>
    </row>
    <row r="90">
      <c r="A90" t="inlineStr">
        <is>
          <t>chr1</t>
        </is>
      </c>
      <c r="B90" t="n">
        <v>49652929</v>
      </c>
      <c r="C90" t="inlineStr">
        <is>
          <t>T</t>
        </is>
      </c>
      <c r="D90" t="inlineStr">
        <is>
          <t>C</t>
        </is>
      </c>
      <c r="E90" t="inlineStr">
        <is>
          <t>rs6660689</t>
        </is>
      </c>
      <c r="F90" t="n">
        <v>0.07795517020000001</v>
      </c>
      <c r="G90" t="n">
        <v>0.0524402914621115</v>
      </c>
      <c r="H90" t="n">
        <v>0.0143474937834694</v>
      </c>
      <c r="I90" t="n">
        <v>0.263271517408728</v>
      </c>
      <c r="J90" t="n">
        <v>0.1630499884819165</v>
      </c>
      <c r="K90" t="n">
        <v>0.2631601490495217</v>
      </c>
      <c r="L90" t="b">
        <v>0</v>
      </c>
      <c r="M90" t="b">
        <v>0</v>
      </c>
      <c r="N90" t="inlineStr">
        <is>
          <t>alt</t>
        </is>
      </c>
      <c r="O90" t="n">
        <v>-100</v>
      </c>
      <c r="P90" t="n">
        <v>0.00423</v>
      </c>
      <c r="Q90" t="n">
        <v>-100</v>
      </c>
      <c r="R90" t="n">
        <v>0.1234</v>
      </c>
      <c r="S90">
        <f>IMAGE("https://mitra.stanford.edu/kundaje/oak/projects/neuro-variants/variant_position/credible/roussos_2024/variant_figures/roussos_2024.childhood.GABA/rs6660689_count_position.png",4,220,900)</f>
        <v/>
      </c>
      <c r="T90">
        <f>IMAGE("https://mitra.stanford.edu/kundaje/oak/projects/neuro-variants/variant_position/credible/roussos_2024/variant_figures/roussos_2024.childhood.GABA/rs6660689_profile_position.png",4,220,900)</f>
        <v/>
      </c>
    </row>
    <row r="91">
      <c r="A91" t="inlineStr">
        <is>
          <t>chr1</t>
        </is>
      </c>
      <c r="B91" t="n">
        <v>49716626</v>
      </c>
      <c r="C91" t="inlineStr">
        <is>
          <t>C</t>
        </is>
      </c>
      <c r="D91" t="inlineStr">
        <is>
          <t>T</t>
        </is>
      </c>
      <c r="E91" t="inlineStr">
        <is>
          <t>rs12137221</t>
        </is>
      </c>
      <c r="F91" t="n">
        <v>-0.0558069222</v>
      </c>
      <c r="G91" t="n">
        <v>0.1207573782271504</v>
      </c>
      <c r="H91" t="n">
        <v>0.0144084281743248</v>
      </c>
      <c r="I91" t="n">
        <v>0.2568475498307689</v>
      </c>
      <c r="J91" t="n">
        <v>0.1132060061569391</v>
      </c>
      <c r="K91" t="n">
        <v>0.3312808263571192</v>
      </c>
      <c r="L91" t="b">
        <v>0</v>
      </c>
      <c r="M91" t="b">
        <v>0</v>
      </c>
      <c r="N91" t="inlineStr">
        <is>
          <t>ref</t>
        </is>
      </c>
      <c r="O91" t="n">
        <v>40</v>
      </c>
      <c r="P91" t="n">
        <v>0.006897</v>
      </c>
      <c r="Q91" t="n">
        <v>100</v>
      </c>
      <c r="R91" t="n">
        <v>0.10474</v>
      </c>
      <c r="S91">
        <f>IMAGE("https://mitra.stanford.edu/kundaje/oak/projects/neuro-variants/variant_position/credible/roussos_2024/variant_figures/roussos_2024.childhood.GABA/rs12137221_count_position.png",4,220,900)</f>
        <v/>
      </c>
      <c r="T91">
        <f>IMAGE("https://mitra.stanford.edu/kundaje/oak/projects/neuro-variants/variant_position/credible/roussos_2024/variant_figures/roussos_2024.childhood.GABA/rs12137221_profile_position.png",4,220,900)</f>
        <v/>
      </c>
    </row>
    <row r="92">
      <c r="A92" t="inlineStr">
        <is>
          <t>chr1</t>
        </is>
      </c>
      <c r="B92" t="n">
        <v>49752696</v>
      </c>
      <c r="C92" t="inlineStr">
        <is>
          <t>T</t>
        </is>
      </c>
      <c r="D92" t="inlineStr">
        <is>
          <t>G</t>
        </is>
      </c>
      <c r="E92" t="inlineStr">
        <is>
          <t>rs4926540</t>
        </is>
      </c>
      <c r="F92" t="n">
        <v>0.002339944794</v>
      </c>
      <c r="G92" t="n">
        <v>0.7504787783443928</v>
      </c>
      <c r="H92" t="n">
        <v>0.008571217138506801</v>
      </c>
      <c r="I92" t="n">
        <v>0.7914670817834394</v>
      </c>
      <c r="J92" t="n">
        <v>0.0137965697053464</v>
      </c>
      <c r="K92" t="n">
        <v>0.697673905296622</v>
      </c>
      <c r="L92" t="b">
        <v>0</v>
      </c>
      <c r="M92" t="b">
        <v>0</v>
      </c>
      <c r="N92" t="inlineStr">
        <is>
          <t>alt</t>
        </is>
      </c>
      <c r="O92" t="n">
        <v>-95</v>
      </c>
      <c r="P92" t="n">
        <v>0.001947</v>
      </c>
      <c r="Q92" t="n">
        <v>-50</v>
      </c>
      <c r="R92" t="n">
        <v>0.007294</v>
      </c>
      <c r="S92">
        <f>IMAGE("https://mitra.stanford.edu/kundaje/oak/projects/neuro-variants/variant_position/credible/roussos_2024/variant_figures/roussos_2024.childhood.GABA/rs4926540_count_position.png",4,220,900)</f>
        <v/>
      </c>
      <c r="T92">
        <f>IMAGE("https://mitra.stanford.edu/kundaje/oak/projects/neuro-variants/variant_position/credible/roussos_2024/variant_figures/roussos_2024.childhood.GABA/rs4926540_profile_position.png",4,220,900)</f>
        <v/>
      </c>
    </row>
    <row r="93">
      <c r="A93" t="inlineStr">
        <is>
          <t>chr1</t>
        </is>
      </c>
      <c r="B93" t="n">
        <v>49850920</v>
      </c>
      <c r="C93" t="inlineStr">
        <is>
          <t>C</t>
        </is>
      </c>
      <c r="D93" t="inlineStr">
        <is>
          <t>T</t>
        </is>
      </c>
      <c r="E93" t="inlineStr">
        <is>
          <t>rs68007327</t>
        </is>
      </c>
      <c r="F93" t="n">
        <v>-0.0381549587999999</v>
      </c>
      <c r="G93" t="n">
        <v>0.2255412963405914</v>
      </c>
      <c r="H93" t="n">
        <v>0.0127764937398194</v>
      </c>
      <c r="I93" t="n">
        <v>0.3697271412278202</v>
      </c>
      <c r="J93" t="n">
        <v>0.0006429184729115</v>
      </c>
      <c r="K93" t="n">
        <v>0.943838369934212</v>
      </c>
      <c r="L93" t="b">
        <v>0</v>
      </c>
      <c r="M93" t="b">
        <v>0</v>
      </c>
      <c r="N93" t="inlineStr">
        <is>
          <t>ref</t>
        </is>
      </c>
      <c r="O93" t="n">
        <v>-95</v>
      </c>
      <c r="P93" t="n">
        <v>0.013824</v>
      </c>
      <c r="Q93" t="n">
        <v>5</v>
      </c>
      <c r="R93" t="n">
        <v>0.002136</v>
      </c>
      <c r="S93">
        <f>IMAGE("https://mitra.stanford.edu/kundaje/oak/projects/neuro-variants/variant_position/credible/roussos_2024/variant_figures/roussos_2024.childhood.GABA/rs68007327_count_position.png",4,220,900)</f>
        <v/>
      </c>
      <c r="T93">
        <f>IMAGE("https://mitra.stanford.edu/kundaje/oak/projects/neuro-variants/variant_position/credible/roussos_2024/variant_figures/roussos_2024.childhood.GABA/rs68007327_profile_position.png",4,220,900)</f>
        <v/>
      </c>
    </row>
    <row r="94">
      <c r="A94" t="inlineStr">
        <is>
          <t>chr1</t>
        </is>
      </c>
      <c r="B94" t="n">
        <v>60578378</v>
      </c>
      <c r="C94" t="inlineStr">
        <is>
          <t>C</t>
        </is>
      </c>
      <c r="D94" t="inlineStr">
        <is>
          <t>T</t>
        </is>
      </c>
      <c r="E94" t="inlineStr">
        <is>
          <t>rs987335</t>
        </is>
      </c>
      <c r="F94" t="n">
        <v>-0.0517328693999999</v>
      </c>
      <c r="G94" t="n">
        <v>0.1393273529389506</v>
      </c>
      <c r="H94" t="n">
        <v>0.0130463643369304</v>
      </c>
      <c r="I94" t="n">
        <v>0.3482017785483838</v>
      </c>
      <c r="J94" t="n">
        <v>0.0372306339134258</v>
      </c>
      <c r="K94" t="n">
        <v>0.5663672427998482</v>
      </c>
      <c r="L94" t="b">
        <v>0</v>
      </c>
      <c r="M94" t="b">
        <v>0</v>
      </c>
      <c r="N94" t="inlineStr">
        <is>
          <t>ref</t>
        </is>
      </c>
      <c r="O94" t="n">
        <v>100</v>
      </c>
      <c r="P94" t="n">
        <v>0.004887</v>
      </c>
      <c r="Q94" t="n">
        <v>15</v>
      </c>
      <c r="R94" t="n">
        <v>0.010254</v>
      </c>
      <c r="S94">
        <f>IMAGE("https://mitra.stanford.edu/kundaje/oak/projects/neuro-variants/variant_position/credible/roussos_2024/variant_figures/roussos_2024.childhood.GABA/rs987335_count_position.png",4,220,900)</f>
        <v/>
      </c>
      <c r="T94">
        <f>IMAGE("https://mitra.stanford.edu/kundaje/oak/projects/neuro-variants/variant_position/credible/roussos_2024/variant_figures/roussos_2024.childhood.GABA/rs987335_profile_position.png",4,220,900)</f>
        <v/>
      </c>
    </row>
    <row r="95">
      <c r="A95" t="inlineStr">
        <is>
          <t>chr1</t>
        </is>
      </c>
      <c r="B95" t="n">
        <v>60586229</v>
      </c>
      <c r="C95" t="inlineStr">
        <is>
          <t>C</t>
        </is>
      </c>
      <c r="D95" t="inlineStr">
        <is>
          <t>T</t>
        </is>
      </c>
      <c r="E95" t="inlineStr">
        <is>
          <t>rs11207639</t>
        </is>
      </c>
      <c r="F95" t="n">
        <v>-0.00328424132</v>
      </c>
      <c r="G95" t="n">
        <v>0.8033779957590405</v>
      </c>
      <c r="H95" t="n">
        <v>0.0212404781116514</v>
      </c>
      <c r="I95" t="n">
        <v>0.0577660316047513</v>
      </c>
      <c r="J95" t="n">
        <v>0.0002429268496994</v>
      </c>
      <c r="K95" t="n">
        <v>0.9579938450606686</v>
      </c>
      <c r="L95" t="b">
        <v>0</v>
      </c>
      <c r="M95" t="b">
        <v>0</v>
      </c>
      <c r="N95" t="inlineStr">
        <is>
          <t>ref</t>
        </is>
      </c>
      <c r="O95" t="n">
        <v>70</v>
      </c>
      <c r="P95" t="n">
        <v>0.006348</v>
      </c>
      <c r="Q95" t="n">
        <v>100</v>
      </c>
      <c r="R95" t="n">
        <v>0.04865</v>
      </c>
      <c r="S95">
        <f>IMAGE("https://mitra.stanford.edu/kundaje/oak/projects/neuro-variants/variant_position/credible/roussos_2024/variant_figures/roussos_2024.childhood.GABA/rs11207639_count_position.png",4,220,900)</f>
        <v/>
      </c>
      <c r="T95">
        <f>IMAGE("https://mitra.stanford.edu/kundaje/oak/projects/neuro-variants/variant_position/credible/roussos_2024/variant_figures/roussos_2024.childhood.GABA/rs11207639_profile_position.png",4,220,900)</f>
        <v/>
      </c>
    </row>
    <row r="96">
      <c r="A96" t="inlineStr">
        <is>
          <t>chr1</t>
        </is>
      </c>
      <c r="B96" t="n">
        <v>60596802</v>
      </c>
      <c r="C96" t="inlineStr">
        <is>
          <t>G</t>
        </is>
      </c>
      <c r="D96" t="inlineStr">
        <is>
          <t>A</t>
        </is>
      </c>
      <c r="E96" t="inlineStr">
        <is>
          <t>rs484743</t>
        </is>
      </c>
      <c r="F96" t="n">
        <v>0.104568008</v>
      </c>
      <c r="G96" t="n">
        <v>0.0281422633344723</v>
      </c>
      <c r="H96" t="n">
        <v>0.0342174963319173</v>
      </c>
      <c r="I96" t="n">
        <v>0.0072741500956352</v>
      </c>
      <c r="J96" t="n">
        <v>0.0563569349332997</v>
      </c>
      <c r="K96" t="n">
        <v>0.4684335040677765</v>
      </c>
      <c r="L96" t="b">
        <v>1</v>
      </c>
      <c r="M96" t="b">
        <v>1</v>
      </c>
      <c r="N96" t="inlineStr">
        <is>
          <t>alt</t>
        </is>
      </c>
      <c r="O96" t="n">
        <v>35</v>
      </c>
      <c r="P96" t="n">
        <v>0.001234</v>
      </c>
      <c r="Q96" t="n">
        <v>-80</v>
      </c>
      <c r="R96" t="n">
        <v>0.03925</v>
      </c>
      <c r="S96">
        <f>IMAGE("https://mitra.stanford.edu/kundaje/oak/projects/neuro-variants/variant_position/credible/roussos_2024/variant_figures/roussos_2024.childhood.GABA/rs484743_count_position.png",4,220,900)</f>
        <v/>
      </c>
      <c r="T96">
        <f>IMAGE("https://mitra.stanford.edu/kundaje/oak/projects/neuro-variants/variant_position/credible/roussos_2024/variant_figures/roussos_2024.childhood.GABA/rs484743_profile_position.png",4,220,900)</f>
        <v/>
      </c>
    </row>
    <row r="97">
      <c r="A97" t="inlineStr">
        <is>
          <t>chr1</t>
        </is>
      </c>
      <c r="B97" t="n">
        <v>60597975</v>
      </c>
      <c r="C97" t="inlineStr">
        <is>
          <t>G</t>
        </is>
      </c>
      <c r="D97" t="inlineStr">
        <is>
          <t>T</t>
        </is>
      </c>
      <c r="E97" t="inlineStr">
        <is>
          <t>rs10218679</t>
        </is>
      </c>
      <c r="F97" t="n">
        <v>0.0331592495999999</v>
      </c>
      <c r="G97" t="n">
        <v>0.2750618930829417</v>
      </c>
      <c r="H97" t="n">
        <v>0.0205847650867197</v>
      </c>
      <c r="I97" t="n">
        <v>0.0671246306164501</v>
      </c>
      <c r="J97" t="n">
        <v>0.2325909405038637</v>
      </c>
      <c r="K97" t="n">
        <v>0.1897312619478358</v>
      </c>
      <c r="L97" t="b">
        <v>0</v>
      </c>
      <c r="M97" t="b">
        <v>0</v>
      </c>
      <c r="N97" t="inlineStr">
        <is>
          <t>alt</t>
        </is>
      </c>
      <c r="O97" t="n">
        <v>-95</v>
      </c>
      <c r="P97" t="n">
        <v>0.006664</v>
      </c>
      <c r="Q97" t="n">
        <v>0</v>
      </c>
      <c r="R97" t="n">
        <v>0</v>
      </c>
      <c r="S97">
        <f>IMAGE("https://mitra.stanford.edu/kundaje/oak/projects/neuro-variants/variant_position/credible/roussos_2024/variant_figures/roussos_2024.childhood.GABA/rs10218679_count_position.png",4,220,900)</f>
        <v/>
      </c>
      <c r="T97">
        <f>IMAGE("https://mitra.stanford.edu/kundaje/oak/projects/neuro-variants/variant_position/credible/roussos_2024/variant_figures/roussos_2024.childhood.GABA/rs10218679_profile_position.png",4,220,900)</f>
        <v/>
      </c>
    </row>
    <row r="98">
      <c r="A98" t="inlineStr">
        <is>
          <t>chr1</t>
        </is>
      </c>
      <c r="B98" t="n">
        <v>60620463</v>
      </c>
      <c r="C98" t="inlineStr">
        <is>
          <t>T</t>
        </is>
      </c>
      <c r="D98" t="inlineStr">
        <is>
          <t>C</t>
        </is>
      </c>
      <c r="E98" t="inlineStr">
        <is>
          <t>rs2987774</t>
        </is>
      </c>
      <c r="F98" t="n">
        <v>-0.02592456858</v>
      </c>
      <c r="G98" t="n">
        <v>0.3615034880554521</v>
      </c>
      <c r="H98" t="n">
        <v>0.0259949844075217</v>
      </c>
      <c r="I98" t="n">
        <v>0.0252320255738644</v>
      </c>
      <c r="J98" t="n">
        <v>0.0525790035810767</v>
      </c>
      <c r="K98" t="n">
        <v>0.4868444273789195</v>
      </c>
      <c r="L98" t="b">
        <v>0</v>
      </c>
      <c r="M98" t="b">
        <v>0</v>
      </c>
      <c r="N98" t="inlineStr">
        <is>
          <t>ref</t>
        </is>
      </c>
      <c r="O98" t="n">
        <v>95</v>
      </c>
      <c r="P98" t="n">
        <v>0.01007</v>
      </c>
      <c r="Q98" t="n">
        <v>90</v>
      </c>
      <c r="R98" t="n">
        <v>0.1544</v>
      </c>
      <c r="S98">
        <f>IMAGE("https://mitra.stanford.edu/kundaje/oak/projects/neuro-variants/variant_position/credible/roussos_2024/variant_figures/roussos_2024.childhood.GABA/rs2987774_count_position.png",4,220,900)</f>
        <v/>
      </c>
      <c r="T98">
        <f>IMAGE("https://mitra.stanford.edu/kundaje/oak/projects/neuro-variants/variant_position/credible/roussos_2024/variant_figures/roussos_2024.childhood.GABA/rs2987774_profile_position.png",4,220,900)</f>
        <v/>
      </c>
    </row>
    <row r="99">
      <c r="A99" t="inlineStr">
        <is>
          <t>chr1</t>
        </is>
      </c>
      <c r="B99" t="n">
        <v>60646465</v>
      </c>
      <c r="C99" t="inlineStr">
        <is>
          <t>A</t>
        </is>
      </c>
      <c r="D99" t="inlineStr">
        <is>
          <t>G</t>
        </is>
      </c>
      <c r="E99" t="inlineStr">
        <is>
          <t>rs494011</t>
        </is>
      </c>
      <c r="F99" t="n">
        <v>-0.009738265273999999</v>
      </c>
      <c r="G99" t="n">
        <v>0.6484000333323516</v>
      </c>
      <c r="H99" t="n">
        <v>0.0443181440592063</v>
      </c>
      <c r="I99" t="n">
        <v>0.002610534421789</v>
      </c>
      <c r="J99" t="n">
        <v>0.0149756026051809</v>
      </c>
      <c r="K99" t="n">
        <v>0.6874657149478568</v>
      </c>
      <c r="L99" t="b">
        <v>1</v>
      </c>
      <c r="M99" t="b">
        <v>0</v>
      </c>
      <c r="N99" t="inlineStr">
        <is>
          <t>ref</t>
        </is>
      </c>
      <c r="O99" t="n">
        <v>25</v>
      </c>
      <c r="P99" t="n">
        <v>0.002441</v>
      </c>
      <c r="Q99" t="n">
        <v>60</v>
      </c>
      <c r="R99" t="n">
        <v>0.0999</v>
      </c>
      <c r="S99">
        <f>IMAGE("https://mitra.stanford.edu/kundaje/oak/projects/neuro-variants/variant_position/credible/roussos_2024/variant_figures/roussos_2024.childhood.GABA/rs494011_count_position.png",4,220,900)</f>
        <v/>
      </c>
      <c r="T99">
        <f>IMAGE("https://mitra.stanford.edu/kundaje/oak/projects/neuro-variants/variant_position/credible/roussos_2024/variant_figures/roussos_2024.childhood.GABA/rs494011_profile_position.png",4,220,900)</f>
        <v/>
      </c>
    </row>
    <row r="100">
      <c r="A100" t="inlineStr">
        <is>
          <t>chr1</t>
        </is>
      </c>
      <c r="B100" t="n">
        <v>60653642</v>
      </c>
      <c r="C100" t="inlineStr">
        <is>
          <t>T</t>
        </is>
      </c>
      <c r="D100" t="inlineStr">
        <is>
          <t>C</t>
        </is>
      </c>
      <c r="E100" t="inlineStr">
        <is>
          <t>rs554774</t>
        </is>
      </c>
      <c r="F100" t="n">
        <v>0.0916959</v>
      </c>
      <c r="G100" t="n">
        <v>0.0351123847718699</v>
      </c>
      <c r="H100" t="n">
        <v>0.0154363410677145</v>
      </c>
      <c r="I100" t="n">
        <v>0.2020729460052075</v>
      </c>
      <c r="J100" t="n">
        <v>0.2096594835710246</v>
      </c>
      <c r="K100" t="n">
        <v>0.2064143811108337</v>
      </c>
      <c r="L100" t="b">
        <v>0</v>
      </c>
      <c r="M100" t="b">
        <v>0</v>
      </c>
      <c r="N100" t="inlineStr">
        <is>
          <t>alt</t>
        </is>
      </c>
      <c r="O100" t="n">
        <v>-100</v>
      </c>
      <c r="P100" t="n">
        <v>0.01503</v>
      </c>
      <c r="Q100" t="n">
        <v>55</v>
      </c>
      <c r="R100" t="n">
        <v>0.08154</v>
      </c>
      <c r="S100">
        <f>IMAGE("https://mitra.stanford.edu/kundaje/oak/projects/neuro-variants/variant_position/credible/roussos_2024/variant_figures/roussos_2024.childhood.GABA/rs554774_count_position.png",4,220,900)</f>
        <v/>
      </c>
      <c r="T100">
        <f>IMAGE("https://mitra.stanford.edu/kundaje/oak/projects/neuro-variants/variant_position/credible/roussos_2024/variant_figures/roussos_2024.childhood.GABA/rs554774_profile_position.png",4,220,900)</f>
        <v/>
      </c>
    </row>
    <row r="101">
      <c r="A101" t="inlineStr">
        <is>
          <t>chr1</t>
        </is>
      </c>
      <c r="B101" t="n">
        <v>60656200</v>
      </c>
      <c r="C101" t="inlineStr">
        <is>
          <t>C</t>
        </is>
      </c>
      <c r="D101" t="inlineStr">
        <is>
          <t>A</t>
        </is>
      </c>
      <c r="E101" t="inlineStr">
        <is>
          <t>rs489543</t>
        </is>
      </c>
      <c r="F101" t="n">
        <v>-0.0694732512</v>
      </c>
      <c r="G101" t="n">
        <v>0.0832209483950994</v>
      </c>
      <c r="H101" t="n">
        <v>0.0156483257087654</v>
      </c>
      <c r="I101" t="n">
        <v>0.1934663705418836</v>
      </c>
      <c r="J101" t="n">
        <v>0.1998356055370568</v>
      </c>
      <c r="K101" t="n">
        <v>0.210606958038298</v>
      </c>
      <c r="L101" t="b">
        <v>0</v>
      </c>
      <c r="M101" t="b">
        <v>0</v>
      </c>
      <c r="N101" t="inlineStr">
        <is>
          <t>ref</t>
        </is>
      </c>
      <c r="O101" t="n">
        <v>-80</v>
      </c>
      <c r="P101" t="n">
        <v>0.01405</v>
      </c>
      <c r="Q101" t="n">
        <v>-70</v>
      </c>
      <c r="R101" t="n">
        <v>0.1455</v>
      </c>
      <c r="S101">
        <f>IMAGE("https://mitra.stanford.edu/kundaje/oak/projects/neuro-variants/variant_position/credible/roussos_2024/variant_figures/roussos_2024.childhood.GABA/rs489543_count_position.png",4,220,900)</f>
        <v/>
      </c>
      <c r="T101">
        <f>IMAGE("https://mitra.stanford.edu/kundaje/oak/projects/neuro-variants/variant_position/credible/roussos_2024/variant_figures/roussos_2024.childhood.GABA/rs489543_profile_position.png",4,220,900)</f>
        <v/>
      </c>
    </row>
    <row r="102">
      <c r="A102" t="inlineStr">
        <is>
          <t>chr1</t>
        </is>
      </c>
      <c r="B102" t="n">
        <v>60656438</v>
      </c>
      <c r="C102" t="inlineStr">
        <is>
          <t>A</t>
        </is>
      </c>
      <c r="D102" t="inlineStr">
        <is>
          <t>G</t>
        </is>
      </c>
      <c r="E102" t="inlineStr">
        <is>
          <t>rs471660</t>
        </is>
      </c>
      <c r="F102" t="n">
        <v>-0.0402491524</v>
      </c>
      <c r="G102" t="n">
        <v>0.2181534242552378</v>
      </c>
      <c r="H102" t="n">
        <v>0.0251128688186753</v>
      </c>
      <c r="I102" t="n">
        <v>0.0285125035515668</v>
      </c>
      <c r="J102" t="n">
        <v>0.1203137107076291</v>
      </c>
      <c r="K102" t="n">
        <v>0.311676832933463</v>
      </c>
      <c r="L102" t="b">
        <v>0</v>
      </c>
      <c r="M102" t="b">
        <v>0</v>
      </c>
      <c r="N102" t="inlineStr">
        <is>
          <t>ref</t>
        </is>
      </c>
      <c r="O102" t="n">
        <v>-90</v>
      </c>
      <c r="P102" t="n">
        <v>0.0105</v>
      </c>
      <c r="Q102" t="n">
        <v>-90</v>
      </c>
      <c r="R102" t="n">
        <v>0.127</v>
      </c>
      <c r="S102">
        <f>IMAGE("https://mitra.stanford.edu/kundaje/oak/projects/neuro-variants/variant_position/credible/roussos_2024/variant_figures/roussos_2024.childhood.GABA/rs471660_count_position.png",4,220,900)</f>
        <v/>
      </c>
      <c r="T102">
        <f>IMAGE("https://mitra.stanford.edu/kundaje/oak/projects/neuro-variants/variant_position/credible/roussos_2024/variant_figures/roussos_2024.childhood.GABA/rs471660_profile_position.png",4,220,900)</f>
        <v/>
      </c>
    </row>
    <row r="103">
      <c r="A103" t="inlineStr">
        <is>
          <t>chr1</t>
        </is>
      </c>
      <c r="B103" t="n">
        <v>65843709</v>
      </c>
      <c r="C103" t="inlineStr">
        <is>
          <t>A</t>
        </is>
      </c>
      <c r="D103" t="inlineStr">
        <is>
          <t>C</t>
        </is>
      </c>
      <c r="E103" t="inlineStr">
        <is>
          <t>rs4077431</t>
        </is>
      </c>
      <c r="F103" t="n">
        <v>-0.0269879072</v>
      </c>
      <c r="G103" t="n">
        <v>0.3291229017493562</v>
      </c>
      <c r="H103" t="n">
        <v>0.0291597110081772</v>
      </c>
      <c r="I103" t="n">
        <v>0.0168111566851201</v>
      </c>
      <c r="J103" t="n">
        <v>0.0066040501769596</v>
      </c>
      <c r="K103" t="n">
        <v>0.8041176241696171</v>
      </c>
      <c r="L103" t="b">
        <v>0</v>
      </c>
      <c r="M103" t="b">
        <v>0</v>
      </c>
      <c r="N103" t="inlineStr">
        <is>
          <t>ref</t>
        </is>
      </c>
      <c r="O103" t="n">
        <v>90</v>
      </c>
      <c r="P103" t="n">
        <v>0.001251</v>
      </c>
      <c r="Q103" t="n">
        <v>90</v>
      </c>
      <c r="R103" t="n">
        <v>0.1505</v>
      </c>
      <c r="S103">
        <f>IMAGE("https://mitra.stanford.edu/kundaje/oak/projects/neuro-variants/variant_position/credible/roussos_2024/variant_figures/roussos_2024.childhood.GABA/rs4077431_count_position.png",4,220,900)</f>
        <v/>
      </c>
      <c r="T103">
        <f>IMAGE("https://mitra.stanford.edu/kundaje/oak/projects/neuro-variants/variant_position/credible/roussos_2024/variant_figures/roussos_2024.childhood.GABA/rs4077431_profile_position.png",4,220,900)</f>
        <v/>
      </c>
    </row>
    <row r="104">
      <c r="A104" t="inlineStr">
        <is>
          <t>chr1</t>
        </is>
      </c>
      <c r="B104" t="n">
        <v>65847114</v>
      </c>
      <c r="C104" t="inlineStr">
        <is>
          <t>A</t>
        </is>
      </c>
      <c r="D104" t="inlineStr">
        <is>
          <t>G</t>
        </is>
      </c>
      <c r="E104" t="inlineStr">
        <is>
          <t>rs4133072</t>
        </is>
      </c>
      <c r="F104" t="n">
        <v>-0.0732279906</v>
      </c>
      <c r="G104" t="n">
        <v>0.07887433497069871</v>
      </c>
      <c r="H104" t="n">
        <v>0.0246649334749465</v>
      </c>
      <c r="I104" t="n">
        <v>0.0356768081428128</v>
      </c>
      <c r="J104" t="n">
        <v>0.0103024020439362</v>
      </c>
      <c r="K104" t="n">
        <v>0.7541156467228635</v>
      </c>
      <c r="L104" t="b">
        <v>0</v>
      </c>
      <c r="M104" t="b">
        <v>0</v>
      </c>
      <c r="N104" t="inlineStr">
        <is>
          <t>ref</t>
        </is>
      </c>
      <c r="O104" t="n">
        <v>55</v>
      </c>
      <c r="P104" t="n">
        <v>0.00417</v>
      </c>
      <c r="Q104" t="n">
        <v>-90</v>
      </c>
      <c r="R104" t="n">
        <v>0.05283</v>
      </c>
      <c r="S104">
        <f>IMAGE("https://mitra.stanford.edu/kundaje/oak/projects/neuro-variants/variant_position/credible/roussos_2024/variant_figures/roussos_2024.childhood.GABA/rs4133072_count_position.png",4,220,900)</f>
        <v/>
      </c>
      <c r="T104">
        <f>IMAGE("https://mitra.stanford.edu/kundaje/oak/projects/neuro-variants/variant_position/credible/roussos_2024/variant_figures/roussos_2024.childhood.GABA/rs4133072_profile_position.png",4,220,900)</f>
        <v/>
      </c>
    </row>
    <row r="105">
      <c r="A105" t="inlineStr">
        <is>
          <t>chr1</t>
        </is>
      </c>
      <c r="B105" t="n">
        <v>65858829</v>
      </c>
      <c r="C105" t="inlineStr">
        <is>
          <t>G</t>
        </is>
      </c>
      <c r="D105" t="inlineStr">
        <is>
          <t>A</t>
        </is>
      </c>
      <c r="E105" t="inlineStr">
        <is>
          <t>rs12129719</t>
        </is>
      </c>
      <c r="F105" t="n">
        <v>0.0081665622</v>
      </c>
      <c r="G105" t="n">
        <v>0.6116653871489695</v>
      </c>
      <c r="H105" t="n">
        <v>0.008114141159510899</v>
      </c>
      <c r="I105" t="n">
        <v>0.8501981003603608</v>
      </c>
      <c r="J105" t="n">
        <v>0.0046679650687943</v>
      </c>
      <c r="K105" t="n">
        <v>0.8259394635279091</v>
      </c>
      <c r="L105" t="b">
        <v>0</v>
      </c>
      <c r="M105" t="b">
        <v>0</v>
      </c>
      <c r="N105" t="inlineStr">
        <is>
          <t>alt</t>
        </is>
      </c>
      <c r="O105" t="n">
        <v>35</v>
      </c>
      <c r="P105" t="n">
        <v>0.002892</v>
      </c>
      <c r="Q105" t="n">
        <v>75</v>
      </c>
      <c r="R105" t="n">
        <v>0.0507</v>
      </c>
      <c r="S105">
        <f>IMAGE("https://mitra.stanford.edu/kundaje/oak/projects/neuro-variants/variant_position/credible/roussos_2024/variant_figures/roussos_2024.childhood.GABA/rs12129719_count_position.png",4,220,900)</f>
        <v/>
      </c>
      <c r="T105">
        <f>IMAGE("https://mitra.stanford.edu/kundaje/oak/projects/neuro-variants/variant_position/credible/roussos_2024/variant_figures/roussos_2024.childhood.GABA/rs12129719_profile_position.png",4,220,900)</f>
        <v/>
      </c>
    </row>
    <row r="106">
      <c r="A106" t="inlineStr">
        <is>
          <t>chr1</t>
        </is>
      </c>
      <c r="B106" t="n">
        <v>71655902</v>
      </c>
      <c r="C106" t="inlineStr">
        <is>
          <t>C</t>
        </is>
      </c>
      <c r="D106" t="inlineStr">
        <is>
          <t>A</t>
        </is>
      </c>
      <c r="E106" t="inlineStr">
        <is>
          <t>rs954299</t>
        </is>
      </c>
      <c r="F106" t="n">
        <v>-0.0136569248</v>
      </c>
      <c r="G106" t="n">
        <v>0.5501758105178699</v>
      </c>
      <c r="H106" t="n">
        <v>0.0077339708582765</v>
      </c>
      <c r="I106" t="n">
        <v>0.8690748655363378</v>
      </c>
      <c r="J106" t="n">
        <v>0.0654855395698518</v>
      </c>
      <c r="K106" t="n">
        <v>0.4396908593637111</v>
      </c>
      <c r="L106" t="b">
        <v>0</v>
      </c>
      <c r="M106" t="b">
        <v>0</v>
      </c>
      <c r="N106" t="inlineStr">
        <is>
          <t>ref</t>
        </is>
      </c>
      <c r="O106" t="n">
        <v>-100</v>
      </c>
      <c r="P106" t="n">
        <v>0.0114</v>
      </c>
      <c r="Q106" t="n">
        <v>40</v>
      </c>
      <c r="R106" t="n">
        <v>0.013336</v>
      </c>
      <c r="S106">
        <f>IMAGE("https://mitra.stanford.edu/kundaje/oak/projects/neuro-variants/variant_position/credible/roussos_2024/variant_figures/roussos_2024.childhood.GABA/rs954299_count_position.png",4,220,900)</f>
        <v/>
      </c>
      <c r="T106">
        <f>IMAGE("https://mitra.stanford.edu/kundaje/oak/projects/neuro-variants/variant_position/credible/roussos_2024/variant_figures/roussos_2024.childhood.GABA/rs954299_profile_position.png",4,220,900)</f>
        <v/>
      </c>
    </row>
    <row r="107">
      <c r="A107" t="inlineStr">
        <is>
          <t>chr1</t>
        </is>
      </c>
      <c r="B107" t="n">
        <v>71656412</v>
      </c>
      <c r="C107" t="inlineStr">
        <is>
          <t>G</t>
        </is>
      </c>
      <c r="D107" t="inlineStr">
        <is>
          <t>T</t>
        </is>
      </c>
      <c r="E107" t="inlineStr">
        <is>
          <t>rs2422013</t>
        </is>
      </c>
      <c r="F107" t="n">
        <v>0.01109637652</v>
      </c>
      <c r="G107" t="n">
        <v>0.6017709948297708</v>
      </c>
      <c r="H107" t="n">
        <v>0.0304483578668293</v>
      </c>
      <c r="I107" t="n">
        <v>0.0117699271354908</v>
      </c>
      <c r="J107" t="n">
        <v>0.1054983141714309</v>
      </c>
      <c r="K107" t="n">
        <v>0.3551247705257944</v>
      </c>
      <c r="L107" t="b">
        <v>1</v>
      </c>
      <c r="M107" t="b">
        <v>0</v>
      </c>
      <c r="N107" t="inlineStr">
        <is>
          <t>alt</t>
        </is>
      </c>
      <c r="O107" t="n">
        <v>100</v>
      </c>
      <c r="P107" t="n">
        <v>0.0325</v>
      </c>
      <c r="Q107" t="n">
        <v>-90</v>
      </c>
      <c r="R107" t="n">
        <v>0.1214</v>
      </c>
      <c r="S107">
        <f>IMAGE("https://mitra.stanford.edu/kundaje/oak/projects/neuro-variants/variant_position/credible/roussos_2024/variant_figures/roussos_2024.childhood.GABA/rs2422013_count_position.png",4,220,900)</f>
        <v/>
      </c>
      <c r="T107">
        <f>IMAGE("https://mitra.stanford.edu/kundaje/oak/projects/neuro-variants/variant_position/credible/roussos_2024/variant_figures/roussos_2024.childhood.GABA/rs2422013_profile_position.png",4,220,900)</f>
        <v/>
      </c>
    </row>
    <row r="108">
      <c r="A108" t="inlineStr">
        <is>
          <t>chr1</t>
        </is>
      </c>
      <c r="B108" t="n">
        <v>71657276</v>
      </c>
      <c r="C108" t="inlineStr">
        <is>
          <t>G</t>
        </is>
      </c>
      <c r="D108" t="inlineStr">
        <is>
          <t>A</t>
        </is>
      </c>
      <c r="E108" t="inlineStr">
        <is>
          <t>rs2901616</t>
        </is>
      </c>
      <c r="F108" t="n">
        <v>0.00037354042</v>
      </c>
      <c r="G108" t="n">
        <v>0.6660337875912281</v>
      </c>
      <c r="H108" t="n">
        <v>0.0209567964743852</v>
      </c>
      <c r="I108" t="n">
        <v>0.0622238616622649</v>
      </c>
      <c r="J108" t="n">
        <v>0.0566040501769596</v>
      </c>
      <c r="K108" t="n">
        <v>0.4713484911513982</v>
      </c>
      <c r="L108" t="b">
        <v>0</v>
      </c>
      <c r="M108" t="b">
        <v>0</v>
      </c>
      <c r="N108" t="inlineStr">
        <is>
          <t>alt</t>
        </is>
      </c>
      <c r="O108" t="n">
        <v>100</v>
      </c>
      <c r="P108" t="n">
        <v>0.003223</v>
      </c>
      <c r="Q108" t="n">
        <v>-55</v>
      </c>
      <c r="R108" t="n">
        <v>0.1595</v>
      </c>
      <c r="S108">
        <f>IMAGE("https://mitra.stanford.edu/kundaje/oak/projects/neuro-variants/variant_position/credible/roussos_2024/variant_figures/roussos_2024.childhood.GABA/rs2901616_count_position.png",4,220,900)</f>
        <v/>
      </c>
      <c r="T108">
        <f>IMAGE("https://mitra.stanford.edu/kundaje/oak/projects/neuro-variants/variant_position/credible/roussos_2024/variant_figures/roussos_2024.childhood.GABA/rs2901616_profile_position.png",4,220,900)</f>
        <v/>
      </c>
    </row>
    <row r="109">
      <c r="A109" t="inlineStr">
        <is>
          <t>chr1</t>
        </is>
      </c>
      <c r="B109" t="n">
        <v>71661749</v>
      </c>
      <c r="C109" t="inlineStr">
        <is>
          <t>C</t>
        </is>
      </c>
      <c r="D109" t="inlineStr">
        <is>
          <t>A</t>
        </is>
      </c>
      <c r="E109" t="inlineStr">
        <is>
          <t>rs2422016</t>
        </is>
      </c>
      <c r="F109" t="n">
        <v>0.00885522652</v>
      </c>
      <c r="G109" t="n">
        <v>0.6498975277172322</v>
      </c>
      <c r="H109" t="n">
        <v>0.0174183983106455</v>
      </c>
      <c r="I109" t="n">
        <v>0.129517767229906</v>
      </c>
      <c r="J109" t="n">
        <v>0.0077893656677346</v>
      </c>
      <c r="K109" t="n">
        <v>0.7759983882485599</v>
      </c>
      <c r="L109" t="b">
        <v>0</v>
      </c>
      <c r="M109" t="b">
        <v>0</v>
      </c>
      <c r="N109" t="inlineStr">
        <is>
          <t>alt</t>
        </is>
      </c>
      <c r="O109" t="n">
        <v>-90</v>
      </c>
      <c r="P109" t="n">
        <v>0.00421</v>
      </c>
      <c r="Q109" t="n">
        <v>85</v>
      </c>
      <c r="R109" t="n">
        <v>0.049</v>
      </c>
      <c r="S109">
        <f>IMAGE("https://mitra.stanford.edu/kundaje/oak/projects/neuro-variants/variant_position/credible/roussos_2024/variant_figures/roussos_2024.childhood.GABA/rs2422016_count_position.png",4,220,900)</f>
        <v/>
      </c>
      <c r="T109">
        <f>IMAGE("https://mitra.stanford.edu/kundaje/oak/projects/neuro-variants/variant_position/credible/roussos_2024/variant_figures/roussos_2024.childhood.GABA/rs2422016_profile_position.png",4,220,900)</f>
        <v/>
      </c>
    </row>
    <row r="110">
      <c r="A110" t="inlineStr">
        <is>
          <t>chr1</t>
        </is>
      </c>
      <c r="B110" t="n">
        <v>71662548</v>
      </c>
      <c r="C110" t="inlineStr">
        <is>
          <t>G</t>
        </is>
      </c>
      <c r="D110" t="inlineStr">
        <is>
          <t>A</t>
        </is>
      </c>
      <c r="E110" t="inlineStr">
        <is>
          <t>rs12120761</t>
        </is>
      </c>
      <c r="F110" t="n">
        <v>-0.07456074859999989</v>
      </c>
      <c r="G110" t="n">
        <v>0.0614149393671611</v>
      </c>
      <c r="H110" t="n">
        <v>0.0239068514176816</v>
      </c>
      <c r="I110" t="n">
        <v>0.0355063634050616</v>
      </c>
      <c r="J110" t="n">
        <v>0.0161420703231345</v>
      </c>
      <c r="K110" t="n">
        <v>0.6763321149270806</v>
      </c>
      <c r="L110" t="b">
        <v>0</v>
      </c>
      <c r="M110" t="b">
        <v>0</v>
      </c>
      <c r="N110" t="inlineStr">
        <is>
          <t>ref</t>
        </is>
      </c>
      <c r="O110" t="n">
        <v>90</v>
      </c>
      <c r="P110" t="n">
        <v>0.004112</v>
      </c>
      <c r="Q110" t="n">
        <v>-75</v>
      </c>
      <c r="R110" t="n">
        <v>0.1328</v>
      </c>
      <c r="S110">
        <f>IMAGE("https://mitra.stanford.edu/kundaje/oak/projects/neuro-variants/variant_position/credible/roussos_2024/variant_figures/roussos_2024.childhood.GABA/rs12120761_count_position.png",4,220,900)</f>
        <v/>
      </c>
      <c r="T110">
        <f>IMAGE("https://mitra.stanford.edu/kundaje/oak/projects/neuro-variants/variant_position/credible/roussos_2024/variant_figures/roussos_2024.childhood.GABA/rs12120761_profile_position.png",4,220,900)</f>
        <v/>
      </c>
    </row>
    <row r="111">
      <c r="A111" t="inlineStr">
        <is>
          <t>chr1</t>
        </is>
      </c>
      <c r="B111" t="n">
        <v>71664478</v>
      </c>
      <c r="C111" t="inlineStr">
        <is>
          <t>C</t>
        </is>
      </c>
      <c r="D111" t="inlineStr">
        <is>
          <t>T</t>
        </is>
      </c>
      <c r="E111" t="inlineStr">
        <is>
          <t>rs2422021</t>
        </is>
      </c>
      <c r="F111" t="n">
        <v>-0.0596662798</v>
      </c>
      <c r="G111" t="n">
        <v>0.1273716945251313</v>
      </c>
      <c r="H111" t="n">
        <v>0.0237281048993883</v>
      </c>
      <c r="I111" t="n">
        <v>0.0516043985310167</v>
      </c>
      <c r="J111" t="n">
        <v>0.0022439320642499</v>
      </c>
      <c r="K111" t="n">
        <v>0.8759353720722373</v>
      </c>
      <c r="L111" t="b">
        <v>0</v>
      </c>
      <c r="M111" t="b">
        <v>0</v>
      </c>
      <c r="N111" t="inlineStr">
        <is>
          <t>ref</t>
        </is>
      </c>
      <c r="O111" t="n">
        <v>45</v>
      </c>
      <c r="P111" t="n">
        <v>0.009766</v>
      </c>
      <c r="Q111" t="n">
        <v>-30</v>
      </c>
      <c r="R111" t="n">
        <v>0.04184</v>
      </c>
      <c r="S111">
        <f>IMAGE("https://mitra.stanford.edu/kundaje/oak/projects/neuro-variants/variant_position/credible/roussos_2024/variant_figures/roussos_2024.childhood.GABA/rs2422021_count_position.png",4,220,900)</f>
        <v/>
      </c>
      <c r="T111">
        <f>IMAGE("https://mitra.stanford.edu/kundaje/oak/projects/neuro-variants/variant_position/credible/roussos_2024/variant_figures/roussos_2024.childhood.GABA/rs2422021_profile_position.png",4,220,900)</f>
        <v/>
      </c>
    </row>
    <row r="112">
      <c r="A112" t="inlineStr">
        <is>
          <t>chr1</t>
        </is>
      </c>
      <c r="B112" t="n">
        <v>71668902</v>
      </c>
      <c r="C112" t="inlineStr">
        <is>
          <t>G</t>
        </is>
      </c>
      <c r="D112" t="inlineStr">
        <is>
          <t>A</t>
        </is>
      </c>
      <c r="E112" t="inlineStr">
        <is>
          <t>rs7531932</t>
        </is>
      </c>
      <c r="F112" t="n">
        <v>-0.0376781296</v>
      </c>
      <c r="G112" t="n">
        <v>0.2262915045007986</v>
      </c>
      <c r="H112" t="n">
        <v>0.012717701547365</v>
      </c>
      <c r="I112" t="n">
        <v>0.3774379276774682</v>
      </c>
      <c r="J112" t="n">
        <v>0.0154070071830955</v>
      </c>
      <c r="K112" t="n">
        <v>0.6929535973771846</v>
      </c>
      <c r="L112" t="b">
        <v>0</v>
      </c>
      <c r="M112" t="b">
        <v>0</v>
      </c>
      <c r="N112" t="inlineStr">
        <is>
          <t>ref</t>
        </is>
      </c>
      <c r="O112" t="n">
        <v>-90</v>
      </c>
      <c r="P112" t="n">
        <v>0.00714</v>
      </c>
      <c r="Q112" t="n">
        <v>-60</v>
      </c>
      <c r="R112" t="n">
        <v>0.081</v>
      </c>
      <c r="S112">
        <f>IMAGE("https://mitra.stanford.edu/kundaje/oak/projects/neuro-variants/variant_position/credible/roussos_2024/variant_figures/roussos_2024.childhood.GABA/rs7531932_count_position.png",4,220,900)</f>
        <v/>
      </c>
      <c r="T112">
        <f>IMAGE("https://mitra.stanford.edu/kundaje/oak/projects/neuro-variants/variant_position/credible/roussos_2024/variant_figures/roussos_2024.childhood.GABA/rs7531932_profile_position.png",4,220,900)</f>
        <v/>
      </c>
    </row>
    <row r="113">
      <c r="A113" t="inlineStr">
        <is>
          <t>chr1</t>
        </is>
      </c>
      <c r="B113" t="n">
        <v>71687651</v>
      </c>
      <c r="C113" t="inlineStr">
        <is>
          <t>T</t>
        </is>
      </c>
      <c r="D113" t="inlineStr">
        <is>
          <t>C</t>
        </is>
      </c>
      <c r="E113" t="inlineStr">
        <is>
          <t>rs10789321</t>
        </is>
      </c>
      <c r="F113" t="n">
        <v>0.09345556419999999</v>
      </c>
      <c r="G113" t="n">
        <v>0.0340842296580502</v>
      </c>
      <c r="H113" t="n">
        <v>0.0127477451392907</v>
      </c>
      <c r="I113" t="n">
        <v>0.37454071556724</v>
      </c>
      <c r="J113" t="n">
        <v>0.1343102762245816</v>
      </c>
      <c r="K113" t="n">
        <v>0.2907818288416</v>
      </c>
      <c r="L113" t="b">
        <v>0</v>
      </c>
      <c r="M113" t="b">
        <v>0</v>
      </c>
      <c r="N113" t="inlineStr">
        <is>
          <t>alt</t>
        </is>
      </c>
      <c r="O113" t="n">
        <v>-100</v>
      </c>
      <c r="P113" t="n">
        <v>0.03052</v>
      </c>
      <c r="Q113" t="n">
        <v>-85</v>
      </c>
      <c r="R113" t="n">
        <v>0.2484</v>
      </c>
      <c r="S113">
        <f>IMAGE("https://mitra.stanford.edu/kundaje/oak/projects/neuro-variants/variant_position/credible/roussos_2024/variant_figures/roussos_2024.childhood.GABA/rs10789321_count_position.png",4,220,900)</f>
        <v/>
      </c>
      <c r="T113">
        <f>IMAGE("https://mitra.stanford.edu/kundaje/oak/projects/neuro-variants/variant_position/credible/roussos_2024/variant_figures/roussos_2024.childhood.GABA/rs10789321_profile_position.png",4,220,900)</f>
        <v/>
      </c>
    </row>
    <row r="114">
      <c r="A114" t="inlineStr">
        <is>
          <t>chr1</t>
        </is>
      </c>
      <c r="B114" t="n">
        <v>71719533</v>
      </c>
      <c r="C114" t="inlineStr">
        <is>
          <t>G</t>
        </is>
      </c>
      <c r="D114" t="inlineStr">
        <is>
          <t>T</t>
        </is>
      </c>
      <c r="E114" t="inlineStr">
        <is>
          <t>rs11209830</t>
        </is>
      </c>
      <c r="F114" t="n">
        <v>-0.474986342</v>
      </c>
      <c r="G114" t="n">
        <v>0.0003390549747062</v>
      </c>
      <c r="H114" t="n">
        <v>0.0548839371715494</v>
      </c>
      <c r="I114" t="n">
        <v>0.0013125201738305</v>
      </c>
      <c r="J114" t="n">
        <v>0.0317804862725387</v>
      </c>
      <c r="K114" t="n">
        <v>0.5691109276134073</v>
      </c>
      <c r="L114" t="b">
        <v>1</v>
      </c>
      <c r="M114" t="b">
        <v>1</v>
      </c>
      <c r="N114" t="inlineStr">
        <is>
          <t>ref</t>
        </is>
      </c>
      <c r="O114" t="n">
        <v>-95</v>
      </c>
      <c r="P114" t="n">
        <v>0.01145</v>
      </c>
      <c r="Q114" t="n">
        <v>-35</v>
      </c>
      <c r="R114" t="n">
        <v>0.00415</v>
      </c>
      <c r="S114">
        <f>IMAGE("https://mitra.stanford.edu/kundaje/oak/projects/neuro-variants/variant_position/credible/roussos_2024/variant_figures/roussos_2024.childhood.GABA/rs11209830_count_position.png",4,220,900)</f>
        <v/>
      </c>
      <c r="T114">
        <f>IMAGE("https://mitra.stanford.edu/kundaje/oak/projects/neuro-variants/variant_position/credible/roussos_2024/variant_figures/roussos_2024.childhood.GABA/rs11209830_profile_position.png",4,220,900)</f>
        <v/>
      </c>
    </row>
    <row r="115">
      <c r="A115" t="inlineStr">
        <is>
          <t>chr1</t>
        </is>
      </c>
      <c r="B115" t="n">
        <v>71756804</v>
      </c>
      <c r="C115" t="inlineStr">
        <is>
          <t>G</t>
        </is>
      </c>
      <c r="D115" t="inlineStr">
        <is>
          <t>A</t>
        </is>
      </c>
      <c r="E115" t="inlineStr">
        <is>
          <t>rs12740031</t>
        </is>
      </c>
      <c r="F115" t="n">
        <v>0.155471664</v>
      </c>
      <c r="G115" t="n">
        <v>0.0105089556520156</v>
      </c>
      <c r="H115" t="n">
        <v>0.035371246979454</v>
      </c>
      <c r="I115" t="n">
        <v>0.0065622396252308</v>
      </c>
      <c r="J115" t="n">
        <v>0.0631086259973612</v>
      </c>
      <c r="K115" t="n">
        <v>0.4429307275947464</v>
      </c>
      <c r="L115" t="b">
        <v>1</v>
      </c>
      <c r="M115" t="b">
        <v>1</v>
      </c>
      <c r="N115" t="inlineStr">
        <is>
          <t>alt</t>
        </is>
      </c>
      <c r="O115" t="n">
        <v>-30</v>
      </c>
      <c r="P115" t="n">
        <v>0.001099</v>
      </c>
      <c r="Q115" t="n">
        <v>-100</v>
      </c>
      <c r="R115" t="n">
        <v>0.1475</v>
      </c>
      <c r="S115">
        <f>IMAGE("https://mitra.stanford.edu/kundaje/oak/projects/neuro-variants/variant_position/credible/roussos_2024/variant_figures/roussos_2024.childhood.GABA/rs12740031_count_position.png",4,220,900)</f>
        <v/>
      </c>
      <c r="T115">
        <f>IMAGE("https://mitra.stanford.edu/kundaje/oak/projects/neuro-variants/variant_position/credible/roussos_2024/variant_figures/roussos_2024.childhood.GABA/rs12740031_profile_position.png",4,220,900)</f>
        <v/>
      </c>
    </row>
    <row r="116">
      <c r="A116" t="inlineStr">
        <is>
          <t>chr1</t>
        </is>
      </c>
      <c r="B116" t="n">
        <v>71843759</v>
      </c>
      <c r="C116" t="inlineStr">
        <is>
          <t>C</t>
        </is>
      </c>
      <c r="D116" t="inlineStr">
        <is>
          <t>T</t>
        </is>
      </c>
      <c r="E116" t="inlineStr">
        <is>
          <t>rs517762</t>
        </is>
      </c>
      <c r="F116" t="n">
        <v>-0.067874833</v>
      </c>
      <c r="G116" t="n">
        <v>0.093184578862693</v>
      </c>
      <c r="H116" t="n">
        <v>0.0256360073042769</v>
      </c>
      <c r="I116" t="n">
        <v>0.0253481430114356</v>
      </c>
      <c r="J116" t="n">
        <v>0.0335689304936021</v>
      </c>
      <c r="K116" t="n">
        <v>0.5580031799220638</v>
      </c>
      <c r="L116" t="b">
        <v>0</v>
      </c>
      <c r="M116" t="b">
        <v>0</v>
      </c>
      <c r="N116" t="inlineStr">
        <is>
          <t>ref</t>
        </is>
      </c>
      <c r="O116" t="n">
        <v>40</v>
      </c>
      <c r="P116" t="n">
        <v>0.000641</v>
      </c>
      <c r="Q116" t="n">
        <v>60</v>
      </c>
      <c r="R116" t="n">
        <v>0.01135</v>
      </c>
      <c r="S116">
        <f>IMAGE("https://mitra.stanford.edu/kundaje/oak/projects/neuro-variants/variant_position/credible/roussos_2024/variant_figures/roussos_2024.childhood.GABA/rs517762_count_position.png",4,220,900)</f>
        <v/>
      </c>
      <c r="T116">
        <f>IMAGE("https://mitra.stanford.edu/kundaje/oak/projects/neuro-variants/variant_position/credible/roussos_2024/variant_figures/roussos_2024.childhood.GABA/rs517762_profile_position.png",4,220,900)</f>
        <v/>
      </c>
    </row>
    <row r="117">
      <c r="A117" t="inlineStr">
        <is>
          <t>chr1</t>
        </is>
      </c>
      <c r="B117" t="n">
        <v>71885236</v>
      </c>
      <c r="C117" t="inlineStr">
        <is>
          <t>A</t>
        </is>
      </c>
      <c r="D117" t="inlineStr">
        <is>
          <t>G</t>
        </is>
      </c>
      <c r="E117" t="inlineStr">
        <is>
          <t>rs11209863</t>
        </is>
      </c>
      <c r="F117" t="n">
        <v>0.0314254612</v>
      </c>
      <c r="G117" t="n">
        <v>0.2785689560350003</v>
      </c>
      <c r="H117" t="n">
        <v>0.0140591795543588</v>
      </c>
      <c r="I117" t="n">
        <v>0.2796758357405846</v>
      </c>
      <c r="J117" t="n">
        <v>0.0277983707147493</v>
      </c>
      <c r="K117" t="n">
        <v>0.5977619746773769</v>
      </c>
      <c r="L117" t="b">
        <v>0</v>
      </c>
      <c r="M117" t="b">
        <v>0</v>
      </c>
      <c r="N117" t="inlineStr">
        <is>
          <t>alt</t>
        </is>
      </c>
      <c r="O117" t="n">
        <v>95</v>
      </c>
      <c r="P117" t="n">
        <v>0.01595</v>
      </c>
      <c r="Q117" t="n">
        <v>45</v>
      </c>
      <c r="R117" t="n">
        <v>0.1768</v>
      </c>
      <c r="S117">
        <f>IMAGE("https://mitra.stanford.edu/kundaje/oak/projects/neuro-variants/variant_position/credible/roussos_2024/variant_figures/roussos_2024.childhood.GABA/rs11209863_count_position.png",4,220,900)</f>
        <v/>
      </c>
      <c r="T117">
        <f>IMAGE("https://mitra.stanford.edu/kundaje/oak/projects/neuro-variants/variant_position/credible/roussos_2024/variant_figures/roussos_2024.childhood.GABA/rs11209863_profile_position.png",4,220,900)</f>
        <v/>
      </c>
    </row>
    <row r="118">
      <c r="A118" t="inlineStr">
        <is>
          <t>chr1</t>
        </is>
      </c>
      <c r="B118" t="n">
        <v>72810145</v>
      </c>
      <c r="C118" t="inlineStr">
        <is>
          <t>T</t>
        </is>
      </c>
      <c r="D118" t="inlineStr">
        <is>
          <t>C</t>
        </is>
      </c>
      <c r="E118" t="inlineStr">
        <is>
          <t>rs12135442</t>
        </is>
      </c>
      <c r="F118" t="n">
        <v>0.08587784079999999</v>
      </c>
      <c r="G118" t="n">
        <v>0.0416638276087354</v>
      </c>
      <c r="H118" t="n">
        <v>0.0166632264407061</v>
      </c>
      <c r="I118" t="n">
        <v>0.1553741857289997</v>
      </c>
      <c r="J118" t="n">
        <v>0.0032847479633934</v>
      </c>
      <c r="K118" t="n">
        <v>0.8439739984272605</v>
      </c>
      <c r="L118" t="b">
        <v>0</v>
      </c>
      <c r="M118" t="b">
        <v>0</v>
      </c>
      <c r="N118" t="inlineStr">
        <is>
          <t>alt</t>
        </is>
      </c>
      <c r="O118" t="n">
        <v>-90</v>
      </c>
      <c r="P118" t="n">
        <v>0.00634</v>
      </c>
      <c r="Q118" t="n">
        <v>15</v>
      </c>
      <c r="R118" t="n">
        <v>0.007767</v>
      </c>
      <c r="S118">
        <f>IMAGE("https://mitra.stanford.edu/kundaje/oak/projects/neuro-variants/variant_position/credible/roussos_2024/variant_figures/roussos_2024.childhood.GABA/rs12135442_count_position.png",4,220,900)</f>
        <v/>
      </c>
      <c r="T118">
        <f>IMAGE("https://mitra.stanford.edu/kundaje/oak/projects/neuro-variants/variant_position/credible/roussos_2024/variant_figures/roussos_2024.childhood.GABA/rs12135442_profile_position.png",4,220,900)</f>
        <v/>
      </c>
    </row>
    <row r="119">
      <c r="A119" t="inlineStr">
        <is>
          <t>chr1</t>
        </is>
      </c>
      <c r="B119" t="n">
        <v>72820726</v>
      </c>
      <c r="C119" t="inlineStr">
        <is>
          <t>G</t>
        </is>
      </c>
      <c r="D119" t="inlineStr">
        <is>
          <t>A</t>
        </is>
      </c>
      <c r="E119" t="inlineStr">
        <is>
          <t>rs11210070</t>
        </is>
      </c>
      <c r="F119" t="n">
        <v>-0.00274976802</v>
      </c>
      <c r="G119" t="n">
        <v>0.8981371524545952</v>
      </c>
      <c r="H119" t="n">
        <v>0.009382786866275101</v>
      </c>
      <c r="I119" t="n">
        <v>0.7064330645446341</v>
      </c>
      <c r="J119" t="n">
        <v>0.0086312328537621</v>
      </c>
      <c r="K119" t="n">
        <v>0.7619039939475369</v>
      </c>
      <c r="L119" t="b">
        <v>0</v>
      </c>
      <c r="M119" t="b">
        <v>0</v>
      </c>
      <c r="N119" t="inlineStr">
        <is>
          <t>ref</t>
        </is>
      </c>
      <c r="O119" t="n">
        <v>70</v>
      </c>
      <c r="P119" t="n">
        <v>0.0528</v>
      </c>
      <c r="Q119" t="n">
        <v>-75</v>
      </c>
      <c r="R119" t="n">
        <v>0.02315</v>
      </c>
      <c r="S119">
        <f>IMAGE("https://mitra.stanford.edu/kundaje/oak/projects/neuro-variants/variant_position/credible/roussos_2024/variant_figures/roussos_2024.childhood.GABA/rs11210070_count_position.png",4,220,900)</f>
        <v/>
      </c>
      <c r="T119">
        <f>IMAGE("https://mitra.stanford.edu/kundaje/oak/projects/neuro-variants/variant_position/credible/roussos_2024/variant_figures/roussos_2024.childhood.GABA/rs11210070_profile_position.png",4,220,900)</f>
        <v/>
      </c>
    </row>
    <row r="120">
      <c r="A120" t="inlineStr">
        <is>
          <t>chr1</t>
        </is>
      </c>
      <c r="B120" t="n">
        <v>72827649</v>
      </c>
      <c r="C120" t="inlineStr">
        <is>
          <t>T</t>
        </is>
      </c>
      <c r="D120" t="inlineStr">
        <is>
          <t>C</t>
        </is>
      </c>
      <c r="E120" t="inlineStr">
        <is>
          <t>rs2422320</t>
        </is>
      </c>
      <c r="F120" t="n">
        <v>0.0152970732799999</v>
      </c>
      <c r="G120" t="n">
        <v>0.4797966234017412</v>
      </c>
      <c r="H120" t="n">
        <v>0.018573527313659</v>
      </c>
      <c r="I120" t="n">
        <v>0.1012541476415001</v>
      </c>
      <c r="J120" t="n">
        <v>0.0142290213817511</v>
      </c>
      <c r="K120" t="n">
        <v>0.6942775013627954</v>
      </c>
      <c r="L120" t="b">
        <v>0</v>
      </c>
      <c r="M120" t="b">
        <v>0</v>
      </c>
      <c r="N120" t="inlineStr">
        <is>
          <t>alt</t>
        </is>
      </c>
      <c r="O120" t="n">
        <v>-50</v>
      </c>
      <c r="P120" t="n">
        <v>0.00876</v>
      </c>
      <c r="Q120" t="n">
        <v>-50</v>
      </c>
      <c r="R120" t="n">
        <v>0.1771</v>
      </c>
      <c r="S120">
        <f>IMAGE("https://mitra.stanford.edu/kundaje/oak/projects/neuro-variants/variant_position/credible/roussos_2024/variant_figures/roussos_2024.childhood.GABA/rs2422320_count_position.png",4,220,900)</f>
        <v/>
      </c>
      <c r="T120">
        <f>IMAGE("https://mitra.stanford.edu/kundaje/oak/projects/neuro-variants/variant_position/credible/roussos_2024/variant_figures/roussos_2024.childhood.GABA/rs2422320_profile_position.png",4,220,900)</f>
        <v/>
      </c>
    </row>
    <row r="121">
      <c r="A121" t="inlineStr">
        <is>
          <t>chr1</t>
        </is>
      </c>
      <c r="B121" t="n">
        <v>72837963</v>
      </c>
      <c r="C121" t="inlineStr">
        <is>
          <t>T</t>
        </is>
      </c>
      <c r="D121" t="inlineStr">
        <is>
          <t>G</t>
        </is>
      </c>
      <c r="E121" t="inlineStr">
        <is>
          <t>rs1525980</t>
        </is>
      </c>
      <c r="F121" t="n">
        <v>0.0740012464</v>
      </c>
      <c r="G121" t="n">
        <v>0.0604253269331799</v>
      </c>
      <c r="H121" t="n">
        <v>0.0223594114704989</v>
      </c>
      <c r="I121" t="n">
        <v>0.0491174501686144</v>
      </c>
      <c r="J121" t="n">
        <v>0.0034910263659399</v>
      </c>
      <c r="K121" t="n">
        <v>0.8514721732593051</v>
      </c>
      <c r="L121" t="b">
        <v>0</v>
      </c>
      <c r="M121" t="b">
        <v>0</v>
      </c>
      <c r="N121" t="inlineStr">
        <is>
          <t>alt</t>
        </is>
      </c>
      <c r="O121" t="n">
        <v>60</v>
      </c>
      <c r="P121" t="n">
        <v>0.013214</v>
      </c>
      <c r="Q121" t="n">
        <v>85</v>
      </c>
      <c r="R121" t="n">
        <v>0.07340000000000001</v>
      </c>
      <c r="S121">
        <f>IMAGE("https://mitra.stanford.edu/kundaje/oak/projects/neuro-variants/variant_position/credible/roussos_2024/variant_figures/roussos_2024.childhood.GABA/rs1525980_count_position.png",4,220,900)</f>
        <v/>
      </c>
      <c r="T121">
        <f>IMAGE("https://mitra.stanford.edu/kundaje/oak/projects/neuro-variants/variant_position/credible/roussos_2024/variant_figures/roussos_2024.childhood.GABA/rs1525980_profile_position.png",4,220,900)</f>
        <v/>
      </c>
    </row>
    <row r="122">
      <c r="A122" t="inlineStr">
        <is>
          <t>chr1</t>
        </is>
      </c>
      <c r="B122" t="n">
        <v>72950162</v>
      </c>
      <c r="C122" t="inlineStr">
        <is>
          <t>T</t>
        </is>
      </c>
      <c r="D122" t="inlineStr">
        <is>
          <t>G</t>
        </is>
      </c>
      <c r="E122" t="inlineStr">
        <is>
          <t>rs6682845</t>
        </is>
      </c>
      <c r="F122" t="n">
        <v>0.01298582884</v>
      </c>
      <c r="G122" t="n">
        <v>0.3571672356370916</v>
      </c>
      <c r="H122" t="n">
        <v>0.0145449379556842</v>
      </c>
      <c r="I122" t="n">
        <v>0.2549366167350624</v>
      </c>
      <c r="J122" t="n">
        <v>0.0067548323595317</v>
      </c>
      <c r="K122" t="n">
        <v>0.8021688551475488</v>
      </c>
      <c r="L122" t="b">
        <v>0</v>
      </c>
      <c r="M122" t="b">
        <v>0</v>
      </c>
      <c r="N122" t="inlineStr">
        <is>
          <t>alt</t>
        </is>
      </c>
      <c r="O122" t="n">
        <v>50</v>
      </c>
      <c r="P122" t="n">
        <v>0.003864</v>
      </c>
      <c r="Q122" t="n">
        <v>45</v>
      </c>
      <c r="R122" t="n">
        <v>0.05798</v>
      </c>
      <c r="S122">
        <f>IMAGE("https://mitra.stanford.edu/kundaje/oak/projects/neuro-variants/variant_position/credible/roussos_2024/variant_figures/roussos_2024.childhood.GABA/rs6682845_count_position.png",4,220,900)</f>
        <v/>
      </c>
      <c r="T122">
        <f>IMAGE("https://mitra.stanford.edu/kundaje/oak/projects/neuro-variants/variant_position/credible/roussos_2024/variant_figures/roussos_2024.childhood.GABA/rs6682845_profile_position.png",4,220,900)</f>
        <v/>
      </c>
    </row>
    <row r="123">
      <c r="A123" t="inlineStr">
        <is>
          <t>chr1</t>
        </is>
      </c>
      <c r="B123" t="n">
        <v>73065515</v>
      </c>
      <c r="C123" t="inlineStr">
        <is>
          <t>C</t>
        </is>
      </c>
      <c r="D123" t="inlineStr">
        <is>
          <t>T</t>
        </is>
      </c>
      <c r="E123" t="inlineStr">
        <is>
          <t>rs11210117</t>
        </is>
      </c>
      <c r="F123" t="n">
        <v>-0.0336981276</v>
      </c>
      <c r="G123" t="n">
        <v>0.2432640581505306</v>
      </c>
      <c r="H123" t="n">
        <v>0.0113175934247001</v>
      </c>
      <c r="I123" t="n">
        <v>0.505406445000961</v>
      </c>
      <c r="J123" t="n">
        <v>0.3586982471571275</v>
      </c>
      <c r="K123" t="n">
        <v>0.1018191390379969</v>
      </c>
      <c r="L123" t="b">
        <v>0</v>
      </c>
      <c r="M123" t="b">
        <v>0</v>
      </c>
      <c r="N123" t="inlineStr">
        <is>
          <t>ref</t>
        </is>
      </c>
      <c r="O123" t="n">
        <v>-50</v>
      </c>
      <c r="P123" t="n">
        <v>0.00415</v>
      </c>
      <c r="Q123" t="n">
        <v>30</v>
      </c>
      <c r="R123" t="n">
        <v>0.02197</v>
      </c>
      <c r="S123">
        <f>IMAGE("https://mitra.stanford.edu/kundaje/oak/projects/neuro-variants/variant_position/credible/roussos_2024/variant_figures/roussos_2024.childhood.GABA/rs11210117_count_position.png",4,220,900)</f>
        <v/>
      </c>
      <c r="T123">
        <f>IMAGE("https://mitra.stanford.edu/kundaje/oak/projects/neuro-variants/variant_position/credible/roussos_2024/variant_figures/roussos_2024.childhood.GABA/rs11210117_profile_position.png",4,220,900)</f>
        <v/>
      </c>
    </row>
    <row r="124">
      <c r="A124" t="inlineStr">
        <is>
          <t>chr1</t>
        </is>
      </c>
      <c r="B124" t="n">
        <v>73068063</v>
      </c>
      <c r="C124" t="inlineStr">
        <is>
          <t>C</t>
        </is>
      </c>
      <c r="D124" t="inlineStr">
        <is>
          <t>A</t>
        </is>
      </c>
      <c r="E124" t="inlineStr">
        <is>
          <t>rs11210120</t>
        </is>
      </c>
      <c r="F124" t="n">
        <v>0.064934964</v>
      </c>
      <c r="G124" t="n">
        <v>0.0929142930644133</v>
      </c>
      <c r="H124" t="n">
        <v>0.0247997405379436</v>
      </c>
      <c r="I124" t="n">
        <v>0.0298931284034351</v>
      </c>
      <c r="J124" t="n">
        <v>0.0327710414441581</v>
      </c>
      <c r="K124" t="n">
        <v>0.5653278713237753</v>
      </c>
      <c r="L124" t="b">
        <v>0</v>
      </c>
      <c r="M124" t="b">
        <v>0</v>
      </c>
      <c r="N124" t="inlineStr">
        <is>
          <t>alt</t>
        </is>
      </c>
      <c r="O124" t="n">
        <v>-25</v>
      </c>
      <c r="P124" t="n">
        <v>0.000778</v>
      </c>
      <c r="Q124" t="n">
        <v>-100</v>
      </c>
      <c r="R124" t="n">
        <v>0.01587</v>
      </c>
      <c r="S124">
        <f>IMAGE("https://mitra.stanford.edu/kundaje/oak/projects/neuro-variants/variant_position/credible/roussos_2024/variant_figures/roussos_2024.childhood.GABA/rs11210120_count_position.png",4,220,900)</f>
        <v/>
      </c>
      <c r="T124">
        <f>IMAGE("https://mitra.stanford.edu/kundaje/oak/projects/neuro-variants/variant_position/credible/roussos_2024/variant_figures/roussos_2024.childhood.GABA/rs11210120_profile_position.png",4,220,900)</f>
        <v/>
      </c>
    </row>
    <row r="125">
      <c r="A125" t="inlineStr">
        <is>
          <t>chr1</t>
        </is>
      </c>
      <c r="B125" t="n">
        <v>73078997</v>
      </c>
      <c r="C125" t="inlineStr">
        <is>
          <t>T</t>
        </is>
      </c>
      <c r="D125" t="inlineStr">
        <is>
          <t>C</t>
        </is>
      </c>
      <c r="E125" t="inlineStr">
        <is>
          <t>rs61773608</t>
        </is>
      </c>
      <c r="F125" t="n">
        <v>-0.011720391</v>
      </c>
      <c r="G125" t="n">
        <v>0.4821793132067079</v>
      </c>
      <c r="H125" t="n">
        <v>0.0072372609956266</v>
      </c>
      <c r="I125" t="n">
        <v>0.9303151149850341</v>
      </c>
      <c r="J125" t="n">
        <v>0.0140761450021988</v>
      </c>
      <c r="K125" t="n">
        <v>0.723519967187062</v>
      </c>
      <c r="L125" t="b">
        <v>0</v>
      </c>
      <c r="M125" t="b">
        <v>0</v>
      </c>
      <c r="N125" t="inlineStr">
        <is>
          <t>ref</t>
        </is>
      </c>
      <c r="O125" t="n">
        <v>-10</v>
      </c>
      <c r="P125" t="n">
        <v>0.001064</v>
      </c>
      <c r="Q125" t="n">
        <v>70</v>
      </c>
      <c r="R125" t="n">
        <v>0.00827</v>
      </c>
      <c r="S125">
        <f>IMAGE("https://mitra.stanford.edu/kundaje/oak/projects/neuro-variants/variant_position/credible/roussos_2024/variant_figures/roussos_2024.childhood.GABA/rs61773608_count_position.png",4,220,900)</f>
        <v/>
      </c>
      <c r="T125">
        <f>IMAGE("https://mitra.stanford.edu/kundaje/oak/projects/neuro-variants/variant_position/credible/roussos_2024/variant_figures/roussos_2024.childhood.GABA/rs61773608_profile_position.png",4,220,900)</f>
        <v/>
      </c>
    </row>
    <row r="126">
      <c r="A126" t="inlineStr">
        <is>
          <t>chr1</t>
        </is>
      </c>
      <c r="B126" t="n">
        <v>73091210</v>
      </c>
      <c r="C126" t="inlineStr">
        <is>
          <t>A</t>
        </is>
      </c>
      <c r="D126" t="inlineStr">
        <is>
          <t>T</t>
        </is>
      </c>
      <c r="E126" t="inlineStr">
        <is>
          <t>rs4233100</t>
        </is>
      </c>
      <c r="F126" t="n">
        <v>-0.001519752266</v>
      </c>
      <c r="G126" t="n">
        <v>0.8961737664642839</v>
      </c>
      <c r="H126" t="n">
        <v>0.0318035590210213</v>
      </c>
      <c r="I126" t="n">
        <v>0.0112535082528503</v>
      </c>
      <c r="J126" t="n">
        <v>2.827165923226739e-05</v>
      </c>
      <c r="K126" t="n">
        <v>0.9940798690851462</v>
      </c>
      <c r="L126" t="b">
        <v>0</v>
      </c>
      <c r="M126" t="b">
        <v>0</v>
      </c>
      <c r="N126" t="inlineStr">
        <is>
          <t>ref</t>
        </is>
      </c>
      <c r="O126" t="n">
        <v>35</v>
      </c>
      <c r="P126" t="n">
        <v>0.007202</v>
      </c>
      <c r="Q126" t="n">
        <v>-70</v>
      </c>
      <c r="R126" t="n">
        <v>0.0394</v>
      </c>
      <c r="S126">
        <f>IMAGE("https://mitra.stanford.edu/kundaje/oak/projects/neuro-variants/variant_position/credible/roussos_2024/variant_figures/roussos_2024.childhood.GABA/rs4233100_count_position.png",4,220,900)</f>
        <v/>
      </c>
      <c r="T126">
        <f>IMAGE("https://mitra.stanford.edu/kundaje/oak/projects/neuro-variants/variant_position/credible/roussos_2024/variant_figures/roussos_2024.childhood.GABA/rs4233100_profile_position.png",4,220,900)</f>
        <v/>
      </c>
    </row>
    <row r="127">
      <c r="A127" t="inlineStr">
        <is>
          <t>chr1</t>
        </is>
      </c>
      <c r="B127" t="n">
        <v>73094184</v>
      </c>
      <c r="C127" t="inlineStr">
        <is>
          <t>G</t>
        </is>
      </c>
      <c r="D127" t="inlineStr">
        <is>
          <t>A</t>
        </is>
      </c>
      <c r="E127" t="inlineStr">
        <is>
          <t>rs12141350</t>
        </is>
      </c>
      <c r="F127" t="n">
        <v>-0.0282307949999999</v>
      </c>
      <c r="G127" t="n">
        <v>0.2818555844304977</v>
      </c>
      <c r="H127" t="n">
        <v>0.0192422372571382</v>
      </c>
      <c r="I127" t="n">
        <v>0.089163940332335</v>
      </c>
      <c r="J127" t="n">
        <v>0.0031119767125295</v>
      </c>
      <c r="K127" t="n">
        <v>0.8582255280008306</v>
      </c>
      <c r="L127" t="b">
        <v>0</v>
      </c>
      <c r="M127" t="b">
        <v>0</v>
      </c>
      <c r="N127" t="inlineStr">
        <is>
          <t>ref</t>
        </is>
      </c>
      <c r="O127" t="n">
        <v>100</v>
      </c>
      <c r="P127" t="n">
        <v>0.02335</v>
      </c>
      <c r="Q127" t="n">
        <v>-100</v>
      </c>
      <c r="R127" t="n">
        <v>0.08409999999999999</v>
      </c>
      <c r="S127">
        <f>IMAGE("https://mitra.stanford.edu/kundaje/oak/projects/neuro-variants/variant_position/credible/roussos_2024/variant_figures/roussos_2024.childhood.GABA/rs12141350_count_position.png",4,220,900)</f>
        <v/>
      </c>
      <c r="T127">
        <f>IMAGE("https://mitra.stanford.edu/kundaje/oak/projects/neuro-variants/variant_position/credible/roussos_2024/variant_figures/roussos_2024.childhood.GABA/rs12141350_profile_position.png",4,220,900)</f>
        <v/>
      </c>
    </row>
    <row r="128">
      <c r="A128" t="inlineStr">
        <is>
          <t>chr1</t>
        </is>
      </c>
      <c r="B128" t="n">
        <v>73095920</v>
      </c>
      <c r="C128" t="inlineStr">
        <is>
          <t>T</t>
        </is>
      </c>
      <c r="D128" t="inlineStr">
        <is>
          <t>C</t>
        </is>
      </c>
      <c r="E128" t="inlineStr">
        <is>
          <t>rs11210125</t>
        </is>
      </c>
      <c r="F128" t="n">
        <v>0.028068386</v>
      </c>
      <c r="G128" t="n">
        <v>0.3145613519585399</v>
      </c>
      <c r="H128" t="n">
        <v>0.0213939907817887</v>
      </c>
      <c r="I128" t="n">
        <v>0.0564756362352728</v>
      </c>
      <c r="J128" t="n">
        <v>0.0068972377541831</v>
      </c>
      <c r="K128" t="n">
        <v>0.7873262990719405</v>
      </c>
      <c r="L128" t="b">
        <v>0</v>
      </c>
      <c r="M128" t="b">
        <v>0</v>
      </c>
      <c r="N128" t="inlineStr">
        <is>
          <t>alt</t>
        </is>
      </c>
      <c r="O128" t="n">
        <v>-5</v>
      </c>
      <c r="P128" t="n">
        <v>0.002045</v>
      </c>
      <c r="Q128" t="n">
        <v>-65</v>
      </c>
      <c r="R128" t="n">
        <v>0.02612</v>
      </c>
      <c r="S128">
        <f>IMAGE("https://mitra.stanford.edu/kundaje/oak/projects/neuro-variants/variant_position/credible/roussos_2024/variant_figures/roussos_2024.childhood.GABA/rs11210125_count_position.png",4,220,900)</f>
        <v/>
      </c>
      <c r="T128">
        <f>IMAGE("https://mitra.stanford.edu/kundaje/oak/projects/neuro-variants/variant_position/credible/roussos_2024/variant_figures/roussos_2024.childhood.GABA/rs11210125_profile_position.png",4,220,900)</f>
        <v/>
      </c>
    </row>
    <row r="129">
      <c r="A129" t="inlineStr">
        <is>
          <t>chr1</t>
        </is>
      </c>
      <c r="B129" t="n">
        <v>73133797</v>
      </c>
      <c r="C129" t="inlineStr">
        <is>
          <t>G</t>
        </is>
      </c>
      <c r="D129" t="inlineStr">
        <is>
          <t>A</t>
        </is>
      </c>
      <c r="E129" t="inlineStr">
        <is>
          <t>rs4428835</t>
        </is>
      </c>
      <c r="F129" t="n">
        <v>0.0337968409999999</v>
      </c>
      <c r="G129" t="n">
        <v>0.269270163103316</v>
      </c>
      <c r="H129" t="n">
        <v>0.0088838414307201</v>
      </c>
      <c r="I129" t="n">
        <v>0.7143922095262621</v>
      </c>
      <c r="J129" t="n">
        <v>0.0541999120437267</v>
      </c>
      <c r="K129" t="n">
        <v>0.4776327020203026</v>
      </c>
      <c r="L129" t="b">
        <v>0</v>
      </c>
      <c r="M129" t="b">
        <v>0</v>
      </c>
      <c r="N129" t="inlineStr">
        <is>
          <t>alt</t>
        </is>
      </c>
      <c r="O129" t="n">
        <v>-95</v>
      </c>
      <c r="P129" t="n">
        <v>0.01172</v>
      </c>
      <c r="Q129" t="n">
        <v>45</v>
      </c>
      <c r="R129" t="n">
        <v>0.02075</v>
      </c>
      <c r="S129">
        <f>IMAGE("https://mitra.stanford.edu/kundaje/oak/projects/neuro-variants/variant_position/credible/roussos_2024/variant_figures/roussos_2024.childhood.GABA/rs4428835_count_position.png",4,220,900)</f>
        <v/>
      </c>
      <c r="T129">
        <f>IMAGE("https://mitra.stanford.edu/kundaje/oak/projects/neuro-variants/variant_position/credible/roussos_2024/variant_figures/roussos_2024.childhood.GABA/rs4428835_profile_position.png",4,220,900)</f>
        <v/>
      </c>
    </row>
    <row r="130">
      <c r="A130" t="inlineStr">
        <is>
          <t>chr1</t>
        </is>
      </c>
      <c r="B130" t="n">
        <v>73134581</v>
      </c>
      <c r="C130" t="inlineStr">
        <is>
          <t>G</t>
        </is>
      </c>
      <c r="D130" t="inlineStr">
        <is>
          <t>T</t>
        </is>
      </c>
      <c r="E130" t="inlineStr">
        <is>
          <t>rs7547148</t>
        </is>
      </c>
      <c r="F130" t="n">
        <v>-0.00613214536</v>
      </c>
      <c r="G130" t="n">
        <v>0.7571290489658727</v>
      </c>
      <c r="H130" t="n">
        <v>0.0319626058611531</v>
      </c>
      <c r="I130" t="n">
        <v>0.0095027401777894</v>
      </c>
      <c r="J130" t="n">
        <v>0.001310967309585</v>
      </c>
      <c r="K130" t="n">
        <v>0.8997076964421595</v>
      </c>
      <c r="L130" t="b">
        <v>0</v>
      </c>
      <c r="M130" t="b">
        <v>0</v>
      </c>
      <c r="N130" t="inlineStr">
        <is>
          <t>ref</t>
        </is>
      </c>
      <c r="O130" t="n">
        <v>-80</v>
      </c>
      <c r="P130" t="n">
        <v>0.002214</v>
      </c>
      <c r="Q130" t="n">
        <v>-80</v>
      </c>
      <c r="R130" t="n">
        <v>0.0735</v>
      </c>
      <c r="S130">
        <f>IMAGE("https://mitra.stanford.edu/kundaje/oak/projects/neuro-variants/variant_position/credible/roussos_2024/variant_figures/roussos_2024.childhood.GABA/rs7547148_count_position.png",4,220,900)</f>
        <v/>
      </c>
      <c r="T130">
        <f>IMAGE("https://mitra.stanford.edu/kundaje/oak/projects/neuro-variants/variant_position/credible/roussos_2024/variant_figures/roussos_2024.childhood.GABA/rs7547148_profile_position.png",4,220,900)</f>
        <v/>
      </c>
    </row>
    <row r="131">
      <c r="A131" t="inlineStr">
        <is>
          <t>chr1</t>
        </is>
      </c>
      <c r="B131" t="n">
        <v>73135379</v>
      </c>
      <c r="C131" t="inlineStr">
        <is>
          <t>C</t>
        </is>
      </c>
      <c r="D131" t="inlineStr">
        <is>
          <t>T</t>
        </is>
      </c>
      <c r="E131" t="inlineStr">
        <is>
          <t>rs12118367</t>
        </is>
      </c>
      <c r="F131" t="n">
        <v>0.0038778214999999</v>
      </c>
      <c r="G131" t="n">
        <v>0.8292046709695173</v>
      </c>
      <c r="H131" t="n">
        <v>0.0265197969232335</v>
      </c>
      <c r="I131" t="n">
        <v>0.0216148970815367</v>
      </c>
      <c r="J131" t="n">
        <v>0.0013245795899561</v>
      </c>
      <c r="K131" t="n">
        <v>0.9101402987538364</v>
      </c>
      <c r="L131" t="b">
        <v>0</v>
      </c>
      <c r="M131" t="b">
        <v>0</v>
      </c>
      <c r="N131" t="inlineStr">
        <is>
          <t>alt</t>
        </is>
      </c>
      <c r="O131" t="n">
        <v>100</v>
      </c>
      <c r="P131" t="n">
        <v>0.004578</v>
      </c>
      <c r="Q131" t="n">
        <v>75</v>
      </c>
      <c r="R131" t="n">
        <v>0.042</v>
      </c>
      <c r="S131">
        <f>IMAGE("https://mitra.stanford.edu/kundaje/oak/projects/neuro-variants/variant_position/credible/roussos_2024/variant_figures/roussos_2024.childhood.GABA/rs12118367_count_position.png",4,220,900)</f>
        <v/>
      </c>
      <c r="T131">
        <f>IMAGE("https://mitra.stanford.edu/kundaje/oak/projects/neuro-variants/variant_position/credible/roussos_2024/variant_figures/roussos_2024.childhood.GABA/rs12118367_profile_position.png",4,220,900)</f>
        <v/>
      </c>
    </row>
    <row r="132">
      <c r="A132" t="inlineStr">
        <is>
          <t>chr1</t>
        </is>
      </c>
      <c r="B132" t="n">
        <v>73135616</v>
      </c>
      <c r="C132" t="inlineStr">
        <is>
          <t>T</t>
        </is>
      </c>
      <c r="D132" t="inlineStr">
        <is>
          <t>C</t>
        </is>
      </c>
      <c r="E132" t="inlineStr">
        <is>
          <t>rs12137150</t>
        </is>
      </c>
      <c r="F132" t="n">
        <v>-0.0127470976999999</v>
      </c>
      <c r="G132" t="n">
        <v>0.5398666981180278</v>
      </c>
      <c r="H132" t="n">
        <v>0.0313902473824367</v>
      </c>
      <c r="I132" t="n">
        <v>0.0106426794701966</v>
      </c>
      <c r="J132" t="n">
        <v>0.0028418253020878</v>
      </c>
      <c r="K132" t="n">
        <v>0.8616634142327578</v>
      </c>
      <c r="L132" t="b">
        <v>0</v>
      </c>
      <c r="M132" t="b">
        <v>0</v>
      </c>
      <c r="N132" t="inlineStr">
        <is>
          <t>ref</t>
        </is>
      </c>
      <c r="O132" t="n">
        <v>75</v>
      </c>
      <c r="P132" t="n">
        <v>0.003754</v>
      </c>
      <c r="Q132" t="n">
        <v>-35</v>
      </c>
      <c r="R132" t="n">
        <v>0.02463</v>
      </c>
      <c r="S132">
        <f>IMAGE("https://mitra.stanford.edu/kundaje/oak/projects/neuro-variants/variant_position/credible/roussos_2024/variant_figures/roussos_2024.childhood.GABA/rs12137150_count_position.png",4,220,900)</f>
        <v/>
      </c>
      <c r="T132">
        <f>IMAGE("https://mitra.stanford.edu/kundaje/oak/projects/neuro-variants/variant_position/credible/roussos_2024/variant_figures/roussos_2024.childhood.GABA/rs12137150_profile_position.png",4,220,900)</f>
        <v/>
      </c>
    </row>
    <row r="133">
      <c r="A133" t="inlineStr">
        <is>
          <t>chr1</t>
        </is>
      </c>
      <c r="B133" t="n">
        <v>73144531</v>
      </c>
      <c r="C133" t="inlineStr">
        <is>
          <t>G</t>
        </is>
      </c>
      <c r="D133" t="inlineStr">
        <is>
          <t>A</t>
        </is>
      </c>
      <c r="E133" t="inlineStr">
        <is>
          <t>rs4391625</t>
        </is>
      </c>
      <c r="F133" t="n">
        <v>-0.0351347657999999</v>
      </c>
      <c r="G133" t="n">
        <v>0.2567506318878261</v>
      </c>
      <c r="H133" t="n">
        <v>0.008428528631945599</v>
      </c>
      <c r="I133" t="n">
        <v>0.8166452805785297</v>
      </c>
      <c r="J133" t="n">
        <v>0.0012156813469874</v>
      </c>
      <c r="K133" t="n">
        <v>0.9132109915630841</v>
      </c>
      <c r="L133" t="b">
        <v>0</v>
      </c>
      <c r="M133" t="b">
        <v>0</v>
      </c>
      <c r="N133" t="inlineStr">
        <is>
          <t>ref</t>
        </is>
      </c>
      <c r="O133" t="n">
        <v>55</v>
      </c>
      <c r="P133" t="n">
        <v>0.0258</v>
      </c>
      <c r="Q133" t="n">
        <v>-25</v>
      </c>
      <c r="R133" t="n">
        <v>0.03467</v>
      </c>
      <c r="S133">
        <f>IMAGE("https://mitra.stanford.edu/kundaje/oak/projects/neuro-variants/variant_position/credible/roussos_2024/variant_figures/roussos_2024.childhood.GABA/rs4391625_count_position.png",4,220,900)</f>
        <v/>
      </c>
      <c r="T133">
        <f>IMAGE("https://mitra.stanford.edu/kundaje/oak/projects/neuro-variants/variant_position/credible/roussos_2024/variant_figures/roussos_2024.childhood.GABA/rs4391625_profile_position.png",4,220,900)</f>
        <v/>
      </c>
    </row>
    <row r="134">
      <c r="A134" t="inlineStr">
        <is>
          <t>chr1</t>
        </is>
      </c>
      <c r="B134" t="n">
        <v>73146005</v>
      </c>
      <c r="C134" t="inlineStr">
        <is>
          <t>C</t>
        </is>
      </c>
      <c r="D134" t="inlineStr">
        <is>
          <t>T</t>
        </is>
      </c>
      <c r="E134" t="inlineStr">
        <is>
          <t>rs57852356</t>
        </is>
      </c>
      <c r="F134" t="n">
        <v>-0.10408305</v>
      </c>
      <c r="G134" t="n">
        <v>0.0280335293553479</v>
      </c>
      <c r="H134" t="n">
        <v>0.0151995509843392</v>
      </c>
      <c r="I134" t="n">
        <v>0.2158872011286464</v>
      </c>
      <c r="J134" t="n">
        <v>0.0025884274674875</v>
      </c>
      <c r="K134" t="n">
        <v>0.8966022422765565</v>
      </c>
      <c r="L134" t="b">
        <v>0</v>
      </c>
      <c r="M134" t="b">
        <v>0</v>
      </c>
      <c r="N134" t="inlineStr">
        <is>
          <t>ref</t>
        </is>
      </c>
      <c r="O134" t="n">
        <v>-100</v>
      </c>
      <c r="P134" t="n">
        <v>0.005398</v>
      </c>
      <c r="Q134" t="n">
        <v>-100</v>
      </c>
      <c r="R134" t="n">
        <v>0.04773</v>
      </c>
      <c r="S134">
        <f>IMAGE("https://mitra.stanford.edu/kundaje/oak/projects/neuro-variants/variant_position/credible/roussos_2024/variant_figures/roussos_2024.childhood.GABA/rs57852356_count_position.png",4,220,900)</f>
        <v/>
      </c>
      <c r="T134">
        <f>IMAGE("https://mitra.stanford.edu/kundaje/oak/projects/neuro-variants/variant_position/credible/roussos_2024/variant_figures/roussos_2024.childhood.GABA/rs57852356_profile_position.png",4,220,900)</f>
        <v/>
      </c>
    </row>
    <row r="135">
      <c r="A135" t="inlineStr">
        <is>
          <t>chr1</t>
        </is>
      </c>
      <c r="B135" t="n">
        <v>73148706</v>
      </c>
      <c r="C135" t="inlineStr">
        <is>
          <t>C</t>
        </is>
      </c>
      <c r="D135" t="inlineStr">
        <is>
          <t>T</t>
        </is>
      </c>
      <c r="E135" t="inlineStr">
        <is>
          <t>rs6424521</t>
        </is>
      </c>
      <c r="F135" t="n">
        <v>-0.0891718792</v>
      </c>
      <c r="G135" t="n">
        <v>0.0390696044977015</v>
      </c>
      <c r="H135" t="n">
        <v>0.0149715523830603</v>
      </c>
      <c r="I135" t="n">
        <v>0.2265451104399179</v>
      </c>
      <c r="J135" t="n">
        <v>0.0273345060836422</v>
      </c>
      <c r="K135" t="n">
        <v>0.6193714823523323</v>
      </c>
      <c r="L135" t="b">
        <v>0</v>
      </c>
      <c r="M135" t="b">
        <v>0</v>
      </c>
      <c r="N135" t="inlineStr">
        <is>
          <t>ref</t>
        </is>
      </c>
      <c r="O135" t="n">
        <v>-30</v>
      </c>
      <c r="P135" t="n">
        <v>0.002686</v>
      </c>
      <c r="Q135" t="n">
        <v>-90</v>
      </c>
      <c r="R135" t="n">
        <v>0.06476</v>
      </c>
      <c r="S135">
        <f>IMAGE("https://mitra.stanford.edu/kundaje/oak/projects/neuro-variants/variant_position/credible/roussos_2024/variant_figures/roussos_2024.childhood.GABA/rs6424521_count_position.png",4,220,900)</f>
        <v/>
      </c>
      <c r="T135">
        <f>IMAGE("https://mitra.stanford.edu/kundaje/oak/projects/neuro-variants/variant_position/credible/roussos_2024/variant_figures/roussos_2024.childhood.GABA/rs6424521_profile_position.png",4,220,900)</f>
        <v/>
      </c>
    </row>
    <row r="136">
      <c r="A136" t="inlineStr">
        <is>
          <t>chr1</t>
        </is>
      </c>
      <c r="B136" t="n">
        <v>73152946</v>
      </c>
      <c r="C136" t="inlineStr">
        <is>
          <t>A</t>
        </is>
      </c>
      <c r="D136" t="inlineStr">
        <is>
          <t>G</t>
        </is>
      </c>
      <c r="E136" t="inlineStr">
        <is>
          <t>rs4454488</t>
        </is>
      </c>
      <c r="F136" t="n">
        <v>0.090168662</v>
      </c>
      <c r="G136" t="n">
        <v>0.0368964325505922</v>
      </c>
      <c r="H136" t="n">
        <v>0.0160005695372699</v>
      </c>
      <c r="I136" t="n">
        <v>0.1811731838802118</v>
      </c>
      <c r="J136" t="n">
        <v>0.1144070281250654</v>
      </c>
      <c r="K136" t="n">
        <v>0.330180780074181</v>
      </c>
      <c r="L136" t="b">
        <v>0</v>
      </c>
      <c r="M136" t="b">
        <v>0</v>
      </c>
      <c r="N136" t="inlineStr">
        <is>
          <t>alt</t>
        </is>
      </c>
      <c r="O136" t="n">
        <v>100</v>
      </c>
      <c r="P136" t="n">
        <v>0.0557</v>
      </c>
      <c r="Q136" t="n">
        <v>40</v>
      </c>
      <c r="R136" t="n">
        <v>0.0945</v>
      </c>
      <c r="S136">
        <f>IMAGE("https://mitra.stanford.edu/kundaje/oak/projects/neuro-variants/variant_position/credible/roussos_2024/variant_figures/roussos_2024.childhood.GABA/rs4454488_count_position.png",4,220,900)</f>
        <v/>
      </c>
      <c r="T136">
        <f>IMAGE("https://mitra.stanford.edu/kundaje/oak/projects/neuro-variants/variant_position/credible/roussos_2024/variant_figures/roussos_2024.childhood.GABA/rs4454488_profile_position.png",4,220,900)</f>
        <v/>
      </c>
    </row>
    <row r="137">
      <c r="A137" t="inlineStr">
        <is>
          <t>chr1</t>
        </is>
      </c>
      <c r="B137" t="n">
        <v>73153069</v>
      </c>
      <c r="C137" t="inlineStr">
        <is>
          <t>A</t>
        </is>
      </c>
      <c r="D137" t="inlineStr">
        <is>
          <t>G</t>
        </is>
      </c>
      <c r="E137" t="inlineStr">
        <is>
          <t>rs4369180</t>
        </is>
      </c>
      <c r="F137" t="n">
        <v>-0.0289860984</v>
      </c>
      <c r="G137" t="n">
        <v>0.2932902522064448</v>
      </c>
      <c r="H137" t="n">
        <v>0.0214066189382393</v>
      </c>
      <c r="I137" t="n">
        <v>0.0569824544450978</v>
      </c>
      <c r="J137" t="n">
        <v>0.08329249649221999</v>
      </c>
      <c r="K137" t="n">
        <v>0.3952229796360494</v>
      </c>
      <c r="L137" t="b">
        <v>0</v>
      </c>
      <c r="M137" t="b">
        <v>0</v>
      </c>
      <c r="N137" t="inlineStr">
        <is>
          <t>ref</t>
        </is>
      </c>
      <c r="O137" t="n">
        <v>-5</v>
      </c>
      <c r="P137" t="n">
        <v>0.0004272</v>
      </c>
      <c r="Q137" t="n">
        <v>-85</v>
      </c>
      <c r="R137" t="n">
        <v>0.149</v>
      </c>
      <c r="S137">
        <f>IMAGE("https://mitra.stanford.edu/kundaje/oak/projects/neuro-variants/variant_position/credible/roussos_2024/variant_figures/roussos_2024.childhood.GABA/rs4369180_count_position.png",4,220,900)</f>
        <v/>
      </c>
      <c r="T137">
        <f>IMAGE("https://mitra.stanford.edu/kundaje/oak/projects/neuro-variants/variant_position/credible/roussos_2024/variant_figures/roussos_2024.childhood.GABA/rs4369180_profile_position.png",4,220,900)</f>
        <v/>
      </c>
    </row>
    <row r="138">
      <c r="A138" t="inlineStr">
        <is>
          <t>chr1</t>
        </is>
      </c>
      <c r="B138" t="n">
        <v>73153162</v>
      </c>
      <c r="C138" t="inlineStr">
        <is>
          <t>G</t>
        </is>
      </c>
      <c r="D138" t="inlineStr">
        <is>
          <t>T</t>
        </is>
      </c>
      <c r="E138" t="inlineStr">
        <is>
          <t>rs4633241</t>
        </is>
      </c>
      <c r="F138" t="n">
        <v>0.026524692</v>
      </c>
      <c r="G138" t="n">
        <v>0.3295741728664659</v>
      </c>
      <c r="H138" t="n">
        <v>0.0281117792272933</v>
      </c>
      <c r="I138" t="n">
        <v>0.0176274644810513</v>
      </c>
      <c r="J138" t="n">
        <v>0.07516805930765839</v>
      </c>
      <c r="K138" t="n">
        <v>0.4157687493741373</v>
      </c>
      <c r="L138" t="b">
        <v>1</v>
      </c>
      <c r="M138" t="b">
        <v>0</v>
      </c>
      <c r="N138" t="inlineStr">
        <is>
          <t>alt</t>
        </is>
      </c>
      <c r="O138" t="n">
        <v>-95</v>
      </c>
      <c r="P138" t="n">
        <v>0.008240000000000001</v>
      </c>
      <c r="Q138" t="n">
        <v>-100</v>
      </c>
      <c r="R138" t="n">
        <v>0.03796</v>
      </c>
      <c r="S138">
        <f>IMAGE("https://mitra.stanford.edu/kundaje/oak/projects/neuro-variants/variant_position/credible/roussos_2024/variant_figures/roussos_2024.childhood.GABA/rs4633241_count_position.png",4,220,900)</f>
        <v/>
      </c>
      <c r="T138">
        <f>IMAGE("https://mitra.stanford.edu/kundaje/oak/projects/neuro-variants/variant_position/credible/roussos_2024/variant_figures/roussos_2024.childhood.GABA/rs4633241_profile_position.png",4,220,900)</f>
        <v/>
      </c>
    </row>
    <row r="139">
      <c r="A139" t="inlineStr">
        <is>
          <t>chr1</t>
        </is>
      </c>
      <c r="B139" t="n">
        <v>73153749</v>
      </c>
      <c r="C139" t="inlineStr">
        <is>
          <t>G</t>
        </is>
      </c>
      <c r="D139" t="inlineStr">
        <is>
          <t>T</t>
        </is>
      </c>
      <c r="E139" t="inlineStr">
        <is>
          <t>rs10399828</t>
        </is>
      </c>
      <c r="F139" t="n">
        <v>-0.101466688</v>
      </c>
      <c r="G139" t="n">
        <v>0.0463925668434832</v>
      </c>
      <c r="H139" t="n">
        <v>0.0222232556893917</v>
      </c>
      <c r="I139" t="n">
        <v>0.0560784111590908</v>
      </c>
      <c r="J139" t="n">
        <v>0.0065914849950785</v>
      </c>
      <c r="K139" t="n">
        <v>0.8017346867821669</v>
      </c>
      <c r="L139" t="b">
        <v>0</v>
      </c>
      <c r="M139" t="b">
        <v>0</v>
      </c>
      <c r="N139" t="inlineStr">
        <is>
          <t>ref</t>
        </is>
      </c>
      <c r="O139" t="n">
        <v>85</v>
      </c>
      <c r="P139" t="n">
        <v>0.006004</v>
      </c>
      <c r="Q139" t="n">
        <v>90</v>
      </c>
      <c r="R139" t="n">
        <v>0.096</v>
      </c>
      <c r="S139">
        <f>IMAGE("https://mitra.stanford.edu/kundaje/oak/projects/neuro-variants/variant_position/credible/roussos_2024/variant_figures/roussos_2024.childhood.GABA/rs10399828_count_position.png",4,220,900)</f>
        <v/>
      </c>
      <c r="T139">
        <f>IMAGE("https://mitra.stanford.edu/kundaje/oak/projects/neuro-variants/variant_position/credible/roussos_2024/variant_figures/roussos_2024.childhood.GABA/rs10399828_profile_position.png",4,220,900)</f>
        <v/>
      </c>
    </row>
    <row r="140">
      <c r="A140" t="inlineStr">
        <is>
          <t>chr1</t>
        </is>
      </c>
      <c r="B140" t="n">
        <v>73156986</v>
      </c>
      <c r="C140" t="inlineStr">
        <is>
          <t>A</t>
        </is>
      </c>
      <c r="D140" t="inlineStr">
        <is>
          <t>C</t>
        </is>
      </c>
      <c r="E140" t="inlineStr">
        <is>
          <t>rs7528640</t>
        </is>
      </c>
      <c r="F140" t="n">
        <v>-0.0012808329999999</v>
      </c>
      <c r="G140" t="n">
        <v>0.5657771557349488</v>
      </c>
      <c r="H140" t="n">
        <v>0.0245358212048211</v>
      </c>
      <c r="I140" t="n">
        <v>0.031042031012805</v>
      </c>
      <c r="J140" t="n">
        <v>0.025162823815208</v>
      </c>
      <c r="K140" t="n">
        <v>0.6099158043384159</v>
      </c>
      <c r="L140" t="b">
        <v>0</v>
      </c>
      <c r="M140" t="b">
        <v>0</v>
      </c>
      <c r="N140" t="inlineStr">
        <is>
          <t>ref</t>
        </is>
      </c>
      <c r="O140" t="n">
        <v>85</v>
      </c>
      <c r="P140" t="n">
        <v>0.006668</v>
      </c>
      <c r="Q140" t="n">
        <v>100</v>
      </c>
      <c r="R140" t="n">
        <v>0.02466</v>
      </c>
      <c r="S140">
        <f>IMAGE("https://mitra.stanford.edu/kundaje/oak/projects/neuro-variants/variant_position/credible/roussos_2024/variant_figures/roussos_2024.childhood.GABA/rs7528640_count_position.png",4,220,900)</f>
        <v/>
      </c>
      <c r="T140">
        <f>IMAGE("https://mitra.stanford.edu/kundaje/oak/projects/neuro-variants/variant_position/credible/roussos_2024/variant_figures/roussos_2024.childhood.GABA/rs7528640_profile_position.png",4,220,900)</f>
        <v/>
      </c>
    </row>
    <row r="141">
      <c r="A141" t="inlineStr">
        <is>
          <t>chr1</t>
        </is>
      </c>
      <c r="B141" t="n">
        <v>73159766</v>
      </c>
      <c r="C141" t="inlineStr">
        <is>
          <t>T</t>
        </is>
      </c>
      <c r="D141" t="inlineStr">
        <is>
          <t>C</t>
        </is>
      </c>
      <c r="E141" t="inlineStr">
        <is>
          <t>rs11210151</t>
        </is>
      </c>
      <c r="F141" t="n">
        <v>0.0093051797399999</v>
      </c>
      <c r="G141" t="n">
        <v>0.5767489449009606</v>
      </c>
      <c r="H141" t="n">
        <v>0.015573796063517</v>
      </c>
      <c r="I141" t="n">
        <v>0.1957597750555295</v>
      </c>
      <c r="J141" t="n">
        <v>0.0012282465288684</v>
      </c>
      <c r="K141" t="n">
        <v>0.9007391824607254</v>
      </c>
      <c r="L141" t="b">
        <v>0</v>
      </c>
      <c r="M141" t="b">
        <v>0</v>
      </c>
      <c r="N141" t="inlineStr">
        <is>
          <t>alt</t>
        </is>
      </c>
      <c r="O141" t="n">
        <v>100</v>
      </c>
      <c r="P141" t="n">
        <v>0.01431</v>
      </c>
      <c r="Q141" t="n">
        <v>-5</v>
      </c>
      <c r="R141" t="n">
        <v>0.001221</v>
      </c>
      <c r="S141">
        <f>IMAGE("https://mitra.stanford.edu/kundaje/oak/projects/neuro-variants/variant_position/credible/roussos_2024/variant_figures/roussos_2024.childhood.GABA/rs11210151_count_position.png",4,220,900)</f>
        <v/>
      </c>
      <c r="T141">
        <f>IMAGE("https://mitra.stanford.edu/kundaje/oak/projects/neuro-variants/variant_position/credible/roussos_2024/variant_figures/roussos_2024.childhood.GABA/rs11210151_profile_position.png",4,220,900)</f>
        <v/>
      </c>
    </row>
    <row r="142">
      <c r="A142" t="inlineStr">
        <is>
          <t>chr1</t>
        </is>
      </c>
      <c r="B142" t="n">
        <v>73161111</v>
      </c>
      <c r="C142" t="inlineStr">
        <is>
          <t>T</t>
        </is>
      </c>
      <c r="D142" t="inlineStr">
        <is>
          <t>G</t>
        </is>
      </c>
      <c r="E142" t="inlineStr">
        <is>
          <t>rs11210155</t>
        </is>
      </c>
      <c r="F142" t="n">
        <v>0.0229248346</v>
      </c>
      <c r="G142" t="n">
        <v>0.3677583308267141</v>
      </c>
      <c r="H142" t="n">
        <v>0.011638077666459</v>
      </c>
      <c r="I142" t="n">
        <v>0.4756972825702409</v>
      </c>
      <c r="J142" t="n">
        <v>0.0070260308684634</v>
      </c>
      <c r="K142" t="n">
        <v>0.7836504086275236</v>
      </c>
      <c r="L142" t="b">
        <v>0</v>
      </c>
      <c r="M142" t="b">
        <v>0</v>
      </c>
      <c r="N142" t="inlineStr">
        <is>
          <t>alt</t>
        </is>
      </c>
      <c r="O142" t="n">
        <v>100</v>
      </c>
      <c r="P142" t="n">
        <v>0.015205</v>
      </c>
      <c r="Q142" t="n">
        <v>-95</v>
      </c>
      <c r="R142" t="n">
        <v>0.05588</v>
      </c>
      <c r="S142">
        <f>IMAGE("https://mitra.stanford.edu/kundaje/oak/projects/neuro-variants/variant_position/credible/roussos_2024/variant_figures/roussos_2024.childhood.GABA/rs11210155_count_position.png",4,220,900)</f>
        <v/>
      </c>
      <c r="T142">
        <f>IMAGE("https://mitra.stanford.edu/kundaje/oak/projects/neuro-variants/variant_position/credible/roussos_2024/variant_figures/roussos_2024.childhood.GABA/rs11210155_profile_position.png",4,220,900)</f>
        <v/>
      </c>
    </row>
    <row r="143">
      <c r="A143" t="inlineStr">
        <is>
          <t>chr1</t>
        </is>
      </c>
      <c r="B143" t="n">
        <v>73161541</v>
      </c>
      <c r="C143" t="inlineStr">
        <is>
          <t>C</t>
        </is>
      </c>
      <c r="D143" t="inlineStr">
        <is>
          <t>G</t>
        </is>
      </c>
      <c r="E143" t="inlineStr">
        <is>
          <t>rs11210158</t>
        </is>
      </c>
      <c r="F143" t="n">
        <v>0.0306435074</v>
      </c>
      <c r="G143" t="n">
        <v>0.2766677459373288</v>
      </c>
      <c r="H143" t="n">
        <v>0.0075366721615807</v>
      </c>
      <c r="I143" t="n">
        <v>0.8727268625799346</v>
      </c>
      <c r="J143" t="n">
        <v>0.0093160352662771</v>
      </c>
      <c r="K143" t="n">
        <v>0.7633534371179925</v>
      </c>
      <c r="L143" t="b">
        <v>0</v>
      </c>
      <c r="M143" t="b">
        <v>0</v>
      </c>
      <c r="N143" t="inlineStr">
        <is>
          <t>alt</t>
        </is>
      </c>
      <c r="O143" t="n">
        <v>-100</v>
      </c>
      <c r="P143" t="n">
        <v>0.02211</v>
      </c>
      <c r="Q143" t="n">
        <v>-100</v>
      </c>
      <c r="R143" t="n">
        <v>0.05695</v>
      </c>
      <c r="S143">
        <f>IMAGE("https://mitra.stanford.edu/kundaje/oak/projects/neuro-variants/variant_position/credible/roussos_2024/variant_figures/roussos_2024.childhood.GABA/rs11210158_count_position.png",4,220,900)</f>
        <v/>
      </c>
      <c r="T143">
        <f>IMAGE("https://mitra.stanford.edu/kundaje/oak/projects/neuro-variants/variant_position/credible/roussos_2024/variant_figures/roussos_2024.childhood.GABA/rs11210158_profile_position.png",4,220,900)</f>
        <v/>
      </c>
    </row>
    <row r="144">
      <c r="A144" t="inlineStr">
        <is>
          <t>chr1</t>
        </is>
      </c>
      <c r="B144" t="n">
        <v>73161542</v>
      </c>
      <c r="C144" t="inlineStr">
        <is>
          <t>C</t>
        </is>
      </c>
      <c r="D144" t="inlineStr">
        <is>
          <t>A</t>
        </is>
      </c>
      <c r="E144" t="inlineStr">
        <is>
          <t>rs11210159</t>
        </is>
      </c>
      <c r="F144" t="n">
        <v>0.0063010643499999</v>
      </c>
      <c r="G144" t="n">
        <v>0.667890337847215</v>
      </c>
      <c r="H144" t="n">
        <v>0.009806033954144099</v>
      </c>
      <c r="I144" t="n">
        <v>0.6320610920537634</v>
      </c>
      <c r="J144" t="n">
        <v>0.0083097736173064</v>
      </c>
      <c r="K144" t="n">
        <v>0.7768387082812133</v>
      </c>
      <c r="L144" t="b">
        <v>0</v>
      </c>
      <c r="M144" t="b">
        <v>0</v>
      </c>
      <c r="N144" t="inlineStr">
        <is>
          <t>alt</t>
        </is>
      </c>
      <c r="O144" t="n">
        <v>-85</v>
      </c>
      <c r="P144" t="n">
        <v>0.0212</v>
      </c>
      <c r="Q144" t="n">
        <v>-100</v>
      </c>
      <c r="R144" t="n">
        <v>0.0703</v>
      </c>
      <c r="S144">
        <f>IMAGE("https://mitra.stanford.edu/kundaje/oak/projects/neuro-variants/variant_position/credible/roussos_2024/variant_figures/roussos_2024.childhood.GABA/rs11210159_count_position.png",4,220,900)</f>
        <v/>
      </c>
      <c r="T144">
        <f>IMAGE("https://mitra.stanford.edu/kundaje/oak/projects/neuro-variants/variant_position/credible/roussos_2024/variant_figures/roussos_2024.childhood.GABA/rs11210159_profile_position.png",4,220,900)</f>
        <v/>
      </c>
    </row>
    <row r="145">
      <c r="A145" t="inlineStr">
        <is>
          <t>chr1</t>
        </is>
      </c>
      <c r="B145" t="n">
        <v>73163039</v>
      </c>
      <c r="C145" t="inlineStr">
        <is>
          <t>C</t>
        </is>
      </c>
      <c r="D145" t="inlineStr">
        <is>
          <t>T</t>
        </is>
      </c>
      <c r="E145" t="inlineStr">
        <is>
          <t>rs6666765</t>
        </is>
      </c>
      <c r="F145" t="n">
        <v>0.064113683</v>
      </c>
      <c r="G145" t="n">
        <v>0.08807551866067111</v>
      </c>
      <c r="H145" t="n">
        <v>0.0226337275662516</v>
      </c>
      <c r="I145" t="n">
        <v>0.0446357903951303</v>
      </c>
      <c r="J145" t="n">
        <v>0.08152394714246811</v>
      </c>
      <c r="K145" t="n">
        <v>0.3907410582111763</v>
      </c>
      <c r="L145" t="b">
        <v>0</v>
      </c>
      <c r="M145" t="b">
        <v>0</v>
      </c>
      <c r="N145" t="inlineStr">
        <is>
          <t>alt</t>
        </is>
      </c>
      <c r="O145" t="n">
        <v>-60</v>
      </c>
      <c r="P145" t="n">
        <v>0.00737</v>
      </c>
      <c r="Q145" t="n">
        <v>-80</v>
      </c>
      <c r="R145" t="n">
        <v>0.07666000000000001</v>
      </c>
      <c r="S145">
        <f>IMAGE("https://mitra.stanford.edu/kundaje/oak/projects/neuro-variants/variant_position/credible/roussos_2024/variant_figures/roussos_2024.childhood.GABA/rs6666765_count_position.png",4,220,900)</f>
        <v/>
      </c>
      <c r="T145">
        <f>IMAGE("https://mitra.stanford.edu/kundaje/oak/projects/neuro-variants/variant_position/credible/roussos_2024/variant_figures/roussos_2024.childhood.GABA/rs6666765_profile_position.png",4,220,900)</f>
        <v/>
      </c>
    </row>
    <row r="146">
      <c r="A146" t="inlineStr">
        <is>
          <t>chr1</t>
        </is>
      </c>
      <c r="B146" t="n">
        <v>73163824</v>
      </c>
      <c r="C146" t="inlineStr">
        <is>
          <t>G</t>
        </is>
      </c>
      <c r="D146" t="inlineStr">
        <is>
          <t>T</t>
        </is>
      </c>
      <c r="E146" t="inlineStr">
        <is>
          <t>rs11210163</t>
        </is>
      </c>
      <c r="F146" t="n">
        <v>-0.01824780234</v>
      </c>
      <c r="G146" t="n">
        <v>0.4607063653885705</v>
      </c>
      <c r="H146" t="n">
        <v>0.0198884995855783</v>
      </c>
      <c r="I146" t="n">
        <v>0.07896357005692529</v>
      </c>
      <c r="J146" t="n">
        <v>0.0119892777114614</v>
      </c>
      <c r="K146" t="n">
        <v>0.7166144054249928</v>
      </c>
      <c r="L146" t="b">
        <v>0</v>
      </c>
      <c r="M146" t="b">
        <v>0</v>
      </c>
      <c r="N146" t="inlineStr">
        <is>
          <t>ref</t>
        </is>
      </c>
      <c r="O146" t="n">
        <v>70</v>
      </c>
      <c r="P146" t="n">
        <v>0.0246</v>
      </c>
      <c r="Q146" t="n">
        <v>-100</v>
      </c>
      <c r="R146" t="n">
        <v>0.1436</v>
      </c>
      <c r="S146">
        <f>IMAGE("https://mitra.stanford.edu/kundaje/oak/projects/neuro-variants/variant_position/credible/roussos_2024/variant_figures/roussos_2024.childhood.GABA/rs11210163_count_position.png",4,220,900)</f>
        <v/>
      </c>
      <c r="T146">
        <f>IMAGE("https://mitra.stanford.edu/kundaje/oak/projects/neuro-variants/variant_position/credible/roussos_2024/variant_figures/roussos_2024.childhood.GABA/rs11210163_profile_position.png",4,220,900)</f>
        <v/>
      </c>
    </row>
    <row r="147">
      <c r="A147" t="inlineStr">
        <is>
          <t>chr1</t>
        </is>
      </c>
      <c r="B147" t="n">
        <v>73170489</v>
      </c>
      <c r="C147" t="inlineStr">
        <is>
          <t>C</t>
        </is>
      </c>
      <c r="D147" t="inlineStr">
        <is>
          <t>A</t>
        </is>
      </c>
      <c r="E147" t="inlineStr">
        <is>
          <t>rs4492565</t>
        </is>
      </c>
      <c r="F147" t="n">
        <v>0.0017599281999999</v>
      </c>
      <c r="G147" t="n">
        <v>0.3293987686770085</v>
      </c>
      <c r="H147" t="n">
        <v>0.0113069659738796</v>
      </c>
      <c r="I147" t="n">
        <v>0.487392141967808</v>
      </c>
      <c r="J147" t="n">
        <v>0.033591966660384</v>
      </c>
      <c r="K147" t="n">
        <v>0.5623957971225324</v>
      </c>
      <c r="L147" t="b">
        <v>0</v>
      </c>
      <c r="M147" t="b">
        <v>0</v>
      </c>
      <c r="N147" t="inlineStr">
        <is>
          <t>alt</t>
        </is>
      </c>
      <c r="O147" t="n">
        <v>5</v>
      </c>
      <c r="P147" t="n">
        <v>0.000969</v>
      </c>
      <c r="Q147" t="n">
        <v>95</v>
      </c>
      <c r="R147" t="n">
        <v>0.0437</v>
      </c>
      <c r="S147">
        <f>IMAGE("https://mitra.stanford.edu/kundaje/oak/projects/neuro-variants/variant_position/credible/roussos_2024/variant_figures/roussos_2024.childhood.GABA/rs4492565_count_position.png",4,220,900)</f>
        <v/>
      </c>
      <c r="T147">
        <f>IMAGE("https://mitra.stanford.edu/kundaje/oak/projects/neuro-variants/variant_position/credible/roussos_2024/variant_figures/roussos_2024.childhood.GABA/rs4492565_profile_position.png",4,220,900)</f>
        <v/>
      </c>
    </row>
    <row r="148">
      <c r="A148" t="inlineStr">
        <is>
          <t>chr1</t>
        </is>
      </c>
      <c r="B148" t="n">
        <v>73172117</v>
      </c>
      <c r="C148" t="inlineStr">
        <is>
          <t>C</t>
        </is>
      </c>
      <c r="D148" t="inlineStr">
        <is>
          <t>A</t>
        </is>
      </c>
      <c r="E148" t="inlineStr">
        <is>
          <t>rs4650196</t>
        </is>
      </c>
      <c r="F148" t="n">
        <v>0.01016586206</v>
      </c>
      <c r="G148" t="n">
        <v>0.6079589527626515</v>
      </c>
      <c r="H148" t="n">
        <v>0.0172423136395755</v>
      </c>
      <c r="I148" t="n">
        <v>0.1330042780237652</v>
      </c>
      <c r="J148" t="n">
        <v>0.0085568888609662</v>
      </c>
      <c r="K148" t="n">
        <v>0.7684632351699154</v>
      </c>
      <c r="L148" t="b">
        <v>0</v>
      </c>
      <c r="M148" t="b">
        <v>0</v>
      </c>
      <c r="N148" t="inlineStr">
        <is>
          <t>alt</t>
        </is>
      </c>
      <c r="O148" t="n">
        <v>35</v>
      </c>
      <c r="P148" t="n">
        <v>0.000515</v>
      </c>
      <c r="Q148" t="n">
        <v>-85</v>
      </c>
      <c r="R148" t="n">
        <v>0.03143</v>
      </c>
      <c r="S148">
        <f>IMAGE("https://mitra.stanford.edu/kundaje/oak/projects/neuro-variants/variant_position/credible/roussos_2024/variant_figures/roussos_2024.childhood.GABA/rs4650196_count_position.png",4,220,900)</f>
        <v/>
      </c>
      <c r="T148">
        <f>IMAGE("https://mitra.stanford.edu/kundaje/oak/projects/neuro-variants/variant_position/credible/roussos_2024/variant_figures/roussos_2024.childhood.GABA/rs4650196_profile_position.png",4,220,900)</f>
        <v/>
      </c>
    </row>
    <row r="149">
      <c r="A149" t="inlineStr">
        <is>
          <t>chr1</t>
        </is>
      </c>
      <c r="B149" t="n">
        <v>73173151</v>
      </c>
      <c r="C149" t="inlineStr">
        <is>
          <t>A</t>
        </is>
      </c>
      <c r="D149" t="inlineStr">
        <is>
          <t>C</t>
        </is>
      </c>
      <c r="E149" t="inlineStr">
        <is>
          <t>rs6695455</t>
        </is>
      </c>
      <c r="F149" t="n">
        <v>0.02168650021</v>
      </c>
      <c r="G149" t="n">
        <v>0.4403555349100932</v>
      </c>
      <c r="H149" t="n">
        <v>0.0107127575546145</v>
      </c>
      <c r="I149" t="n">
        <v>0.5558592578037954</v>
      </c>
      <c r="J149" t="n">
        <v>0.0536250549726706</v>
      </c>
      <c r="K149" t="n">
        <v>0.4747158557006205</v>
      </c>
      <c r="L149" t="b">
        <v>0</v>
      </c>
      <c r="M149" t="b">
        <v>0</v>
      </c>
      <c r="N149" t="inlineStr">
        <is>
          <t>alt</t>
        </is>
      </c>
      <c r="O149" t="n">
        <v>90</v>
      </c>
      <c r="P149" t="n">
        <v>0.003263</v>
      </c>
      <c r="Q149" t="n">
        <v>55</v>
      </c>
      <c r="R149" t="n">
        <v>0.10675</v>
      </c>
      <c r="S149">
        <f>IMAGE("https://mitra.stanford.edu/kundaje/oak/projects/neuro-variants/variant_position/credible/roussos_2024/variant_figures/roussos_2024.childhood.GABA/rs6695455_count_position.png",4,220,900)</f>
        <v/>
      </c>
      <c r="T149">
        <f>IMAGE("https://mitra.stanford.edu/kundaje/oak/projects/neuro-variants/variant_position/credible/roussos_2024/variant_figures/roussos_2024.childhood.GABA/rs6695455_profile_position.png",4,220,900)</f>
        <v/>
      </c>
    </row>
    <row r="150">
      <c r="A150" t="inlineStr">
        <is>
          <t>chr1</t>
        </is>
      </c>
      <c r="B150" t="n">
        <v>73173633</v>
      </c>
      <c r="C150" t="inlineStr">
        <is>
          <t>T</t>
        </is>
      </c>
      <c r="D150" t="inlineStr">
        <is>
          <t>C</t>
        </is>
      </c>
      <c r="E150" t="inlineStr">
        <is>
          <t>rs6698500</t>
        </is>
      </c>
      <c r="F150" t="n">
        <v>0.0210122162</v>
      </c>
      <c r="G150" t="n">
        <v>0.3883904230767734</v>
      </c>
      <c r="H150" t="n">
        <v>0.0100471777941739</v>
      </c>
      <c r="I150" t="n">
        <v>0.6193641151666219</v>
      </c>
      <c r="J150" t="n">
        <v>0.0645211618604845</v>
      </c>
      <c r="K150" t="n">
        <v>0.4425698756121146</v>
      </c>
      <c r="L150" t="b">
        <v>0</v>
      </c>
      <c r="M150" t="b">
        <v>0</v>
      </c>
      <c r="N150" t="inlineStr">
        <is>
          <t>alt</t>
        </is>
      </c>
      <c r="O150" t="n">
        <v>95</v>
      </c>
      <c r="P150" t="n">
        <v>0.0063</v>
      </c>
      <c r="Q150" t="n">
        <v>-30</v>
      </c>
      <c r="R150" t="n">
        <v>0.0351</v>
      </c>
      <c r="S150">
        <f>IMAGE("https://mitra.stanford.edu/kundaje/oak/projects/neuro-variants/variant_position/credible/roussos_2024/variant_figures/roussos_2024.childhood.GABA/rs6698500_count_position.png",4,220,900)</f>
        <v/>
      </c>
      <c r="T150">
        <f>IMAGE("https://mitra.stanford.edu/kundaje/oak/projects/neuro-variants/variant_position/credible/roussos_2024/variant_figures/roussos_2024.childhood.GABA/rs6698500_profile_position.png",4,220,900)</f>
        <v/>
      </c>
    </row>
    <row r="151">
      <c r="A151" t="inlineStr">
        <is>
          <t>chr1</t>
        </is>
      </c>
      <c r="B151" t="n">
        <v>73174844</v>
      </c>
      <c r="C151" t="inlineStr">
        <is>
          <t>A</t>
        </is>
      </c>
      <c r="D151" t="inlineStr">
        <is>
          <t>G</t>
        </is>
      </c>
      <c r="E151" t="inlineStr">
        <is>
          <t>rs12124553</t>
        </is>
      </c>
      <c r="F151" t="n">
        <v>0.08765060679999991</v>
      </c>
      <c r="G151" t="n">
        <v>0.0389557496625238</v>
      </c>
      <c r="H151" t="n">
        <v>0.0138940685738364</v>
      </c>
      <c r="I151" t="n">
        <v>0.2918666910210505</v>
      </c>
      <c r="J151" t="n">
        <v>0.07381730225545</v>
      </c>
      <c r="K151" t="n">
        <v>0.4281144552302636</v>
      </c>
      <c r="L151" t="b">
        <v>0</v>
      </c>
      <c r="M151" t="b">
        <v>0</v>
      </c>
      <c r="N151" t="inlineStr">
        <is>
          <t>alt</t>
        </is>
      </c>
      <c r="O151" t="n">
        <v>100</v>
      </c>
      <c r="P151" t="n">
        <v>0.01076</v>
      </c>
      <c r="Q151" t="n">
        <v>100</v>
      </c>
      <c r="R151" t="n">
        <v>0.03113</v>
      </c>
      <c r="S151">
        <f>IMAGE("https://mitra.stanford.edu/kundaje/oak/projects/neuro-variants/variant_position/credible/roussos_2024/variant_figures/roussos_2024.childhood.GABA/rs12124553_count_position.png",4,220,900)</f>
        <v/>
      </c>
      <c r="T151">
        <f>IMAGE("https://mitra.stanford.edu/kundaje/oak/projects/neuro-variants/variant_position/credible/roussos_2024/variant_figures/roussos_2024.childhood.GABA/rs12124553_profile_position.png",4,220,900)</f>
        <v/>
      </c>
    </row>
    <row r="152">
      <c r="A152" t="inlineStr">
        <is>
          <t>chr1</t>
        </is>
      </c>
      <c r="B152" t="n">
        <v>73176803</v>
      </c>
      <c r="C152" t="inlineStr">
        <is>
          <t>A</t>
        </is>
      </c>
      <c r="D152" t="inlineStr">
        <is>
          <t>G</t>
        </is>
      </c>
      <c r="E152" t="inlineStr">
        <is>
          <t>rs12126688</t>
        </is>
      </c>
      <c r="F152" t="n">
        <v>-0.0409688834</v>
      </c>
      <c r="G152" t="n">
        <v>0.2307485600283269</v>
      </c>
      <c r="H152" t="n">
        <v>0.0487439837261519</v>
      </c>
      <c r="I152" t="n">
        <v>0.0020414348036959</v>
      </c>
      <c r="J152" t="n">
        <v>0.0304213524324097</v>
      </c>
      <c r="K152" t="n">
        <v>0.5969143638430231</v>
      </c>
      <c r="L152" t="b">
        <v>1</v>
      </c>
      <c r="M152" t="b">
        <v>0</v>
      </c>
      <c r="N152" t="inlineStr">
        <is>
          <t>ref</t>
        </is>
      </c>
      <c r="O152" t="n">
        <v>-25</v>
      </c>
      <c r="P152" t="n">
        <v>0.00569</v>
      </c>
      <c r="Q152" t="n">
        <v>-25</v>
      </c>
      <c r="R152" t="n">
        <v>0.06116</v>
      </c>
      <c r="S152">
        <f>IMAGE("https://mitra.stanford.edu/kundaje/oak/projects/neuro-variants/variant_position/credible/roussos_2024/variant_figures/roussos_2024.childhood.GABA/rs12126688_count_position.png",4,220,900)</f>
        <v/>
      </c>
      <c r="T152">
        <f>IMAGE("https://mitra.stanford.edu/kundaje/oak/projects/neuro-variants/variant_position/credible/roussos_2024/variant_figures/roussos_2024.childhood.GABA/rs12126688_profile_position.png",4,220,900)</f>
        <v/>
      </c>
    </row>
    <row r="153">
      <c r="A153" t="inlineStr">
        <is>
          <t>chr1</t>
        </is>
      </c>
      <c r="B153" t="n">
        <v>73179104</v>
      </c>
      <c r="C153" t="inlineStr">
        <is>
          <t>C</t>
        </is>
      </c>
      <c r="D153" t="inlineStr">
        <is>
          <t>A</t>
        </is>
      </c>
      <c r="E153" t="inlineStr">
        <is>
          <t>rs4503305</t>
        </is>
      </c>
      <c r="F153" t="n">
        <v>0.0182645541</v>
      </c>
      <c r="G153" t="n">
        <v>0.4688741263255289</v>
      </c>
      <c r="H153" t="n">
        <v>0.0244564768514987</v>
      </c>
      <c r="I153" t="n">
        <v>0.0320103946022541</v>
      </c>
      <c r="J153" t="n">
        <v>0.12618583904002</v>
      </c>
      <c r="K153" t="n">
        <v>0.3057676405619203</v>
      </c>
      <c r="L153" t="b">
        <v>0</v>
      </c>
      <c r="M153" t="b">
        <v>0</v>
      </c>
      <c r="N153" t="inlineStr">
        <is>
          <t>alt</t>
        </is>
      </c>
      <c r="O153" t="n">
        <v>-40</v>
      </c>
      <c r="P153" t="n">
        <v>0.00337</v>
      </c>
      <c r="Q153" t="n">
        <v>45</v>
      </c>
      <c r="R153" t="n">
        <v>0.03107</v>
      </c>
      <c r="S153">
        <f>IMAGE("https://mitra.stanford.edu/kundaje/oak/projects/neuro-variants/variant_position/credible/roussos_2024/variant_figures/roussos_2024.childhood.GABA/rs4503305_count_position.png",4,220,900)</f>
        <v/>
      </c>
      <c r="T153">
        <f>IMAGE("https://mitra.stanford.edu/kundaje/oak/projects/neuro-variants/variant_position/credible/roussos_2024/variant_figures/roussos_2024.childhood.GABA/rs4503305_profile_position.png",4,220,900)</f>
        <v/>
      </c>
    </row>
    <row r="154">
      <c r="A154" t="inlineStr">
        <is>
          <t>chr1</t>
        </is>
      </c>
      <c r="B154" t="n">
        <v>73181248</v>
      </c>
      <c r="C154" t="inlineStr">
        <is>
          <t>C</t>
        </is>
      </c>
      <c r="D154" t="inlineStr">
        <is>
          <t>T</t>
        </is>
      </c>
      <c r="E154" t="inlineStr">
        <is>
          <t>rs4641264</t>
        </is>
      </c>
      <c r="F154" t="n">
        <v>-0.07729724640000001</v>
      </c>
      <c r="G154" t="n">
        <v>0.0714637312846754</v>
      </c>
      <c r="H154" t="n">
        <v>0.0198226730381399</v>
      </c>
      <c r="I154" t="n">
        <v>0.07891208064657421</v>
      </c>
      <c r="J154" t="n">
        <v>0.6211723314694979</v>
      </c>
      <c r="K154" t="n">
        <v>0.0258146714127633</v>
      </c>
      <c r="L154" t="b">
        <v>0</v>
      </c>
      <c r="M154" t="b">
        <v>0</v>
      </c>
      <c r="N154" t="inlineStr">
        <is>
          <t>ref</t>
        </is>
      </c>
      <c r="O154" t="n">
        <v>35</v>
      </c>
      <c r="P154" t="n">
        <v>0.002823</v>
      </c>
      <c r="Q154" t="n">
        <v>55</v>
      </c>
      <c r="R154" t="n">
        <v>0.0813</v>
      </c>
      <c r="S154">
        <f>IMAGE("https://mitra.stanford.edu/kundaje/oak/projects/neuro-variants/variant_position/credible/roussos_2024/variant_figures/roussos_2024.childhood.GABA/rs4641264_count_position.png",4,220,900)</f>
        <v/>
      </c>
      <c r="T154">
        <f>IMAGE("https://mitra.stanford.edu/kundaje/oak/projects/neuro-variants/variant_position/credible/roussos_2024/variant_figures/roussos_2024.childhood.GABA/rs4641264_profile_position.png",4,220,900)</f>
        <v/>
      </c>
    </row>
    <row r="155">
      <c r="A155" t="inlineStr">
        <is>
          <t>chr1</t>
        </is>
      </c>
      <c r="B155" t="n">
        <v>73181316</v>
      </c>
      <c r="C155" t="inlineStr">
        <is>
          <t>G</t>
        </is>
      </c>
      <c r="D155" t="inlineStr">
        <is>
          <t>A</t>
        </is>
      </c>
      <c r="E155" t="inlineStr">
        <is>
          <t>rs4578169</t>
        </is>
      </c>
      <c r="F155" t="n">
        <v>-0.0422405694</v>
      </c>
      <c r="G155" t="n">
        <v>0.1982910592541353</v>
      </c>
      <c r="H155" t="n">
        <v>0.0163334861189678</v>
      </c>
      <c r="I155" t="n">
        <v>0.1734020141095121</v>
      </c>
      <c r="J155" t="n">
        <v>0.6098092186551067</v>
      </c>
      <c r="K155" t="n">
        <v>0.0277514665582056</v>
      </c>
      <c r="L155" t="b">
        <v>0</v>
      </c>
      <c r="M155" t="b">
        <v>0</v>
      </c>
      <c r="N155" t="inlineStr">
        <is>
          <t>ref</t>
        </is>
      </c>
      <c r="O155" t="n">
        <v>-35</v>
      </c>
      <c r="P155" t="n">
        <v>0.002838</v>
      </c>
      <c r="Q155" t="n">
        <v>-15</v>
      </c>
      <c r="R155" t="n">
        <v>0.0166</v>
      </c>
      <c r="S155">
        <f>IMAGE("https://mitra.stanford.edu/kundaje/oak/projects/neuro-variants/variant_position/credible/roussos_2024/variant_figures/roussos_2024.childhood.GABA/rs4578169_count_position.png",4,220,900)</f>
        <v/>
      </c>
      <c r="T155">
        <f>IMAGE("https://mitra.stanford.edu/kundaje/oak/projects/neuro-variants/variant_position/credible/roussos_2024/variant_figures/roussos_2024.childhood.GABA/rs4578169_profile_position.png",4,220,900)</f>
        <v/>
      </c>
    </row>
    <row r="156">
      <c r="A156" t="inlineStr">
        <is>
          <t>chr1</t>
        </is>
      </c>
      <c r="B156" t="n">
        <v>73181365</v>
      </c>
      <c r="C156" t="inlineStr">
        <is>
          <t>T</t>
        </is>
      </c>
      <c r="D156" t="inlineStr">
        <is>
          <t>C</t>
        </is>
      </c>
      <c r="E156" t="inlineStr">
        <is>
          <t>rs7514409</t>
        </is>
      </c>
      <c r="F156" t="n">
        <v>0.0524521578</v>
      </c>
      <c r="G156" t="n">
        <v>0.1388035293932177</v>
      </c>
      <c r="H156" t="n">
        <v>0.0128546126709708</v>
      </c>
      <c r="I156" t="n">
        <v>0.3633351357798737</v>
      </c>
      <c r="J156" t="n">
        <v>0.6095997989570898</v>
      </c>
      <c r="K156" t="n">
        <v>0.0278060244073095</v>
      </c>
      <c r="L156" t="b">
        <v>0</v>
      </c>
      <c r="M156" t="b">
        <v>0</v>
      </c>
      <c r="N156" t="inlineStr">
        <is>
          <t>alt</t>
        </is>
      </c>
      <c r="O156" t="n">
        <v>-90</v>
      </c>
      <c r="P156" t="n">
        <v>0.006454</v>
      </c>
      <c r="Q156" t="n">
        <v>-60</v>
      </c>
      <c r="R156" t="n">
        <v>0.06616</v>
      </c>
      <c r="S156">
        <f>IMAGE("https://mitra.stanford.edu/kundaje/oak/projects/neuro-variants/variant_position/credible/roussos_2024/variant_figures/roussos_2024.childhood.GABA/rs7514409_count_position.png",4,220,900)</f>
        <v/>
      </c>
      <c r="T156">
        <f>IMAGE("https://mitra.stanford.edu/kundaje/oak/projects/neuro-variants/variant_position/credible/roussos_2024/variant_figures/roussos_2024.childhood.GABA/rs7514409_profile_position.png",4,220,900)</f>
        <v/>
      </c>
    </row>
    <row r="157">
      <c r="A157" t="inlineStr">
        <is>
          <t>chr1</t>
        </is>
      </c>
      <c r="B157" t="n">
        <v>73256777</v>
      </c>
      <c r="C157" t="inlineStr">
        <is>
          <t>C</t>
        </is>
      </c>
      <c r="D157" t="inlineStr">
        <is>
          <t>G</t>
        </is>
      </c>
      <c r="E157" t="inlineStr">
        <is>
          <t>rs4074990</t>
        </is>
      </c>
      <c r="F157" t="n">
        <v>0.0473339056</v>
      </c>
      <c r="G157" t="n">
        <v>0.158423020914336</v>
      </c>
      <c r="H157" t="n">
        <v>0.0117148762450282</v>
      </c>
      <c r="I157" t="n">
        <v>0.4680823398250638</v>
      </c>
      <c r="J157" t="n">
        <v>0.0114343155117169</v>
      </c>
      <c r="K157" t="n">
        <v>0.7244384514640205</v>
      </c>
      <c r="L157" t="b">
        <v>0</v>
      </c>
      <c r="M157" t="b">
        <v>0</v>
      </c>
      <c r="N157" t="inlineStr">
        <is>
          <t>alt</t>
        </is>
      </c>
      <c r="O157" t="n">
        <v>-95</v>
      </c>
      <c r="P157" t="n">
        <v>0.01424</v>
      </c>
      <c r="Q157" t="n">
        <v>55</v>
      </c>
      <c r="R157" t="n">
        <v>0.0717</v>
      </c>
      <c r="S157">
        <f>IMAGE("https://mitra.stanford.edu/kundaje/oak/projects/neuro-variants/variant_position/credible/roussos_2024/variant_figures/roussos_2024.childhood.GABA/rs4074990_count_position.png",4,220,900)</f>
        <v/>
      </c>
      <c r="T157">
        <f>IMAGE("https://mitra.stanford.edu/kundaje/oak/projects/neuro-variants/variant_position/credible/roussos_2024/variant_figures/roussos_2024.childhood.GABA/rs4074990_profile_position.png",4,220,900)</f>
        <v/>
      </c>
    </row>
    <row r="158">
      <c r="A158" t="inlineStr">
        <is>
          <t>chr1</t>
        </is>
      </c>
      <c r="B158" t="n">
        <v>73310990</v>
      </c>
      <c r="C158" t="inlineStr">
        <is>
          <t>G</t>
        </is>
      </c>
      <c r="D158" t="inlineStr">
        <is>
          <t>A</t>
        </is>
      </c>
      <c r="E158" t="inlineStr">
        <is>
          <t>rs6424546</t>
        </is>
      </c>
      <c r="F158" t="n">
        <v>0.1635621324</v>
      </c>
      <c r="G158" t="n">
        <v>0.0110220351021559</v>
      </c>
      <c r="H158" t="n">
        <v>0.032847191424489</v>
      </c>
      <c r="I158" t="n">
        <v>0.0106083888943552</v>
      </c>
      <c r="J158" t="n">
        <v>0.1638688195011622</v>
      </c>
      <c r="K158" t="n">
        <v>0.2477731549786806</v>
      </c>
      <c r="L158" t="b">
        <v>1</v>
      </c>
      <c r="M158" t="b">
        <v>0</v>
      </c>
      <c r="N158" t="inlineStr">
        <is>
          <t>alt</t>
        </is>
      </c>
      <c r="O158" t="n">
        <v>-80</v>
      </c>
      <c r="P158" t="n">
        <v>0.008500000000000001</v>
      </c>
      <c r="Q158" t="n">
        <v>-70</v>
      </c>
      <c r="R158" t="n">
        <v>0.06444999999999999</v>
      </c>
      <c r="S158">
        <f>IMAGE("https://mitra.stanford.edu/kundaje/oak/projects/neuro-variants/variant_position/credible/roussos_2024/variant_figures/roussos_2024.childhood.GABA/rs6424546_count_position.png",4,220,900)</f>
        <v/>
      </c>
      <c r="T158">
        <f>IMAGE("https://mitra.stanford.edu/kundaje/oak/projects/neuro-variants/variant_position/credible/roussos_2024/variant_figures/roussos_2024.childhood.GABA/rs6424546_profile_position.png",4,220,900)</f>
        <v/>
      </c>
    </row>
    <row r="159">
      <c r="A159" t="inlineStr">
        <is>
          <t>chr1</t>
        </is>
      </c>
      <c r="B159" t="n">
        <v>73317255</v>
      </c>
      <c r="C159" t="inlineStr">
        <is>
          <t>C</t>
        </is>
      </c>
      <c r="D159" t="inlineStr">
        <is>
          <t>T</t>
        </is>
      </c>
      <c r="E159" t="inlineStr">
        <is>
          <t>rs11210207</t>
        </is>
      </c>
      <c r="F159" t="n">
        <v>-0.0561239078</v>
      </c>
      <c r="G159" t="n">
        <v>0.1161689569488656</v>
      </c>
      <c r="H159" t="n">
        <v>0.0143786608590666</v>
      </c>
      <c r="I159" t="n">
        <v>0.2603291823656739</v>
      </c>
      <c r="J159" t="n">
        <v>0.0140562501308872</v>
      </c>
      <c r="K159" t="n">
        <v>0.7033441642075486</v>
      </c>
      <c r="L159" t="b">
        <v>0</v>
      </c>
      <c r="M159" t="b">
        <v>0</v>
      </c>
      <c r="N159" t="inlineStr">
        <is>
          <t>ref</t>
        </is>
      </c>
      <c r="O159" t="n">
        <v>85</v>
      </c>
      <c r="P159" t="n">
        <v>0.013214</v>
      </c>
      <c r="Q159" t="n">
        <v>90</v>
      </c>
      <c r="R159" t="n">
        <v>0.1903</v>
      </c>
      <c r="S159">
        <f>IMAGE("https://mitra.stanford.edu/kundaje/oak/projects/neuro-variants/variant_position/credible/roussos_2024/variant_figures/roussos_2024.childhood.GABA/rs11210207_count_position.png",4,220,900)</f>
        <v/>
      </c>
      <c r="T159">
        <f>IMAGE("https://mitra.stanford.edu/kundaje/oak/projects/neuro-variants/variant_position/credible/roussos_2024/variant_figures/roussos_2024.childhood.GABA/rs11210207_profile_position.png",4,220,900)</f>
        <v/>
      </c>
    </row>
    <row r="160">
      <c r="A160" t="inlineStr">
        <is>
          <t>chr1</t>
        </is>
      </c>
      <c r="B160" t="n">
        <v>73318394</v>
      </c>
      <c r="C160" t="inlineStr">
        <is>
          <t>A</t>
        </is>
      </c>
      <c r="D160" t="inlineStr">
        <is>
          <t>G</t>
        </is>
      </c>
      <c r="E160" t="inlineStr">
        <is>
          <t>rs7517355</t>
        </is>
      </c>
      <c r="F160" t="n">
        <v>-0.1044171204</v>
      </c>
      <c r="G160" t="n">
        <v>0.0316497382843977</v>
      </c>
      <c r="H160" t="n">
        <v>0.0320379266844041</v>
      </c>
      <c r="I160" t="n">
        <v>0.0101300537469737</v>
      </c>
      <c r="J160" t="n">
        <v>0.0161724361793469</v>
      </c>
      <c r="K160" t="n">
        <v>0.6793856198370845</v>
      </c>
      <c r="L160" t="b">
        <v>1</v>
      </c>
      <c r="M160" t="b">
        <v>0</v>
      </c>
      <c r="N160" t="inlineStr">
        <is>
          <t>ref</t>
        </is>
      </c>
      <c r="O160" t="n">
        <v>-100</v>
      </c>
      <c r="P160" t="n">
        <v>0.001938</v>
      </c>
      <c r="Q160" t="n">
        <v>-65</v>
      </c>
      <c r="R160" t="n">
        <v>0.01984</v>
      </c>
      <c r="S160">
        <f>IMAGE("https://mitra.stanford.edu/kundaje/oak/projects/neuro-variants/variant_position/credible/roussos_2024/variant_figures/roussos_2024.childhood.GABA/rs7517355_count_position.png",4,220,900)</f>
        <v/>
      </c>
      <c r="T160">
        <f>IMAGE("https://mitra.stanford.edu/kundaje/oak/projects/neuro-variants/variant_position/credible/roussos_2024/variant_figures/roussos_2024.childhood.GABA/rs7517355_profile_position.png",4,220,900)</f>
        <v/>
      </c>
    </row>
    <row r="161">
      <c r="A161" t="inlineStr">
        <is>
          <t>chr1</t>
        </is>
      </c>
      <c r="B161" t="n">
        <v>73321175</v>
      </c>
      <c r="C161" t="inlineStr">
        <is>
          <t>G</t>
        </is>
      </c>
      <c r="D161" t="inlineStr">
        <is>
          <t>T</t>
        </is>
      </c>
      <c r="E161" t="inlineStr">
        <is>
          <t>rs10732841</t>
        </is>
      </c>
      <c r="F161" t="n">
        <v>0.0029532783279999</v>
      </c>
      <c r="G161" t="n">
        <v>0.8586873741289869</v>
      </c>
      <c r="H161" t="n">
        <v>0.0259454622021535</v>
      </c>
      <c r="I161" t="n">
        <v>0.0247897727941069</v>
      </c>
      <c r="J161" t="n">
        <v>0.0270465539988691</v>
      </c>
      <c r="K161" t="n">
        <v>0.5961864289250027</v>
      </c>
      <c r="L161" t="b">
        <v>0</v>
      </c>
      <c r="M161" t="b">
        <v>0</v>
      </c>
      <c r="N161" t="inlineStr">
        <is>
          <t>alt</t>
        </is>
      </c>
      <c r="O161" t="n">
        <v>-85</v>
      </c>
      <c r="P161" t="n">
        <v>0.002335</v>
      </c>
      <c r="Q161" t="n">
        <v>-100</v>
      </c>
      <c r="R161" t="n">
        <v>0.1252</v>
      </c>
      <c r="S161">
        <f>IMAGE("https://mitra.stanford.edu/kundaje/oak/projects/neuro-variants/variant_position/credible/roussos_2024/variant_figures/roussos_2024.childhood.GABA/rs10732841_count_position.png",4,220,900)</f>
        <v/>
      </c>
      <c r="T161">
        <f>IMAGE("https://mitra.stanford.edu/kundaje/oak/projects/neuro-variants/variant_position/credible/roussos_2024/variant_figures/roussos_2024.childhood.GABA/rs10732841_profile_position.png",4,220,900)</f>
        <v/>
      </c>
    </row>
    <row r="162">
      <c r="A162" t="inlineStr">
        <is>
          <t>chr1</t>
        </is>
      </c>
      <c r="B162" t="n">
        <v>73327947</v>
      </c>
      <c r="C162" t="inlineStr">
        <is>
          <t>A</t>
        </is>
      </c>
      <c r="D162" t="inlineStr">
        <is>
          <t>G</t>
        </is>
      </c>
      <c r="E162" t="inlineStr">
        <is>
          <t>rs1885247</t>
        </is>
      </c>
      <c r="F162" t="n">
        <v>0.0185352403</v>
      </c>
      <c r="G162" t="n">
        <v>0.4346550864734781</v>
      </c>
      <c r="H162" t="n">
        <v>0.009452706653226501</v>
      </c>
      <c r="I162" t="n">
        <v>0.6955378841837855</v>
      </c>
      <c r="J162" t="n">
        <v>0.4075118845678624</v>
      </c>
      <c r="K162" t="n">
        <v>0.08203273311680449</v>
      </c>
      <c r="L162" t="b">
        <v>0</v>
      </c>
      <c r="M162" t="b">
        <v>0</v>
      </c>
      <c r="N162" t="inlineStr">
        <is>
          <t>alt</t>
        </is>
      </c>
      <c r="O162" t="n">
        <v>-100</v>
      </c>
      <c r="P162" t="n">
        <v>0.006462</v>
      </c>
      <c r="Q162" t="n">
        <v>-100</v>
      </c>
      <c r="R162" t="n">
        <v>0.1045</v>
      </c>
      <c r="S162">
        <f>IMAGE("https://mitra.stanford.edu/kundaje/oak/projects/neuro-variants/variant_position/credible/roussos_2024/variant_figures/roussos_2024.childhood.GABA/rs1885247_count_position.png",4,220,900)</f>
        <v/>
      </c>
      <c r="T162">
        <f>IMAGE("https://mitra.stanford.edu/kundaje/oak/projects/neuro-variants/variant_position/credible/roussos_2024/variant_figures/roussos_2024.childhood.GABA/rs1885247_profile_position.png",4,220,900)</f>
        <v/>
      </c>
    </row>
    <row r="163">
      <c r="A163" t="inlineStr">
        <is>
          <t>chr1</t>
        </is>
      </c>
      <c r="B163" t="n">
        <v>73344546</v>
      </c>
      <c r="C163" t="inlineStr">
        <is>
          <t>G</t>
        </is>
      </c>
      <c r="D163" t="inlineStr">
        <is>
          <t>A</t>
        </is>
      </c>
      <c r="E163" t="inlineStr">
        <is>
          <t>rs2208565</t>
        </is>
      </c>
      <c r="F163" t="n">
        <v>-0.0884314958</v>
      </c>
      <c r="G163" t="n">
        <v>0.0396206368581558</v>
      </c>
      <c r="H163" t="n">
        <v>0.0180771728132808</v>
      </c>
      <c r="I163" t="n">
        <v>0.1135739339319533</v>
      </c>
      <c r="J163" t="n">
        <v>0.0499371740905949</v>
      </c>
      <c r="K163" t="n">
        <v>0.5182488994075064</v>
      </c>
      <c r="L163" t="b">
        <v>0</v>
      </c>
      <c r="M163" t="b">
        <v>0</v>
      </c>
      <c r="N163" t="inlineStr">
        <is>
          <t>ref</t>
        </is>
      </c>
      <c r="O163" t="n">
        <v>-90</v>
      </c>
      <c r="P163" t="n">
        <v>0.00344</v>
      </c>
      <c r="Q163" t="n">
        <v>-50</v>
      </c>
      <c r="R163" t="n">
        <v>0.06322999999999999</v>
      </c>
      <c r="S163">
        <f>IMAGE("https://mitra.stanford.edu/kundaje/oak/projects/neuro-variants/variant_position/credible/roussos_2024/variant_figures/roussos_2024.childhood.GABA/rs2208565_count_position.png",4,220,900)</f>
        <v/>
      </c>
      <c r="T163">
        <f>IMAGE("https://mitra.stanford.edu/kundaje/oak/projects/neuro-variants/variant_position/credible/roussos_2024/variant_figures/roussos_2024.childhood.GABA/rs2208565_profile_position.png",4,220,900)</f>
        <v/>
      </c>
    </row>
    <row r="164">
      <c r="A164" t="inlineStr">
        <is>
          <t>chr1</t>
        </is>
      </c>
      <c r="B164" t="n">
        <v>73355410</v>
      </c>
      <c r="C164" t="inlineStr">
        <is>
          <t>T</t>
        </is>
      </c>
      <c r="D164" t="inlineStr">
        <is>
          <t>C</t>
        </is>
      </c>
      <c r="E164" t="inlineStr">
        <is>
          <t>rs2340399</t>
        </is>
      </c>
      <c r="F164" t="n">
        <v>0.0723415765999999</v>
      </c>
      <c r="G164" t="n">
        <v>0.0613236082342319</v>
      </c>
      <c r="H164" t="n">
        <v>0.0134387896506135</v>
      </c>
      <c r="I164" t="n">
        <v>0.3254379910048997</v>
      </c>
      <c r="J164" t="n">
        <v>0.0006408242759313</v>
      </c>
      <c r="K164" t="n">
        <v>0.9319939561218002</v>
      </c>
      <c r="L164" t="b">
        <v>0</v>
      </c>
      <c r="M164" t="b">
        <v>0</v>
      </c>
      <c r="N164" t="inlineStr">
        <is>
          <t>alt</t>
        </is>
      </c>
      <c r="O164" t="n">
        <v>-80</v>
      </c>
      <c r="P164" t="n">
        <v>0.01567</v>
      </c>
      <c r="Q164" t="n">
        <v>-100</v>
      </c>
      <c r="R164" t="n">
        <v>0.08749999999999999</v>
      </c>
      <c r="S164">
        <f>IMAGE("https://mitra.stanford.edu/kundaje/oak/projects/neuro-variants/variant_position/credible/roussos_2024/variant_figures/roussos_2024.childhood.GABA/rs2340399_count_position.png",4,220,900)</f>
        <v/>
      </c>
      <c r="T164">
        <f>IMAGE("https://mitra.stanford.edu/kundaje/oak/projects/neuro-variants/variant_position/credible/roussos_2024/variant_figures/roussos_2024.childhood.GABA/rs2340399_profile_position.png",4,220,900)</f>
        <v/>
      </c>
    </row>
    <row r="165">
      <c r="A165" t="inlineStr">
        <is>
          <t>chr1</t>
        </is>
      </c>
      <c r="B165" t="n">
        <v>73358596</v>
      </c>
      <c r="C165" t="inlineStr">
        <is>
          <t>G</t>
        </is>
      </c>
      <c r="D165" t="inlineStr">
        <is>
          <t>A</t>
        </is>
      </c>
      <c r="E165" t="inlineStr">
        <is>
          <t>rs10890034</t>
        </is>
      </c>
      <c r="F165" t="n">
        <v>-0.06067371054</v>
      </c>
      <c r="G165" t="n">
        <v>0.1070457261939337</v>
      </c>
      <c r="H165" t="n">
        <v>0.0115231837407528</v>
      </c>
      <c r="I165" t="n">
        <v>0.4760259679037081</v>
      </c>
      <c r="J165" t="n">
        <v>0.005973696885929</v>
      </c>
      <c r="K165" t="n">
        <v>0.7988677761702694</v>
      </c>
      <c r="L165" t="b">
        <v>0</v>
      </c>
      <c r="M165" t="b">
        <v>0</v>
      </c>
      <c r="N165" t="inlineStr">
        <is>
          <t>ref</t>
        </is>
      </c>
      <c r="O165" t="n">
        <v>-100</v>
      </c>
      <c r="P165" t="n">
        <v>0.02858</v>
      </c>
      <c r="Q165" t="n">
        <v>70</v>
      </c>
      <c r="R165" t="n">
        <v>0.0177</v>
      </c>
      <c r="S165">
        <f>IMAGE("https://mitra.stanford.edu/kundaje/oak/projects/neuro-variants/variant_position/credible/roussos_2024/variant_figures/roussos_2024.childhood.GABA/rs10890034_count_position.png",4,220,900)</f>
        <v/>
      </c>
      <c r="T165">
        <f>IMAGE("https://mitra.stanford.edu/kundaje/oak/projects/neuro-variants/variant_position/credible/roussos_2024/variant_figures/roussos_2024.childhood.GABA/rs10890034_profile_position.png",4,220,900)</f>
        <v/>
      </c>
    </row>
    <row r="166">
      <c r="A166" t="inlineStr">
        <is>
          <t>chr1</t>
        </is>
      </c>
      <c r="B166" t="n">
        <v>73363940</v>
      </c>
      <c r="C166" t="inlineStr">
        <is>
          <t>G</t>
        </is>
      </c>
      <c r="D166" t="inlineStr">
        <is>
          <t>C</t>
        </is>
      </c>
      <c r="E166" t="inlineStr">
        <is>
          <t>rs6689032</t>
        </is>
      </c>
      <c r="F166" t="n">
        <v>0.0024888436079999</v>
      </c>
      <c r="G166" t="n">
        <v>0.7823905850515823</v>
      </c>
      <c r="H166" t="n">
        <v>0.0066166848359939</v>
      </c>
      <c r="I166" t="n">
        <v>0.9585270294053096</v>
      </c>
      <c r="J166" t="n">
        <v>0.0005633389876651</v>
      </c>
      <c r="K166" t="n">
        <v>0.9336356853248112</v>
      </c>
      <c r="L166" t="b">
        <v>0</v>
      </c>
      <c r="M166" t="b">
        <v>0</v>
      </c>
      <c r="N166" t="inlineStr">
        <is>
          <t>alt</t>
        </is>
      </c>
      <c r="O166" t="n">
        <v>-100</v>
      </c>
      <c r="P166" t="n">
        <v>0.004944</v>
      </c>
      <c r="Q166" t="n">
        <v>-100</v>
      </c>
      <c r="R166" t="n">
        <v>0.07403999999999999</v>
      </c>
      <c r="S166">
        <f>IMAGE("https://mitra.stanford.edu/kundaje/oak/projects/neuro-variants/variant_position/credible/roussos_2024/variant_figures/roussos_2024.childhood.GABA/rs6689032_count_position.png",4,220,900)</f>
        <v/>
      </c>
      <c r="T166">
        <f>IMAGE("https://mitra.stanford.edu/kundaje/oak/projects/neuro-variants/variant_position/credible/roussos_2024/variant_figures/roussos_2024.childhood.GABA/rs6689032_profile_position.png",4,220,900)</f>
        <v/>
      </c>
    </row>
    <row r="167">
      <c r="A167" t="inlineStr">
        <is>
          <t>chr1</t>
        </is>
      </c>
      <c r="B167" t="n">
        <v>73384090</v>
      </c>
      <c r="C167" t="inlineStr">
        <is>
          <t>T</t>
        </is>
      </c>
      <c r="D167" t="inlineStr">
        <is>
          <t>A</t>
        </is>
      </c>
      <c r="E167" t="inlineStr">
        <is>
          <t>rs1923228</t>
        </is>
      </c>
      <c r="F167" t="n">
        <v>0.0031367785</v>
      </c>
      <c r="G167" t="n">
        <v>0.7564985281408935</v>
      </c>
      <c r="H167" t="n">
        <v>0.0215723600429402</v>
      </c>
      <c r="I167" t="n">
        <v>0.0540639873252678</v>
      </c>
      <c r="J167" t="n">
        <v>0.0390588678771124</v>
      </c>
      <c r="K167" t="n">
        <v>0.5394737011056816</v>
      </c>
      <c r="L167" t="b">
        <v>0</v>
      </c>
      <c r="M167" t="b">
        <v>0</v>
      </c>
      <c r="N167" t="inlineStr">
        <is>
          <t>alt</t>
        </is>
      </c>
      <c r="O167" t="n">
        <v>-35</v>
      </c>
      <c r="P167" t="n">
        <v>0.0235</v>
      </c>
      <c r="Q167" t="n">
        <v>-30</v>
      </c>
      <c r="R167" t="n">
        <v>0.3918</v>
      </c>
      <c r="S167">
        <f>IMAGE("https://mitra.stanford.edu/kundaje/oak/projects/neuro-variants/variant_position/credible/roussos_2024/variant_figures/roussos_2024.childhood.GABA/rs1923228_count_position.png",4,220,900)</f>
        <v/>
      </c>
      <c r="T167">
        <f>IMAGE("https://mitra.stanford.edu/kundaje/oak/projects/neuro-variants/variant_position/credible/roussos_2024/variant_figures/roussos_2024.childhood.GABA/rs1923228_profile_position.png",4,220,900)</f>
        <v/>
      </c>
    </row>
    <row r="168">
      <c r="A168" t="inlineStr">
        <is>
          <t>chr1</t>
        </is>
      </c>
      <c r="B168" t="n">
        <v>73389332</v>
      </c>
      <c r="C168" t="inlineStr">
        <is>
          <t>C</t>
        </is>
      </c>
      <c r="D168" t="inlineStr">
        <is>
          <t>A</t>
        </is>
      </c>
      <c r="E168" t="inlineStr">
        <is>
          <t>rs11210227</t>
        </is>
      </c>
      <c r="F168" t="n">
        <v>-0.018649012</v>
      </c>
      <c r="G168" t="n">
        <v>0.4543575532630197</v>
      </c>
      <c r="H168" t="n">
        <v>0.0157406131917774</v>
      </c>
      <c r="I168" t="n">
        <v>0.1912787713098291</v>
      </c>
      <c r="J168" t="n">
        <v>0.0020596427299951</v>
      </c>
      <c r="K168" t="n">
        <v>0.8806908593499952</v>
      </c>
      <c r="L168" t="b">
        <v>0</v>
      </c>
      <c r="M168" t="b">
        <v>0</v>
      </c>
      <c r="N168" t="inlineStr">
        <is>
          <t>ref</t>
        </is>
      </c>
      <c r="O168" t="n">
        <v>30</v>
      </c>
      <c r="P168" t="n">
        <v>0.00351</v>
      </c>
      <c r="Q168" t="n">
        <v>50</v>
      </c>
      <c r="R168" t="n">
        <v>0.0404</v>
      </c>
      <c r="S168">
        <f>IMAGE("https://mitra.stanford.edu/kundaje/oak/projects/neuro-variants/variant_position/credible/roussos_2024/variant_figures/roussos_2024.childhood.GABA/rs11210227_count_position.png",4,220,900)</f>
        <v/>
      </c>
      <c r="T168">
        <f>IMAGE("https://mitra.stanford.edu/kundaje/oak/projects/neuro-variants/variant_position/credible/roussos_2024/variant_figures/roussos_2024.childhood.GABA/rs11210227_profile_position.png",4,220,900)</f>
        <v/>
      </c>
    </row>
    <row r="169">
      <c r="A169" t="inlineStr">
        <is>
          <t>chr1</t>
        </is>
      </c>
      <c r="B169" t="n">
        <v>73390408</v>
      </c>
      <c r="C169" t="inlineStr">
        <is>
          <t>A</t>
        </is>
      </c>
      <c r="D169" t="inlineStr">
        <is>
          <t>C</t>
        </is>
      </c>
      <c r="E169" t="inlineStr">
        <is>
          <t>rs55994666</t>
        </is>
      </c>
      <c r="F169" t="n">
        <v>0.0513298856</v>
      </c>
      <c r="G169" t="n">
        <v>0.1460045047413949</v>
      </c>
      <c r="H169" t="n">
        <v>0.0327923487532872</v>
      </c>
      <c r="I169" t="n">
        <v>0.008676374368263601</v>
      </c>
      <c r="J169" t="n">
        <v>0.0025423551339238</v>
      </c>
      <c r="K169" t="n">
        <v>0.8742940551625937</v>
      </c>
      <c r="L169" t="b">
        <v>0</v>
      </c>
      <c r="M169" t="b">
        <v>0</v>
      </c>
      <c r="N169" t="inlineStr">
        <is>
          <t>alt</t>
        </is>
      </c>
      <c r="O169" t="n">
        <v>-100</v>
      </c>
      <c r="P169" t="n">
        <v>0.02332</v>
      </c>
      <c r="Q169" t="n">
        <v>-55</v>
      </c>
      <c r="R169" t="n">
        <v>0.1172</v>
      </c>
      <c r="S169">
        <f>IMAGE("https://mitra.stanford.edu/kundaje/oak/projects/neuro-variants/variant_position/credible/roussos_2024/variant_figures/roussos_2024.childhood.GABA/rs55994666_count_position.png",4,220,900)</f>
        <v/>
      </c>
      <c r="T169">
        <f>IMAGE("https://mitra.stanford.edu/kundaje/oak/projects/neuro-variants/variant_position/credible/roussos_2024/variant_figures/roussos_2024.childhood.GABA/rs55994666_profile_position.png",4,220,900)</f>
        <v/>
      </c>
    </row>
    <row r="170">
      <c r="A170" t="inlineStr">
        <is>
          <t>chr1</t>
        </is>
      </c>
      <c r="B170" t="n">
        <v>73469042</v>
      </c>
      <c r="C170" t="inlineStr">
        <is>
          <t>T</t>
        </is>
      </c>
      <c r="D170" t="inlineStr">
        <is>
          <t>A</t>
        </is>
      </c>
      <c r="E170" t="inlineStr">
        <is>
          <t>rs11210258</t>
        </is>
      </c>
      <c r="F170" t="n">
        <v>0.0014519447</v>
      </c>
      <c r="G170" t="n">
        <v>0.833385834891917</v>
      </c>
      <c r="H170" t="n">
        <v>0.0172421163431066</v>
      </c>
      <c r="I170" t="n">
        <v>0.1354498029794564</v>
      </c>
      <c r="J170" t="n">
        <v>0.022295868149358</v>
      </c>
      <c r="K170" t="n">
        <v>0.6356655206037393</v>
      </c>
      <c r="L170" t="b">
        <v>0</v>
      </c>
      <c r="M170" t="b">
        <v>0</v>
      </c>
      <c r="N170" t="inlineStr">
        <is>
          <t>alt</t>
        </is>
      </c>
      <c r="O170" t="n">
        <v>-25</v>
      </c>
      <c r="P170" t="n">
        <v>0.006744</v>
      </c>
      <c r="Q170" t="n">
        <v>100</v>
      </c>
      <c r="R170" t="n">
        <v>0.09644</v>
      </c>
      <c r="S170">
        <f>IMAGE("https://mitra.stanford.edu/kundaje/oak/projects/neuro-variants/variant_position/credible/roussos_2024/variant_figures/roussos_2024.childhood.GABA/rs11210258_count_position.png",4,220,900)</f>
        <v/>
      </c>
      <c r="T170">
        <f>IMAGE("https://mitra.stanford.edu/kundaje/oak/projects/neuro-variants/variant_position/credible/roussos_2024/variant_figures/roussos_2024.childhood.GABA/rs11210258_profile_position.png",4,220,900)</f>
        <v/>
      </c>
    </row>
    <row r="171">
      <c r="A171" t="inlineStr">
        <is>
          <t>chr1</t>
        </is>
      </c>
      <c r="B171" t="n">
        <v>73495142</v>
      </c>
      <c r="C171" t="inlineStr">
        <is>
          <t>A</t>
        </is>
      </c>
      <c r="D171" t="inlineStr">
        <is>
          <t>G</t>
        </is>
      </c>
      <c r="E171" t="inlineStr">
        <is>
          <t>rs1546271</t>
        </is>
      </c>
      <c r="F171" t="n">
        <v>-0.0002775046719999</v>
      </c>
      <c r="G171" t="n">
        <v>0.8868285381506463</v>
      </c>
      <c r="H171" t="n">
        <v>0.0192443619628698</v>
      </c>
      <c r="I171" t="n">
        <v>0.0884420465069562</v>
      </c>
      <c r="J171" t="n">
        <v>0.0022282255868986</v>
      </c>
      <c r="K171" t="n">
        <v>0.8695098537448016</v>
      </c>
      <c r="L171" t="b">
        <v>0</v>
      </c>
      <c r="M171" t="b">
        <v>0</v>
      </c>
      <c r="N171" t="inlineStr">
        <is>
          <t>ref</t>
        </is>
      </c>
      <c r="O171" t="n">
        <v>-65</v>
      </c>
      <c r="P171" t="n">
        <v>0.002464</v>
      </c>
      <c r="Q171" t="n">
        <v>-55</v>
      </c>
      <c r="R171" t="n">
        <v>0.01099</v>
      </c>
      <c r="S171">
        <f>IMAGE("https://mitra.stanford.edu/kundaje/oak/projects/neuro-variants/variant_position/credible/roussos_2024/variant_figures/roussos_2024.childhood.GABA/rs1546271_count_position.png",4,220,900)</f>
        <v/>
      </c>
      <c r="T171">
        <f>IMAGE("https://mitra.stanford.edu/kundaje/oak/projects/neuro-variants/variant_position/credible/roussos_2024/variant_figures/roussos_2024.childhood.GABA/rs1546271_profile_position.png",4,220,900)</f>
        <v/>
      </c>
    </row>
    <row r="172">
      <c r="A172" t="inlineStr">
        <is>
          <t>chr1</t>
        </is>
      </c>
      <c r="B172" t="n">
        <v>73517390</v>
      </c>
      <c r="C172" t="inlineStr">
        <is>
          <t>G</t>
        </is>
      </c>
      <c r="D172" t="inlineStr">
        <is>
          <t>T</t>
        </is>
      </c>
      <c r="E172" t="inlineStr">
        <is>
          <t>rs11210274</t>
        </is>
      </c>
      <c r="F172" t="n">
        <v>-0.160002392</v>
      </c>
      <c r="G172" t="n">
        <v>0.0099949363764443</v>
      </c>
      <c r="H172" t="n">
        <v>0.0357427215209854</v>
      </c>
      <c r="I172" t="n">
        <v>0.007520850160959</v>
      </c>
      <c r="J172" t="n">
        <v>0.1209503465896001</v>
      </c>
      <c r="K172" t="n">
        <v>0.3101160677340673</v>
      </c>
      <c r="L172" t="b">
        <v>1</v>
      </c>
      <c r="M172" t="b">
        <v>1</v>
      </c>
      <c r="N172" t="inlineStr">
        <is>
          <t>ref</t>
        </is>
      </c>
      <c r="O172" t="n">
        <v>30</v>
      </c>
      <c r="P172" t="n">
        <v>0.00299</v>
      </c>
      <c r="Q172" t="n">
        <v>30</v>
      </c>
      <c r="R172" t="n">
        <v>0.06104</v>
      </c>
      <c r="S172">
        <f>IMAGE("https://mitra.stanford.edu/kundaje/oak/projects/neuro-variants/variant_position/credible/roussos_2024/variant_figures/roussos_2024.childhood.GABA/rs11210274_count_position.png",4,220,900)</f>
        <v/>
      </c>
      <c r="T172">
        <f>IMAGE("https://mitra.stanford.edu/kundaje/oak/projects/neuro-variants/variant_position/credible/roussos_2024/variant_figures/roussos_2024.childhood.GABA/rs11210274_profile_position.png",4,220,900)</f>
        <v/>
      </c>
    </row>
    <row r="173">
      <c r="A173" t="inlineStr">
        <is>
          <t>chr1</t>
        </is>
      </c>
      <c r="B173" t="n">
        <v>73522466</v>
      </c>
      <c r="C173" t="inlineStr">
        <is>
          <t>C</t>
        </is>
      </c>
      <c r="D173" t="inlineStr">
        <is>
          <t>T</t>
        </is>
      </c>
      <c r="E173" t="inlineStr">
        <is>
          <t>rs12042444</t>
        </is>
      </c>
      <c r="F173" t="n">
        <v>-0.0028846925</v>
      </c>
      <c r="G173" t="n">
        <v>0.7958610897042607</v>
      </c>
      <c r="H173" t="n">
        <v>0.0196946385870492</v>
      </c>
      <c r="I173" t="n">
        <v>0.0794485101946453</v>
      </c>
      <c r="J173" t="n">
        <v>0.0061119138866201</v>
      </c>
      <c r="K173" t="n">
        <v>0.7931178151420702</v>
      </c>
      <c r="L173" t="b">
        <v>0</v>
      </c>
      <c r="M173" t="b">
        <v>0</v>
      </c>
      <c r="N173" t="inlineStr">
        <is>
          <t>ref</t>
        </is>
      </c>
      <c r="O173" t="n">
        <v>-100</v>
      </c>
      <c r="P173" t="n">
        <v>0.03128</v>
      </c>
      <c r="Q173" t="n">
        <v>5</v>
      </c>
      <c r="R173" t="n">
        <v>0.0001221</v>
      </c>
      <c r="S173">
        <f>IMAGE("https://mitra.stanford.edu/kundaje/oak/projects/neuro-variants/variant_position/credible/roussos_2024/variant_figures/roussos_2024.childhood.GABA/rs12042444_count_position.png",4,220,900)</f>
        <v/>
      </c>
      <c r="T173">
        <f>IMAGE("https://mitra.stanford.edu/kundaje/oak/projects/neuro-variants/variant_position/credible/roussos_2024/variant_figures/roussos_2024.childhood.GABA/rs12042444_profile_position.png",4,220,900)</f>
        <v/>
      </c>
    </row>
    <row r="174">
      <c r="A174" t="inlineStr">
        <is>
          <t>chr1</t>
        </is>
      </c>
      <c r="B174" t="n">
        <v>83724992</v>
      </c>
      <c r="C174" t="inlineStr">
        <is>
          <t>A</t>
        </is>
      </c>
      <c r="D174" t="inlineStr">
        <is>
          <t>G</t>
        </is>
      </c>
      <c r="E174" t="inlineStr">
        <is>
          <t>rs5006353</t>
        </is>
      </c>
      <c r="F174" t="n">
        <v>0.0624881742</v>
      </c>
      <c r="G174" t="n">
        <v>0.08733836867986169</v>
      </c>
      <c r="H174" t="n">
        <v>0.0160214506770853</v>
      </c>
      <c r="I174" t="n">
        <v>0.1785536337083898</v>
      </c>
      <c r="J174" t="n">
        <v>0.0213691859856337</v>
      </c>
      <c r="K174" t="n">
        <v>0.6408500461316226</v>
      </c>
      <c r="L174" t="b">
        <v>0</v>
      </c>
      <c r="M174" t="b">
        <v>0</v>
      </c>
      <c r="N174" t="inlineStr">
        <is>
          <t>alt</t>
        </is>
      </c>
      <c r="O174" t="n">
        <v>35</v>
      </c>
      <c r="P174" t="n">
        <v>0.001678</v>
      </c>
      <c r="Q174" t="n">
        <v>-55</v>
      </c>
      <c r="R174" t="n">
        <v>0.09959999999999999</v>
      </c>
      <c r="S174">
        <f>IMAGE("https://mitra.stanford.edu/kundaje/oak/projects/neuro-variants/variant_position/credible/roussos_2024/variant_figures/roussos_2024.childhood.GABA/rs5006353_count_position.png",4,220,900)</f>
        <v/>
      </c>
      <c r="T174">
        <f>IMAGE("https://mitra.stanford.edu/kundaje/oak/projects/neuro-variants/variant_position/credible/roussos_2024/variant_figures/roussos_2024.childhood.GABA/rs5006353_profile_position.png",4,220,900)</f>
        <v/>
      </c>
    </row>
    <row r="175">
      <c r="A175" t="inlineStr">
        <is>
          <t>chr1</t>
        </is>
      </c>
      <c r="B175" t="n">
        <v>83753003</v>
      </c>
      <c r="C175" t="inlineStr">
        <is>
          <t>G</t>
        </is>
      </c>
      <c r="D175" t="inlineStr">
        <is>
          <t>T</t>
        </is>
      </c>
      <c r="E175" t="inlineStr">
        <is>
          <t>rs17577938</t>
        </is>
      </c>
      <c r="F175" t="n">
        <v>-0.02035912414</v>
      </c>
      <c r="G175" t="n">
        <v>0.4445323227140796</v>
      </c>
      <c r="H175" t="n">
        <v>0.0245844254152821</v>
      </c>
      <c r="I175" t="n">
        <v>0.0307280892350164</v>
      </c>
      <c r="J175" t="n">
        <v>0.046447194823145</v>
      </c>
      <c r="K175" t="n">
        <v>0.5018148653577077</v>
      </c>
      <c r="L175" t="b">
        <v>0</v>
      </c>
      <c r="M175" t="b">
        <v>0</v>
      </c>
      <c r="N175" t="inlineStr">
        <is>
          <t>ref</t>
        </is>
      </c>
      <c r="O175" t="n">
        <v>95</v>
      </c>
      <c r="P175" t="n">
        <v>0.01831</v>
      </c>
      <c r="Q175" t="n">
        <v>100</v>
      </c>
      <c r="R175" t="n">
        <v>0.2319</v>
      </c>
      <c r="S175">
        <f>IMAGE("https://mitra.stanford.edu/kundaje/oak/projects/neuro-variants/variant_position/credible/roussos_2024/variant_figures/roussos_2024.childhood.GABA/rs17577938_count_position.png",4,220,900)</f>
        <v/>
      </c>
      <c r="T175">
        <f>IMAGE("https://mitra.stanford.edu/kundaje/oak/projects/neuro-variants/variant_position/credible/roussos_2024/variant_figures/roussos_2024.childhood.GABA/rs17577938_profile_position.png",4,220,900)</f>
        <v/>
      </c>
    </row>
    <row r="176">
      <c r="A176" t="inlineStr">
        <is>
          <t>chr1</t>
        </is>
      </c>
      <c r="B176" t="n">
        <v>83801500</v>
      </c>
      <c r="C176" t="inlineStr">
        <is>
          <t>C</t>
        </is>
      </c>
      <c r="D176" t="inlineStr">
        <is>
          <t>G</t>
        </is>
      </c>
      <c r="E176" t="inlineStr">
        <is>
          <t>rs761406</t>
        </is>
      </c>
      <c r="F176" t="n">
        <v>-0.0457218096</v>
      </c>
      <c r="G176" t="n">
        <v>0.1874825756132155</v>
      </c>
      <c r="H176" t="n">
        <v>0.009066709954027899</v>
      </c>
      <c r="I176" t="n">
        <v>0.7330707562009678</v>
      </c>
      <c r="J176" t="n">
        <v>0.0090343657724445</v>
      </c>
      <c r="K176" t="n">
        <v>0.7644537815670708</v>
      </c>
      <c r="L176" t="b">
        <v>0</v>
      </c>
      <c r="M176" t="b">
        <v>0</v>
      </c>
      <c r="N176" t="inlineStr">
        <is>
          <t>ref</t>
        </is>
      </c>
      <c r="O176" t="n">
        <v>-100</v>
      </c>
      <c r="P176" t="n">
        <v>0.0119</v>
      </c>
      <c r="Q176" t="n">
        <v>-95</v>
      </c>
      <c r="R176" t="n">
        <v>0.083</v>
      </c>
      <c r="S176">
        <f>IMAGE("https://mitra.stanford.edu/kundaje/oak/projects/neuro-variants/variant_position/credible/roussos_2024/variant_figures/roussos_2024.childhood.GABA/rs761406_count_position.png",4,220,900)</f>
        <v/>
      </c>
      <c r="T176">
        <f>IMAGE("https://mitra.stanford.edu/kundaje/oak/projects/neuro-variants/variant_position/credible/roussos_2024/variant_figures/roussos_2024.childhood.GABA/rs761406_profile_position.png",4,220,900)</f>
        <v/>
      </c>
    </row>
    <row r="177">
      <c r="A177" t="inlineStr">
        <is>
          <t>chr1</t>
        </is>
      </c>
      <c r="B177" t="n">
        <v>96439584</v>
      </c>
      <c r="C177" t="inlineStr">
        <is>
          <t>A</t>
        </is>
      </c>
      <c r="D177" t="inlineStr">
        <is>
          <t>G</t>
        </is>
      </c>
      <c r="E177" t="inlineStr">
        <is>
          <t>rs12756558</t>
        </is>
      </c>
      <c r="F177" t="n">
        <v>0.0567197638</v>
      </c>
      <c r="G177" t="n">
        <v>0.110108963805296</v>
      </c>
      <c r="H177" t="n">
        <v>0.0114242449030908</v>
      </c>
      <c r="I177" t="n">
        <v>0.4822611218972403</v>
      </c>
      <c r="J177" t="n">
        <v>0.1391677661200812</v>
      </c>
      <c r="K177" t="n">
        <v>0.2964138632050694</v>
      </c>
      <c r="L177" t="b">
        <v>0</v>
      </c>
      <c r="M177" t="b">
        <v>0</v>
      </c>
      <c r="N177" t="inlineStr">
        <is>
          <t>alt</t>
        </is>
      </c>
      <c r="O177" t="n">
        <v>65</v>
      </c>
      <c r="P177" t="n">
        <v>0.004845</v>
      </c>
      <c r="Q177" t="n">
        <v>-100</v>
      </c>
      <c r="R177" t="n">
        <v>0.05368</v>
      </c>
      <c r="S177">
        <f>IMAGE("https://mitra.stanford.edu/kundaje/oak/projects/neuro-variants/variant_position/credible/roussos_2024/variant_figures/roussos_2024.childhood.GABA/rs12756558_count_position.png",4,220,900)</f>
        <v/>
      </c>
      <c r="T177">
        <f>IMAGE("https://mitra.stanford.edu/kundaje/oak/projects/neuro-variants/variant_position/credible/roussos_2024/variant_figures/roussos_2024.childhood.GABA/rs12756558_profile_position.png",4,220,900)</f>
        <v/>
      </c>
    </row>
    <row r="178">
      <c r="A178" t="inlineStr">
        <is>
          <t>chr1</t>
        </is>
      </c>
      <c r="B178" t="n">
        <v>96648359</v>
      </c>
      <c r="C178" t="inlineStr">
        <is>
          <t>T</t>
        </is>
      </c>
      <c r="D178" t="inlineStr">
        <is>
          <t>G</t>
        </is>
      </c>
      <c r="E178" t="inlineStr">
        <is>
          <t>rs12071951</t>
        </is>
      </c>
      <c r="F178" t="n">
        <v>0.0566575512</v>
      </c>
      <c r="G178" t="n">
        <v>0.1118608751838133</v>
      </c>
      <c r="H178" t="n">
        <v>0.0155721084628144</v>
      </c>
      <c r="I178" t="n">
        <v>0.2039462293945421</v>
      </c>
      <c r="J178" t="n">
        <v>0.0128458042763501</v>
      </c>
      <c r="K178" t="n">
        <v>0.7095425206378072</v>
      </c>
      <c r="L178" t="b">
        <v>0</v>
      </c>
      <c r="M178" t="b">
        <v>0</v>
      </c>
      <c r="N178" t="inlineStr">
        <is>
          <t>alt</t>
        </is>
      </c>
      <c r="O178" t="n">
        <v>-100</v>
      </c>
      <c r="P178" t="n">
        <v>0.02205</v>
      </c>
      <c r="Q178" t="n">
        <v>-95</v>
      </c>
      <c r="R178" t="n">
        <v>0.206</v>
      </c>
      <c r="S178">
        <f>IMAGE("https://mitra.stanford.edu/kundaje/oak/projects/neuro-variants/variant_position/credible/roussos_2024/variant_figures/roussos_2024.childhood.GABA/rs12071951_count_position.png",4,220,900)</f>
        <v/>
      </c>
      <c r="T178">
        <f>IMAGE("https://mitra.stanford.edu/kundaje/oak/projects/neuro-variants/variant_position/credible/roussos_2024/variant_figures/roussos_2024.childhood.GABA/rs12071951_profile_position.png",4,220,900)</f>
        <v/>
      </c>
    </row>
    <row r="179">
      <c r="A179" t="inlineStr">
        <is>
          <t>chr1</t>
        </is>
      </c>
      <c r="B179" t="n">
        <v>96650059</v>
      </c>
      <c r="C179" t="inlineStr">
        <is>
          <t>G</t>
        </is>
      </c>
      <c r="D179" t="inlineStr">
        <is>
          <t>T</t>
        </is>
      </c>
      <c r="E179" t="inlineStr">
        <is>
          <t>rs7528506</t>
        </is>
      </c>
      <c r="F179" t="n">
        <v>-0.01266663584</v>
      </c>
      <c r="G179" t="n">
        <v>0.5802559253227468</v>
      </c>
      <c r="H179" t="n">
        <v>0.009572315464881199</v>
      </c>
      <c r="I179" t="n">
        <v>0.6841258834157129</v>
      </c>
      <c r="J179" t="n">
        <v>0.0157693032606646</v>
      </c>
      <c r="K179" t="n">
        <v>0.6818680944419342</v>
      </c>
      <c r="L179" t="b">
        <v>0</v>
      </c>
      <c r="M179" t="b">
        <v>0</v>
      </c>
      <c r="N179" t="inlineStr">
        <is>
          <t>ref</t>
        </is>
      </c>
      <c r="O179" t="n">
        <v>-90</v>
      </c>
      <c r="P179" t="n">
        <v>0.009390000000000001</v>
      </c>
      <c r="Q179" t="n">
        <v>-95</v>
      </c>
      <c r="R179" t="n">
        <v>0.1006</v>
      </c>
      <c r="S179">
        <f>IMAGE("https://mitra.stanford.edu/kundaje/oak/projects/neuro-variants/variant_position/credible/roussos_2024/variant_figures/roussos_2024.childhood.GABA/rs7528506_count_position.png",4,220,900)</f>
        <v/>
      </c>
      <c r="T179">
        <f>IMAGE("https://mitra.stanford.edu/kundaje/oak/projects/neuro-variants/variant_position/credible/roussos_2024/variant_figures/roussos_2024.childhood.GABA/rs7528506_profile_position.png",4,220,900)</f>
        <v/>
      </c>
    </row>
    <row r="180">
      <c r="A180" t="inlineStr">
        <is>
          <t>chr1</t>
        </is>
      </c>
      <c r="B180" t="n">
        <v>96650984</v>
      </c>
      <c r="C180" t="inlineStr">
        <is>
          <t>T</t>
        </is>
      </c>
      <c r="D180" t="inlineStr">
        <is>
          <t>G</t>
        </is>
      </c>
      <c r="E180" t="inlineStr">
        <is>
          <t>rs59012322</t>
        </is>
      </c>
      <c r="F180" t="n">
        <v>-0.1358948274</v>
      </c>
      <c r="G180" t="n">
        <v>0.0156594094827269</v>
      </c>
      <c r="H180" t="n">
        <v>0.0370743193029112</v>
      </c>
      <c r="I180" t="n">
        <v>0.0053306110506659</v>
      </c>
      <c r="J180" t="n">
        <v>0.07870725220414219</v>
      </c>
      <c r="K180" t="n">
        <v>0.406930017369609</v>
      </c>
      <c r="L180" t="b">
        <v>1</v>
      </c>
      <c r="M180" t="b">
        <v>1</v>
      </c>
      <c r="N180" t="inlineStr">
        <is>
          <t>ref</t>
        </is>
      </c>
      <c r="O180" t="n">
        <v>35</v>
      </c>
      <c r="P180" t="n">
        <v>0.005386</v>
      </c>
      <c r="Q180" t="n">
        <v>95</v>
      </c>
      <c r="R180" t="n">
        <v>0.1123</v>
      </c>
      <c r="S180">
        <f>IMAGE("https://mitra.stanford.edu/kundaje/oak/projects/neuro-variants/variant_position/credible/roussos_2024/variant_figures/roussos_2024.childhood.GABA/rs59012322_count_position.png",4,220,900)</f>
        <v/>
      </c>
      <c r="T180">
        <f>IMAGE("https://mitra.stanford.edu/kundaje/oak/projects/neuro-variants/variant_position/credible/roussos_2024/variant_figures/roussos_2024.childhood.GABA/rs59012322_profile_position.png",4,220,900)</f>
        <v/>
      </c>
    </row>
    <row r="181">
      <c r="A181" t="inlineStr">
        <is>
          <t>chr1</t>
        </is>
      </c>
      <c r="B181" t="n">
        <v>96652079</v>
      </c>
      <c r="C181" t="inlineStr">
        <is>
          <t>C</t>
        </is>
      </c>
      <c r="D181" t="inlineStr">
        <is>
          <t>T</t>
        </is>
      </c>
      <c r="E181" t="inlineStr">
        <is>
          <t>rs6659919</t>
        </is>
      </c>
      <c r="F181" t="n">
        <v>0.025242642</v>
      </c>
      <c r="G181" t="n">
        <v>0.3388527541839542</v>
      </c>
      <c r="H181" t="n">
        <v>0.014361442185584</v>
      </c>
      <c r="I181" t="n">
        <v>0.2614795976713467</v>
      </c>
      <c r="J181" t="n">
        <v>0.1298862851039768</v>
      </c>
      <c r="K181" t="n">
        <v>0.3159393483160001</v>
      </c>
      <c r="L181" t="b">
        <v>0</v>
      </c>
      <c r="M181" t="b">
        <v>0</v>
      </c>
      <c r="N181" t="inlineStr">
        <is>
          <t>alt</t>
        </is>
      </c>
      <c r="O181" t="n">
        <v>-10</v>
      </c>
      <c r="P181" t="n">
        <v>0.001245</v>
      </c>
      <c r="Q181" t="n">
        <v>-85</v>
      </c>
      <c r="R181" t="n">
        <v>0.0993</v>
      </c>
      <c r="S181">
        <f>IMAGE("https://mitra.stanford.edu/kundaje/oak/projects/neuro-variants/variant_position/credible/roussos_2024/variant_figures/roussos_2024.childhood.GABA/rs6659919_count_position.png",4,220,900)</f>
        <v/>
      </c>
      <c r="T181">
        <f>IMAGE("https://mitra.stanford.edu/kundaje/oak/projects/neuro-variants/variant_position/credible/roussos_2024/variant_figures/roussos_2024.childhood.GABA/rs6659919_profile_position.png",4,220,900)</f>
        <v/>
      </c>
    </row>
    <row r="182">
      <c r="A182" t="inlineStr">
        <is>
          <t>chr1</t>
        </is>
      </c>
      <c r="B182" t="n">
        <v>96664630</v>
      </c>
      <c r="C182" t="inlineStr">
        <is>
          <t>A</t>
        </is>
      </c>
      <c r="D182" t="inlineStr">
        <is>
          <t>G</t>
        </is>
      </c>
      <c r="E182" t="inlineStr">
        <is>
          <t>rs12042074</t>
        </is>
      </c>
      <c r="F182" t="n">
        <v>0.0576880908</v>
      </c>
      <c r="G182" t="n">
        <v>0.1141772835479818</v>
      </c>
      <c r="H182" t="n">
        <v>0.014277534483852</v>
      </c>
      <c r="I182" t="n">
        <v>0.2680466980146198</v>
      </c>
      <c r="J182" t="n">
        <v>0.0010094029444409</v>
      </c>
      <c r="K182" t="n">
        <v>0.9252369964123268</v>
      </c>
      <c r="L182" t="b">
        <v>0</v>
      </c>
      <c r="M182" t="b">
        <v>0</v>
      </c>
      <c r="N182" t="inlineStr">
        <is>
          <t>alt</t>
        </is>
      </c>
      <c r="O182" t="n">
        <v>-90</v>
      </c>
      <c r="P182" t="n">
        <v>0.00499</v>
      </c>
      <c r="Q182" t="n">
        <v>50</v>
      </c>
      <c r="R182" t="n">
        <v>0.05295</v>
      </c>
      <c r="S182">
        <f>IMAGE("https://mitra.stanford.edu/kundaje/oak/projects/neuro-variants/variant_position/credible/roussos_2024/variant_figures/roussos_2024.childhood.GABA/rs12042074_count_position.png",4,220,900)</f>
        <v/>
      </c>
      <c r="T182">
        <f>IMAGE("https://mitra.stanford.edu/kundaje/oak/projects/neuro-variants/variant_position/credible/roussos_2024/variant_figures/roussos_2024.childhood.GABA/rs12042074_profile_position.png",4,220,900)</f>
        <v/>
      </c>
    </row>
    <row r="183">
      <c r="A183" t="inlineStr">
        <is>
          <t>chr1</t>
        </is>
      </c>
      <c r="B183" t="n">
        <v>96667513</v>
      </c>
      <c r="C183" t="inlineStr">
        <is>
          <t>A</t>
        </is>
      </c>
      <c r="D183" t="inlineStr">
        <is>
          <t>G</t>
        </is>
      </c>
      <c r="E183" t="inlineStr">
        <is>
          <t>rs6688086</t>
        </is>
      </c>
      <c r="F183" t="n">
        <v>0.0262203682</v>
      </c>
      <c r="G183" t="n">
        <v>0.3308737165638539</v>
      </c>
      <c r="H183" t="n">
        <v>0.011037522926193</v>
      </c>
      <c r="I183" t="n">
        <v>0.5006575427973408</v>
      </c>
      <c r="J183" t="n">
        <v>0.0154844924713618</v>
      </c>
      <c r="K183" t="n">
        <v>0.6850184060016662</v>
      </c>
      <c r="L183" t="b">
        <v>0</v>
      </c>
      <c r="M183" t="b">
        <v>0</v>
      </c>
      <c r="N183" t="inlineStr">
        <is>
          <t>alt</t>
        </is>
      </c>
      <c r="O183" t="n">
        <v>-60</v>
      </c>
      <c r="P183" t="n">
        <v>0.002258</v>
      </c>
      <c r="Q183" t="n">
        <v>55</v>
      </c>
      <c r="R183" t="n">
        <v>0.0112</v>
      </c>
      <c r="S183">
        <f>IMAGE("https://mitra.stanford.edu/kundaje/oak/projects/neuro-variants/variant_position/credible/roussos_2024/variant_figures/roussos_2024.childhood.GABA/rs6688086_count_position.png",4,220,900)</f>
        <v/>
      </c>
      <c r="T183">
        <f>IMAGE("https://mitra.stanford.edu/kundaje/oak/projects/neuro-variants/variant_position/credible/roussos_2024/variant_figures/roussos_2024.childhood.GABA/rs6688086_profile_position.png",4,220,900)</f>
        <v/>
      </c>
    </row>
    <row r="184">
      <c r="A184" t="inlineStr">
        <is>
          <t>chr1</t>
        </is>
      </c>
      <c r="B184" t="n">
        <v>96678583</v>
      </c>
      <c r="C184" t="inlineStr">
        <is>
          <t>C</t>
        </is>
      </c>
      <c r="D184" t="inlineStr">
        <is>
          <t>T</t>
        </is>
      </c>
      <c r="E184" t="inlineStr">
        <is>
          <t>rs12027165</t>
        </is>
      </c>
      <c r="F184" t="n">
        <v>-0.0740006486</v>
      </c>
      <c r="G184" t="n">
        <v>0.0653702482373963</v>
      </c>
      <c r="H184" t="n">
        <v>0.009863919925639401</v>
      </c>
      <c r="I184" t="n">
        <v>0.6423459547538312</v>
      </c>
      <c r="J184" t="n">
        <v>0.1082029695713178</v>
      </c>
      <c r="K184" t="n">
        <v>0.3393114624321734</v>
      </c>
      <c r="L184" t="b">
        <v>0</v>
      </c>
      <c r="M184" t="b">
        <v>0</v>
      </c>
      <c r="N184" t="inlineStr">
        <is>
          <t>ref</t>
        </is>
      </c>
      <c r="O184" t="n">
        <v>100</v>
      </c>
      <c r="P184" t="n">
        <v>0.05304</v>
      </c>
      <c r="Q184" t="n">
        <v>-45</v>
      </c>
      <c r="R184" t="n">
        <v>0.010864</v>
      </c>
      <c r="S184">
        <f>IMAGE("https://mitra.stanford.edu/kundaje/oak/projects/neuro-variants/variant_position/credible/roussos_2024/variant_figures/roussos_2024.childhood.GABA/rs12027165_count_position.png",4,220,900)</f>
        <v/>
      </c>
      <c r="T184">
        <f>IMAGE("https://mitra.stanford.edu/kundaje/oak/projects/neuro-variants/variant_position/credible/roussos_2024/variant_figures/roussos_2024.childhood.GABA/rs12027165_profile_position.png",4,220,900)</f>
        <v/>
      </c>
    </row>
    <row r="185">
      <c r="A185" t="inlineStr">
        <is>
          <t>chr1</t>
        </is>
      </c>
      <c r="B185" t="n">
        <v>96687003</v>
      </c>
      <c r="C185" t="inlineStr">
        <is>
          <t>T</t>
        </is>
      </c>
      <c r="D185" t="inlineStr">
        <is>
          <t>C</t>
        </is>
      </c>
      <c r="E185" t="inlineStr">
        <is>
          <t>rs1496116</t>
        </is>
      </c>
      <c r="F185" t="n">
        <v>0.0462740606</v>
      </c>
      <c r="G185" t="n">
        <v>0.1610074158093529</v>
      </c>
      <c r="H185" t="n">
        <v>0.011153514164234</v>
      </c>
      <c r="I185" t="n">
        <v>0.5241730959792793</v>
      </c>
      <c r="J185" t="n">
        <v>0.008431237042156099</v>
      </c>
      <c r="K185" t="n">
        <v>0.7624396308229419</v>
      </c>
      <c r="L185" t="b">
        <v>0</v>
      </c>
      <c r="M185" t="b">
        <v>0</v>
      </c>
      <c r="N185" t="inlineStr">
        <is>
          <t>alt</t>
        </is>
      </c>
      <c r="O185" t="n">
        <v>65</v>
      </c>
      <c r="P185" t="n">
        <v>0.004364</v>
      </c>
      <c r="Q185" t="n">
        <v>-15</v>
      </c>
      <c r="R185" t="n">
        <v>0.01736</v>
      </c>
      <c r="S185">
        <f>IMAGE("https://mitra.stanford.edu/kundaje/oak/projects/neuro-variants/variant_position/credible/roussos_2024/variant_figures/roussos_2024.childhood.GABA/rs1496116_count_position.png",4,220,900)</f>
        <v/>
      </c>
      <c r="T185">
        <f>IMAGE("https://mitra.stanford.edu/kundaje/oak/projects/neuro-variants/variant_position/credible/roussos_2024/variant_figures/roussos_2024.childhood.GABA/rs1496116_profile_position.png",4,220,900)</f>
        <v/>
      </c>
    </row>
    <row r="186">
      <c r="A186" t="inlineStr">
        <is>
          <t>chr1</t>
        </is>
      </c>
      <c r="B186" t="n">
        <v>96708350</v>
      </c>
      <c r="C186" t="inlineStr">
        <is>
          <t>T</t>
        </is>
      </c>
      <c r="D186" t="inlineStr">
        <is>
          <t>C</t>
        </is>
      </c>
      <c r="E186" t="inlineStr">
        <is>
          <t>rs12031518</t>
        </is>
      </c>
      <c r="F186" t="n">
        <v>0.185600754</v>
      </c>
      <c r="G186" t="n">
        <v>0.0055800228807297</v>
      </c>
      <c r="H186" t="n">
        <v>0.0285998801992467</v>
      </c>
      <c r="I186" t="n">
        <v>0.0171316493345705</v>
      </c>
      <c r="J186" t="n">
        <v>0.1897803187367803</v>
      </c>
      <c r="K186" t="n">
        <v>0.2242777646257082</v>
      </c>
      <c r="L186" t="b">
        <v>1</v>
      </c>
      <c r="M186" t="b">
        <v>1</v>
      </c>
      <c r="N186" t="inlineStr">
        <is>
          <t>alt</t>
        </is>
      </c>
      <c r="O186" t="n">
        <v>-70</v>
      </c>
      <c r="P186" t="n">
        <v>0.001877</v>
      </c>
      <c r="Q186" t="n">
        <v>30</v>
      </c>
      <c r="R186" t="n">
        <v>0.02454</v>
      </c>
      <c r="S186">
        <f>IMAGE("https://mitra.stanford.edu/kundaje/oak/projects/neuro-variants/variant_position/credible/roussos_2024/variant_figures/roussos_2024.childhood.GABA/rs12031518_count_position.png",4,220,900)</f>
        <v/>
      </c>
      <c r="T186">
        <f>IMAGE("https://mitra.stanford.edu/kundaje/oak/projects/neuro-variants/variant_position/credible/roussos_2024/variant_figures/roussos_2024.childhood.GABA/rs12031518_profile_position.png",4,220,900)</f>
        <v/>
      </c>
    </row>
    <row r="187">
      <c r="A187" t="inlineStr">
        <is>
          <t>chr1</t>
        </is>
      </c>
      <c r="B187" t="n">
        <v>96713505</v>
      </c>
      <c r="C187" t="inlineStr">
        <is>
          <t>T</t>
        </is>
      </c>
      <c r="D187" t="inlineStr">
        <is>
          <t>G</t>
        </is>
      </c>
      <c r="E187" t="inlineStr">
        <is>
          <t>rs2132427</t>
        </is>
      </c>
      <c r="F187" t="n">
        <v>0.0118436882</v>
      </c>
      <c r="G187" t="n">
        <v>0.5531421494498925</v>
      </c>
      <c r="H187" t="n">
        <v>0.0199604974987095</v>
      </c>
      <c r="I187" t="n">
        <v>0.0750587425940262</v>
      </c>
      <c r="J187" t="n">
        <v>0.0054114049967539</v>
      </c>
      <c r="K187" t="n">
        <v>0.8065461370165696</v>
      </c>
      <c r="L187" t="b">
        <v>0</v>
      </c>
      <c r="M187" t="b">
        <v>0</v>
      </c>
      <c r="N187" t="inlineStr">
        <is>
          <t>alt</t>
        </is>
      </c>
      <c r="O187" t="n">
        <v>65</v>
      </c>
      <c r="P187" t="n">
        <v>0.003902</v>
      </c>
      <c r="Q187" t="n">
        <v>100</v>
      </c>
      <c r="R187" t="n">
        <v>0.11096</v>
      </c>
      <c r="S187">
        <f>IMAGE("https://mitra.stanford.edu/kundaje/oak/projects/neuro-variants/variant_position/credible/roussos_2024/variant_figures/roussos_2024.childhood.GABA/rs2132427_count_position.png",4,220,900)</f>
        <v/>
      </c>
      <c r="T187">
        <f>IMAGE("https://mitra.stanford.edu/kundaje/oak/projects/neuro-variants/variant_position/credible/roussos_2024/variant_figures/roussos_2024.childhood.GABA/rs2132427_profile_position.png",4,220,900)</f>
        <v/>
      </c>
    </row>
    <row r="188">
      <c r="A188" t="inlineStr">
        <is>
          <t>chr1</t>
        </is>
      </c>
      <c r="B188" t="n">
        <v>96818940</v>
      </c>
      <c r="C188" t="inlineStr">
        <is>
          <t>C</t>
        </is>
      </c>
      <c r="D188" t="inlineStr">
        <is>
          <t>A</t>
        </is>
      </c>
      <c r="E188" t="inlineStr">
        <is>
          <t>rs10875035</t>
        </is>
      </c>
      <c r="F188" t="n">
        <v>-0.0124145842</v>
      </c>
      <c r="G188" t="n">
        <v>0.5650721960729949</v>
      </c>
      <c r="H188" t="n">
        <v>0.0098364005622799</v>
      </c>
      <c r="I188" t="n">
        <v>0.6588536361211141</v>
      </c>
      <c r="J188" t="n">
        <v>0.0162446859751628</v>
      </c>
      <c r="K188" t="n">
        <v>0.676838825752153</v>
      </c>
      <c r="L188" t="b">
        <v>0</v>
      </c>
      <c r="M188" t="b">
        <v>0</v>
      </c>
      <c r="N188" t="inlineStr">
        <is>
          <t>ref</t>
        </is>
      </c>
      <c r="O188" t="n">
        <v>100</v>
      </c>
      <c r="P188" t="n">
        <v>0.02411</v>
      </c>
      <c r="Q188" t="n">
        <v>-15</v>
      </c>
      <c r="R188" t="n">
        <v>0.05646</v>
      </c>
      <c r="S188">
        <f>IMAGE("https://mitra.stanford.edu/kundaje/oak/projects/neuro-variants/variant_position/credible/roussos_2024/variant_figures/roussos_2024.childhood.GABA/rs10875035_count_position.png",4,220,900)</f>
        <v/>
      </c>
      <c r="T188">
        <f>IMAGE("https://mitra.stanford.edu/kundaje/oak/projects/neuro-variants/variant_position/credible/roussos_2024/variant_figures/roussos_2024.childhood.GABA/rs10875035_profile_position.png",4,220,900)</f>
        <v/>
      </c>
    </row>
    <row r="189">
      <c r="A189" t="inlineStr">
        <is>
          <t>chr1</t>
        </is>
      </c>
      <c r="B189" t="n">
        <v>97332630</v>
      </c>
      <c r="C189" t="inlineStr">
        <is>
          <t>A</t>
        </is>
      </c>
      <c r="D189" t="inlineStr">
        <is>
          <t>G</t>
        </is>
      </c>
      <c r="E189" t="inlineStr">
        <is>
          <t>rs12407539</t>
        </is>
      </c>
      <c r="F189" t="n">
        <v>0.0494333226</v>
      </c>
      <c r="G189" t="n">
        <v>0.1549464884326251</v>
      </c>
      <c r="H189" t="n">
        <v>0.0208357702399736</v>
      </c>
      <c r="I189" t="n">
        <v>0.0657785281042849</v>
      </c>
      <c r="J189" t="n">
        <v>0.0615631086259973</v>
      </c>
      <c r="K189" t="n">
        <v>0.4508777466058797</v>
      </c>
      <c r="L189" t="b">
        <v>0</v>
      </c>
      <c r="M189" t="b">
        <v>0</v>
      </c>
      <c r="N189" t="inlineStr">
        <is>
          <t>alt</t>
        </is>
      </c>
      <c r="O189" t="n">
        <v>55</v>
      </c>
      <c r="P189" t="n">
        <v>0.004044</v>
      </c>
      <c r="Q189" t="n">
        <v>-100</v>
      </c>
      <c r="R189" t="n">
        <v>0.05637</v>
      </c>
      <c r="S189">
        <f>IMAGE("https://mitra.stanford.edu/kundaje/oak/projects/neuro-variants/variant_position/credible/roussos_2024/variant_figures/roussos_2024.childhood.GABA/rs12407539_count_position.png",4,220,900)</f>
        <v/>
      </c>
      <c r="T189">
        <f>IMAGE("https://mitra.stanford.edu/kundaje/oak/projects/neuro-variants/variant_position/credible/roussos_2024/variant_figures/roussos_2024.childhood.GABA/rs12407539_profile_position.png",4,220,900)</f>
        <v/>
      </c>
    </row>
    <row r="190">
      <c r="A190" t="inlineStr">
        <is>
          <t>chr1</t>
        </is>
      </c>
      <c r="B190" t="n">
        <v>97337068</v>
      </c>
      <c r="C190" t="inlineStr">
        <is>
          <t>A</t>
        </is>
      </c>
      <c r="D190" t="inlineStr">
        <is>
          <t>G</t>
        </is>
      </c>
      <c r="E190" t="inlineStr">
        <is>
          <t>rs36025579</t>
        </is>
      </c>
      <c r="F190" t="n">
        <v>-0.019238214728</v>
      </c>
      <c r="G190" t="n">
        <v>0.4726775337117279</v>
      </c>
      <c r="H190" t="n">
        <v>0.0243405300627356</v>
      </c>
      <c r="I190" t="n">
        <v>0.0326449146055337</v>
      </c>
      <c r="J190" t="n">
        <v>0.0488816988125902</v>
      </c>
      <c r="K190" t="n">
        <v>0.4976013755114081</v>
      </c>
      <c r="L190" t="b">
        <v>0</v>
      </c>
      <c r="M190" t="b">
        <v>0</v>
      </c>
      <c r="N190" t="inlineStr">
        <is>
          <t>ref</t>
        </is>
      </c>
      <c r="O190" t="n">
        <v>80</v>
      </c>
      <c r="P190" t="n">
        <v>0.00967</v>
      </c>
      <c r="Q190" t="n">
        <v>15</v>
      </c>
      <c r="R190" t="n">
        <v>0.0299</v>
      </c>
      <c r="S190">
        <f>IMAGE("https://mitra.stanford.edu/kundaje/oak/projects/neuro-variants/variant_position/credible/roussos_2024/variant_figures/roussos_2024.childhood.GABA/rs36025579_count_position.png",4,220,900)</f>
        <v/>
      </c>
      <c r="T190">
        <f>IMAGE("https://mitra.stanford.edu/kundaje/oak/projects/neuro-variants/variant_position/credible/roussos_2024/variant_figures/roussos_2024.childhood.GABA/rs36025579_profile_position.png",4,220,900)</f>
        <v/>
      </c>
    </row>
    <row r="191">
      <c r="A191" t="inlineStr">
        <is>
          <t>chr1</t>
        </is>
      </c>
      <c r="B191" t="n">
        <v>97358196</v>
      </c>
      <c r="C191" t="inlineStr">
        <is>
          <t>T</t>
        </is>
      </c>
      <c r="D191" t="inlineStr">
        <is>
          <t>C</t>
        </is>
      </c>
      <c r="E191" t="inlineStr">
        <is>
          <t>rs10875073</t>
        </is>
      </c>
      <c r="F191" t="n">
        <v>0.0863759412</v>
      </c>
      <c r="G191" t="n">
        <v>0.0466304940778179</v>
      </c>
      <c r="H191" t="n">
        <v>0.0147120345361242</v>
      </c>
      <c r="I191" t="n">
        <v>0.2383894990656354</v>
      </c>
      <c r="J191" t="n">
        <v>0.1861091914305459</v>
      </c>
      <c r="K191" t="n">
        <v>0.2379557663807141</v>
      </c>
      <c r="L191" t="b">
        <v>0</v>
      </c>
      <c r="M191" t="b">
        <v>0</v>
      </c>
      <c r="N191" t="inlineStr">
        <is>
          <t>alt</t>
        </is>
      </c>
      <c r="O191" t="n">
        <v>15</v>
      </c>
      <c r="P191" t="n">
        <v>0.001041</v>
      </c>
      <c r="Q191" t="n">
        <v>85</v>
      </c>
      <c r="R191" t="n">
        <v>0.0653</v>
      </c>
      <c r="S191">
        <f>IMAGE("https://mitra.stanford.edu/kundaje/oak/projects/neuro-variants/variant_position/credible/roussos_2024/variant_figures/roussos_2024.childhood.GABA/rs10875073_count_position.png",4,220,900)</f>
        <v/>
      </c>
      <c r="T191">
        <f>IMAGE("https://mitra.stanford.edu/kundaje/oak/projects/neuro-variants/variant_position/credible/roussos_2024/variant_figures/roussos_2024.childhood.GABA/rs10875073_profile_position.png",4,220,900)</f>
        <v/>
      </c>
    </row>
    <row r="192">
      <c r="A192" t="inlineStr">
        <is>
          <t>chr1</t>
        </is>
      </c>
      <c r="B192" t="n">
        <v>97368472</v>
      </c>
      <c r="C192" t="inlineStr">
        <is>
          <t>G</t>
        </is>
      </c>
      <c r="D192" t="inlineStr">
        <is>
          <t>A</t>
        </is>
      </c>
      <c r="E192" t="inlineStr">
        <is>
          <t>rs72728414</t>
        </is>
      </c>
      <c r="F192" t="n">
        <v>0.0516988432</v>
      </c>
      <c r="G192" t="n">
        <v>0.1280411116810994</v>
      </c>
      <c r="H192" t="n">
        <v>0.02207337642672</v>
      </c>
      <c r="I192" t="n">
        <v>0.0499037190012433</v>
      </c>
      <c r="J192" t="n">
        <v>0.0477037130112458</v>
      </c>
      <c r="K192" t="n">
        <v>0.512992812798482</v>
      </c>
      <c r="L192" t="b">
        <v>0</v>
      </c>
      <c r="M192" t="b">
        <v>0</v>
      </c>
      <c r="N192" t="inlineStr">
        <is>
          <t>alt</t>
        </is>
      </c>
      <c r="O192" t="n">
        <v>-100</v>
      </c>
      <c r="P192" t="n">
        <v>0.003036</v>
      </c>
      <c r="Q192" t="n">
        <v>5</v>
      </c>
      <c r="R192" t="n">
        <v>0.006348</v>
      </c>
      <c r="S192">
        <f>IMAGE("https://mitra.stanford.edu/kundaje/oak/projects/neuro-variants/variant_position/credible/roussos_2024/variant_figures/roussos_2024.childhood.GABA/rs72728414_count_position.png",4,220,900)</f>
        <v/>
      </c>
      <c r="T192">
        <f>IMAGE("https://mitra.stanford.edu/kundaje/oak/projects/neuro-variants/variant_position/credible/roussos_2024/variant_figures/roussos_2024.childhood.GABA/rs72728414_profile_position.png",4,220,900)</f>
        <v/>
      </c>
    </row>
    <row r="193">
      <c r="A193" t="inlineStr">
        <is>
          <t>chr1</t>
        </is>
      </c>
      <c r="B193" t="n">
        <v>97384504</v>
      </c>
      <c r="C193" t="inlineStr">
        <is>
          <t>T</t>
        </is>
      </c>
      <c r="D193" t="inlineStr">
        <is>
          <t>C</t>
        </is>
      </c>
      <c r="E193" t="inlineStr">
        <is>
          <t>rs74105186</t>
        </is>
      </c>
      <c r="F193" t="n">
        <v>0.0252909512</v>
      </c>
      <c r="G193" t="n">
        <v>0.3113177549317464</v>
      </c>
      <c r="H193" t="n">
        <v>0.012817112061289</v>
      </c>
      <c r="I193" t="n">
        <v>0.3603549648850905</v>
      </c>
      <c r="J193" t="n">
        <v>0.1157808213440555</v>
      </c>
      <c r="K193" t="n">
        <v>0.328095351711747</v>
      </c>
      <c r="L193" t="b">
        <v>0</v>
      </c>
      <c r="M193" t="b">
        <v>0</v>
      </c>
      <c r="N193" t="inlineStr">
        <is>
          <t>alt</t>
        </is>
      </c>
      <c r="O193" t="n">
        <v>-50</v>
      </c>
      <c r="P193" t="n">
        <v>0.003334</v>
      </c>
      <c r="Q193" t="n">
        <v>0</v>
      </c>
      <c r="R193" t="n">
        <v>0</v>
      </c>
      <c r="S193">
        <f>IMAGE("https://mitra.stanford.edu/kundaje/oak/projects/neuro-variants/variant_position/credible/roussos_2024/variant_figures/roussos_2024.childhood.GABA/rs74105186_count_position.png",4,220,900)</f>
        <v/>
      </c>
      <c r="T193">
        <f>IMAGE("https://mitra.stanford.edu/kundaje/oak/projects/neuro-variants/variant_position/credible/roussos_2024/variant_figures/roussos_2024.childhood.GABA/rs74105186_profile_position.png",4,220,900)</f>
        <v/>
      </c>
    </row>
    <row r="194">
      <c r="A194" t="inlineStr">
        <is>
          <t>chr1</t>
        </is>
      </c>
      <c r="B194" t="n">
        <v>97385141</v>
      </c>
      <c r="C194" t="inlineStr">
        <is>
          <t>C</t>
        </is>
      </c>
      <c r="D194" t="inlineStr">
        <is>
          <t>T</t>
        </is>
      </c>
      <c r="E194" t="inlineStr">
        <is>
          <t>rs1112314</t>
        </is>
      </c>
      <c r="F194" t="n">
        <v>-0.0744931982</v>
      </c>
      <c r="G194" t="n">
        <v>0.0625576223359913</v>
      </c>
      <c r="H194" t="n">
        <v>0.0125069178811922</v>
      </c>
      <c r="I194" t="n">
        <v>0.3925465240216734</v>
      </c>
      <c r="J194" t="n">
        <v>0.06760905530774219</v>
      </c>
      <c r="K194" t="n">
        <v>0.4358264471382403</v>
      </c>
      <c r="L194" t="b">
        <v>0</v>
      </c>
      <c r="M194" t="b">
        <v>0</v>
      </c>
      <c r="N194" t="inlineStr">
        <is>
          <t>ref</t>
        </is>
      </c>
      <c r="O194" t="n">
        <v>55</v>
      </c>
      <c r="P194" t="n">
        <v>0.1893</v>
      </c>
      <c r="Q194" t="n">
        <v>-90</v>
      </c>
      <c r="R194" t="n">
        <v>0.1261</v>
      </c>
      <c r="S194">
        <f>IMAGE("https://mitra.stanford.edu/kundaje/oak/projects/neuro-variants/variant_position/credible/roussos_2024/variant_figures/roussos_2024.childhood.GABA/rs1112314_count_position.png",4,220,900)</f>
        <v/>
      </c>
      <c r="T194">
        <f>IMAGE("https://mitra.stanford.edu/kundaje/oak/projects/neuro-variants/variant_position/credible/roussos_2024/variant_figures/roussos_2024.childhood.GABA/rs1112314_profile_position.png",4,220,900)</f>
        <v/>
      </c>
    </row>
    <row r="195">
      <c r="A195" t="inlineStr">
        <is>
          <t>chr1</t>
        </is>
      </c>
      <c r="B195" t="n">
        <v>97388977</v>
      </c>
      <c r="C195" t="inlineStr">
        <is>
          <t>C</t>
        </is>
      </c>
      <c r="D195" t="inlineStr">
        <is>
          <t>A</t>
        </is>
      </c>
      <c r="E195" t="inlineStr">
        <is>
          <t>rs12047563</t>
        </is>
      </c>
      <c r="F195" t="n">
        <v>0.015695465</v>
      </c>
      <c r="G195" t="n">
        <v>0.4990295261564768</v>
      </c>
      <c r="H195" t="n">
        <v>0.0185755532217841</v>
      </c>
      <c r="I195" t="n">
        <v>0.1010818779323613</v>
      </c>
      <c r="J195" t="n">
        <v>0.004963246842998</v>
      </c>
      <c r="K195" t="n">
        <v>0.8095457296277419</v>
      </c>
      <c r="L195" t="b">
        <v>0</v>
      </c>
      <c r="M195" t="b">
        <v>0</v>
      </c>
      <c r="N195" t="inlineStr">
        <is>
          <t>alt</t>
        </is>
      </c>
      <c r="O195" t="n">
        <v>65</v>
      </c>
      <c r="P195" t="n">
        <v>0.001812</v>
      </c>
      <c r="Q195" t="n">
        <v>-90</v>
      </c>
      <c r="R195" t="n">
        <v>0.1001</v>
      </c>
      <c r="S195">
        <f>IMAGE("https://mitra.stanford.edu/kundaje/oak/projects/neuro-variants/variant_position/credible/roussos_2024/variant_figures/roussos_2024.childhood.GABA/rs12047563_count_position.png",4,220,900)</f>
        <v/>
      </c>
      <c r="T195">
        <f>IMAGE("https://mitra.stanford.edu/kundaje/oak/projects/neuro-variants/variant_position/credible/roussos_2024/variant_figures/roussos_2024.childhood.GABA/rs12047563_profile_position.png",4,220,900)</f>
        <v/>
      </c>
    </row>
    <row r="196">
      <c r="A196" t="inlineStr">
        <is>
          <t>chr1</t>
        </is>
      </c>
      <c r="B196" t="n">
        <v>97390265</v>
      </c>
      <c r="C196" t="inlineStr">
        <is>
          <t>G</t>
        </is>
      </c>
      <c r="D196" t="inlineStr">
        <is>
          <t>A</t>
        </is>
      </c>
      <c r="E196" t="inlineStr">
        <is>
          <t>rs4503384</t>
        </is>
      </c>
      <c r="F196" t="n">
        <v>-0.05880026</v>
      </c>
      <c r="G196" t="n">
        <v>0.1161178621822501</v>
      </c>
      <c r="H196" t="n">
        <v>0.0130667789406691</v>
      </c>
      <c r="I196" t="n">
        <v>0.34710964508992</v>
      </c>
      <c r="J196" t="n">
        <v>0.0038386630646478</v>
      </c>
      <c r="K196" t="n">
        <v>0.8987176203455139</v>
      </c>
      <c r="L196" t="b">
        <v>0</v>
      </c>
      <c r="M196" t="b">
        <v>0</v>
      </c>
      <c r="N196" t="inlineStr">
        <is>
          <t>ref</t>
        </is>
      </c>
      <c r="O196" t="n">
        <v>35</v>
      </c>
      <c r="P196" t="n">
        <v>0.002945</v>
      </c>
      <c r="Q196" t="n">
        <v>-55</v>
      </c>
      <c r="R196" t="n">
        <v>0.001953</v>
      </c>
      <c r="S196">
        <f>IMAGE("https://mitra.stanford.edu/kundaje/oak/projects/neuro-variants/variant_position/credible/roussos_2024/variant_figures/roussos_2024.childhood.GABA/rs4503384_count_position.png",4,220,900)</f>
        <v/>
      </c>
      <c r="T196">
        <f>IMAGE("https://mitra.stanford.edu/kundaje/oak/projects/neuro-variants/variant_position/credible/roussos_2024/variant_figures/roussos_2024.childhood.GABA/rs4503384_profile_position.png",4,220,900)</f>
        <v/>
      </c>
    </row>
    <row r="197">
      <c r="A197" t="inlineStr">
        <is>
          <t>chr1</t>
        </is>
      </c>
      <c r="B197" t="n">
        <v>97391983</v>
      </c>
      <c r="C197" t="inlineStr">
        <is>
          <t>A</t>
        </is>
      </c>
      <c r="D197" t="inlineStr">
        <is>
          <t>C</t>
        </is>
      </c>
      <c r="E197" t="inlineStr">
        <is>
          <t>rs56682383</t>
        </is>
      </c>
      <c r="F197" t="n">
        <v>0.001956535486</v>
      </c>
      <c r="G197" t="n">
        <v>0.8923736657401354</v>
      </c>
      <c r="H197" t="n">
        <v>0.0188980819822345</v>
      </c>
      <c r="I197" t="n">
        <v>0.09497739395130191</v>
      </c>
      <c r="J197" t="n">
        <v>0.011173587987686</v>
      </c>
      <c r="K197" t="n">
        <v>0.7249156541006413</v>
      </c>
      <c r="L197" t="b">
        <v>0</v>
      </c>
      <c r="M197" t="b">
        <v>0</v>
      </c>
      <c r="N197" t="inlineStr">
        <is>
          <t>alt</t>
        </is>
      </c>
      <c r="O197" t="n">
        <v>90</v>
      </c>
      <c r="P197" t="n">
        <v>0.008030000000000001</v>
      </c>
      <c r="Q197" t="n">
        <v>-70</v>
      </c>
      <c r="R197" t="n">
        <v>0.01312</v>
      </c>
      <c r="S197">
        <f>IMAGE("https://mitra.stanford.edu/kundaje/oak/projects/neuro-variants/variant_position/credible/roussos_2024/variant_figures/roussos_2024.childhood.GABA/rs56682383_count_position.png",4,220,900)</f>
        <v/>
      </c>
      <c r="T197">
        <f>IMAGE("https://mitra.stanford.edu/kundaje/oak/projects/neuro-variants/variant_position/credible/roussos_2024/variant_figures/roussos_2024.childhood.GABA/rs56682383_profile_position.png",4,220,900)</f>
        <v/>
      </c>
    </row>
    <row r="198">
      <c r="A198" t="inlineStr">
        <is>
          <t>chr1</t>
        </is>
      </c>
      <c r="B198" t="n">
        <v>97393508</v>
      </c>
      <c r="C198" t="inlineStr">
        <is>
          <t>T</t>
        </is>
      </c>
      <c r="D198" t="inlineStr">
        <is>
          <t>C</t>
        </is>
      </c>
      <c r="E198" t="inlineStr">
        <is>
          <t>rs9727787</t>
        </is>
      </c>
      <c r="F198" t="n">
        <v>0.0430722055999999</v>
      </c>
      <c r="G198" t="n">
        <v>0.1753095689589209</v>
      </c>
      <c r="H198" t="n">
        <v>0.0110350065657448</v>
      </c>
      <c r="I198" t="n">
        <v>0.534866597248468</v>
      </c>
      <c r="J198" t="n">
        <v>0.0027988942639944</v>
      </c>
      <c r="K198" t="n">
        <v>0.8579629517335657</v>
      </c>
      <c r="L198" t="b">
        <v>0</v>
      </c>
      <c r="M198" t="b">
        <v>0</v>
      </c>
      <c r="N198" t="inlineStr">
        <is>
          <t>alt</t>
        </is>
      </c>
      <c r="O198" t="n">
        <v>-100</v>
      </c>
      <c r="P198" t="n">
        <v>0.02075</v>
      </c>
      <c r="Q198" t="n">
        <v>-50</v>
      </c>
      <c r="R198" t="n">
        <v>0.006744</v>
      </c>
      <c r="S198">
        <f>IMAGE("https://mitra.stanford.edu/kundaje/oak/projects/neuro-variants/variant_position/credible/roussos_2024/variant_figures/roussos_2024.childhood.GABA/rs9727787_count_position.png",4,220,900)</f>
        <v/>
      </c>
      <c r="T198">
        <f>IMAGE("https://mitra.stanford.edu/kundaje/oak/projects/neuro-variants/variant_position/credible/roussos_2024/variant_figures/roussos_2024.childhood.GABA/rs9727787_profile_position.png",4,220,900)</f>
        <v/>
      </c>
    </row>
    <row r="199">
      <c r="A199" t="inlineStr">
        <is>
          <t>chr1</t>
        </is>
      </c>
      <c r="B199" t="n">
        <v>97395772</v>
      </c>
      <c r="C199" t="inlineStr">
        <is>
          <t>C</t>
        </is>
      </c>
      <c r="D199" t="inlineStr">
        <is>
          <t>A</t>
        </is>
      </c>
      <c r="E199" t="inlineStr">
        <is>
          <t>rs55824522</t>
        </is>
      </c>
      <c r="F199" t="n">
        <v>0.00103455094</v>
      </c>
      <c r="G199" t="n">
        <v>0.8130715857100747</v>
      </c>
      <c r="H199" t="n">
        <v>0.0067473898319268</v>
      </c>
      <c r="I199" t="n">
        <v>0.960294804099828</v>
      </c>
      <c r="J199" t="n">
        <v>0.0101107830202508</v>
      </c>
      <c r="K199" t="n">
        <v>0.7456959975584651</v>
      </c>
      <c r="L199" t="b">
        <v>0</v>
      </c>
      <c r="M199" t="b">
        <v>0</v>
      </c>
      <c r="N199" t="inlineStr">
        <is>
          <t>alt</t>
        </is>
      </c>
      <c r="O199" t="n">
        <v>95</v>
      </c>
      <c r="P199" t="n">
        <v>0.0055</v>
      </c>
      <c r="Q199" t="n">
        <v>-40</v>
      </c>
      <c r="R199" t="n">
        <v>0.00958</v>
      </c>
      <c r="S199">
        <f>IMAGE("https://mitra.stanford.edu/kundaje/oak/projects/neuro-variants/variant_position/credible/roussos_2024/variant_figures/roussos_2024.childhood.GABA/rs55824522_count_position.png",4,220,900)</f>
        <v/>
      </c>
      <c r="T199">
        <f>IMAGE("https://mitra.stanford.edu/kundaje/oak/projects/neuro-variants/variant_position/credible/roussos_2024/variant_figures/roussos_2024.childhood.GABA/rs55824522_profile_position.png",4,220,900)</f>
        <v/>
      </c>
    </row>
    <row r="200">
      <c r="A200" t="inlineStr">
        <is>
          <t>chr1</t>
        </is>
      </c>
      <c r="B200" t="n">
        <v>97397169</v>
      </c>
      <c r="C200" t="inlineStr">
        <is>
          <t>G</t>
        </is>
      </c>
      <c r="D200" t="inlineStr">
        <is>
          <t>T</t>
        </is>
      </c>
      <c r="E200" t="inlineStr">
        <is>
          <t>rs12043021</t>
        </is>
      </c>
      <c r="F200" t="n">
        <v>-0.00027296354</v>
      </c>
      <c r="G200" t="n">
        <v>0.8469979970671035</v>
      </c>
      <c r="H200" t="n">
        <v>0.0241612191189219</v>
      </c>
      <c r="I200" t="n">
        <v>0.0333370509382261</v>
      </c>
      <c r="J200" t="n">
        <v>0.0193336265209105</v>
      </c>
      <c r="K200" t="n">
        <v>0.6640165073188935</v>
      </c>
      <c r="L200" t="b">
        <v>0</v>
      </c>
      <c r="M200" t="b">
        <v>0</v>
      </c>
      <c r="N200" t="inlineStr">
        <is>
          <t>ref</t>
        </is>
      </c>
      <c r="O200" t="n">
        <v>50</v>
      </c>
      <c r="P200" t="n">
        <v>0.004837</v>
      </c>
      <c r="Q200" t="n">
        <v>25</v>
      </c>
      <c r="R200" t="n">
        <v>0.01642</v>
      </c>
      <c r="S200">
        <f>IMAGE("https://mitra.stanford.edu/kundaje/oak/projects/neuro-variants/variant_position/credible/roussos_2024/variant_figures/roussos_2024.childhood.GABA/rs12043021_count_position.png",4,220,900)</f>
        <v/>
      </c>
      <c r="T200">
        <f>IMAGE("https://mitra.stanford.edu/kundaje/oak/projects/neuro-variants/variant_position/credible/roussos_2024/variant_figures/roussos_2024.childhood.GABA/rs12043021_profile_position.png",4,220,900)</f>
        <v/>
      </c>
    </row>
    <row r="201">
      <c r="A201" t="inlineStr">
        <is>
          <t>chr1</t>
        </is>
      </c>
      <c r="B201" t="n">
        <v>97397272</v>
      </c>
      <c r="C201" t="inlineStr">
        <is>
          <t>T</t>
        </is>
      </c>
      <c r="D201" t="inlineStr">
        <is>
          <t>C</t>
        </is>
      </c>
      <c r="E201" t="inlineStr">
        <is>
          <t>rs12040699</t>
        </is>
      </c>
      <c r="F201" t="n">
        <v>0.141199526</v>
      </c>
      <c r="G201" t="n">
        <v>0.0140506619502841</v>
      </c>
      <c r="H201" t="n">
        <v>0.0162032095139857</v>
      </c>
      <c r="I201" t="n">
        <v>0.1733993649751025</v>
      </c>
      <c r="J201" t="n">
        <v>0.023716780800402</v>
      </c>
      <c r="K201" t="n">
        <v>0.6359910729358104</v>
      </c>
      <c r="L201" t="b">
        <v>1</v>
      </c>
      <c r="M201" t="b">
        <v>0</v>
      </c>
      <c r="N201" t="inlineStr">
        <is>
          <t>alt</t>
        </is>
      </c>
      <c r="O201" t="n">
        <v>-50</v>
      </c>
      <c r="P201" t="n">
        <v>0.01375</v>
      </c>
      <c r="Q201" t="n">
        <v>-75</v>
      </c>
      <c r="R201" t="n">
        <v>0.02441</v>
      </c>
      <c r="S201">
        <f>IMAGE("https://mitra.stanford.edu/kundaje/oak/projects/neuro-variants/variant_position/credible/roussos_2024/variant_figures/roussos_2024.childhood.GABA/rs12040699_count_position.png",4,220,900)</f>
        <v/>
      </c>
      <c r="T201">
        <f>IMAGE("https://mitra.stanford.edu/kundaje/oak/projects/neuro-variants/variant_position/credible/roussos_2024/variant_figures/roussos_2024.childhood.GABA/rs12040699_profile_position.png",4,220,900)</f>
        <v/>
      </c>
    </row>
    <row r="202">
      <c r="A202" t="inlineStr">
        <is>
          <t>chr1</t>
        </is>
      </c>
      <c r="B202" t="n">
        <v>97401301</v>
      </c>
      <c r="C202" t="inlineStr">
        <is>
          <t>C</t>
        </is>
      </c>
      <c r="D202" t="inlineStr">
        <is>
          <t>T</t>
        </is>
      </c>
      <c r="E202" t="inlineStr">
        <is>
          <t>rs12026223</t>
        </is>
      </c>
      <c r="F202" t="n">
        <v>-0.110964375</v>
      </c>
      <c r="G202" t="n">
        <v>0.0227909992363054</v>
      </c>
      <c r="H202" t="n">
        <v>0.0158466951436353</v>
      </c>
      <c r="I202" t="n">
        <v>0.1847929850561922</v>
      </c>
      <c r="J202" t="n">
        <v>0.0206728654897279</v>
      </c>
      <c r="K202" t="n">
        <v>0.6377288638426343</v>
      </c>
      <c r="L202" t="b">
        <v>0</v>
      </c>
      <c r="M202" t="b">
        <v>0</v>
      </c>
      <c r="N202" t="inlineStr">
        <is>
          <t>ref</t>
        </is>
      </c>
      <c r="O202" t="n">
        <v>-95</v>
      </c>
      <c r="P202" t="n">
        <v>0.00453</v>
      </c>
      <c r="Q202" t="n">
        <v>-15</v>
      </c>
      <c r="R202" t="n">
        <v>0.0213</v>
      </c>
      <c r="S202">
        <f>IMAGE("https://mitra.stanford.edu/kundaje/oak/projects/neuro-variants/variant_position/credible/roussos_2024/variant_figures/roussos_2024.childhood.GABA/rs12026223_count_position.png",4,220,900)</f>
        <v/>
      </c>
      <c r="T202">
        <f>IMAGE("https://mitra.stanford.edu/kundaje/oak/projects/neuro-variants/variant_position/credible/roussos_2024/variant_figures/roussos_2024.childhood.GABA/rs12026223_profile_position.png",4,220,900)</f>
        <v/>
      </c>
    </row>
    <row r="203">
      <c r="A203" t="inlineStr">
        <is>
          <t>chr1</t>
        </is>
      </c>
      <c r="B203" t="n">
        <v>97412905</v>
      </c>
      <c r="C203" t="inlineStr">
        <is>
          <t>G</t>
        </is>
      </c>
      <c r="D203" t="inlineStr">
        <is>
          <t>A</t>
        </is>
      </c>
      <c r="E203" t="inlineStr">
        <is>
          <t>rs6687374</t>
        </is>
      </c>
      <c r="F203" t="n">
        <v>-0.06357533160000001</v>
      </c>
      <c r="G203" t="n">
        <v>0.0974646426927222</v>
      </c>
      <c r="H203" t="n">
        <v>0.0106938100950447</v>
      </c>
      <c r="I203" t="n">
        <v>0.5477916979068536</v>
      </c>
      <c r="J203" t="n">
        <v>0.011609180959561</v>
      </c>
      <c r="K203" t="n">
        <v>0.7207216649930468</v>
      </c>
      <c r="L203" t="b">
        <v>0</v>
      </c>
      <c r="M203" t="b">
        <v>0</v>
      </c>
      <c r="N203" t="inlineStr">
        <is>
          <t>ref</t>
        </is>
      </c>
      <c r="O203" t="n">
        <v>-25</v>
      </c>
      <c r="P203" t="n">
        <v>0.002878</v>
      </c>
      <c r="Q203" t="n">
        <v>-75</v>
      </c>
      <c r="R203" t="n">
        <v>0.05295</v>
      </c>
      <c r="S203">
        <f>IMAGE("https://mitra.stanford.edu/kundaje/oak/projects/neuro-variants/variant_position/credible/roussos_2024/variant_figures/roussos_2024.childhood.GABA/rs6687374_count_position.png",4,220,900)</f>
        <v/>
      </c>
      <c r="T203">
        <f>IMAGE("https://mitra.stanford.edu/kundaje/oak/projects/neuro-variants/variant_position/credible/roussos_2024/variant_figures/roussos_2024.childhood.GABA/rs6687374_profile_position.png",4,220,900)</f>
        <v/>
      </c>
    </row>
    <row r="204">
      <c r="A204" t="inlineStr">
        <is>
          <t>chr1</t>
        </is>
      </c>
      <c r="B204" t="n">
        <v>97417845</v>
      </c>
      <c r="C204" t="inlineStr">
        <is>
          <t>C</t>
        </is>
      </c>
      <c r="D204" t="inlineStr">
        <is>
          <t>T</t>
        </is>
      </c>
      <c r="E204" t="inlineStr">
        <is>
          <t>rs58941846</t>
        </is>
      </c>
      <c r="F204" t="n">
        <v>0.0216673776</v>
      </c>
      <c r="G204" t="n">
        <v>0.3259576378043164</v>
      </c>
      <c r="H204" t="n">
        <v>0.0105185833084282</v>
      </c>
      <c r="I204" t="n">
        <v>0.5609577601114757</v>
      </c>
      <c r="J204" t="n">
        <v>0.0098500554962199</v>
      </c>
      <c r="K204" t="n">
        <v>0.7528418673528509</v>
      </c>
      <c r="L204" t="b">
        <v>0</v>
      </c>
      <c r="M204" t="b">
        <v>0</v>
      </c>
      <c r="N204" t="inlineStr">
        <is>
          <t>alt</t>
        </is>
      </c>
      <c r="O204" t="n">
        <v>-85</v>
      </c>
      <c r="P204" t="n">
        <v>0.03207</v>
      </c>
      <c r="Q204" t="n">
        <v>25</v>
      </c>
      <c r="R204" t="n">
        <v>0.03455</v>
      </c>
      <c r="S204">
        <f>IMAGE("https://mitra.stanford.edu/kundaje/oak/projects/neuro-variants/variant_position/credible/roussos_2024/variant_figures/roussos_2024.childhood.GABA/rs58941846_count_position.png",4,220,900)</f>
        <v/>
      </c>
      <c r="T204">
        <f>IMAGE("https://mitra.stanford.edu/kundaje/oak/projects/neuro-variants/variant_position/credible/roussos_2024/variant_figures/roussos_2024.childhood.GABA/rs58941846_profile_position.png",4,220,900)</f>
        <v/>
      </c>
    </row>
    <row r="205">
      <c r="A205" t="inlineStr">
        <is>
          <t>chr1</t>
        </is>
      </c>
      <c r="B205" t="n">
        <v>97434996</v>
      </c>
      <c r="C205" t="inlineStr">
        <is>
          <t>A</t>
        </is>
      </c>
      <c r="D205" t="inlineStr">
        <is>
          <t>T</t>
        </is>
      </c>
      <c r="E205" t="inlineStr">
        <is>
          <t>rs12129397</t>
        </is>
      </c>
      <c r="F205" t="n">
        <v>0.0644169626</v>
      </c>
      <c r="G205" t="n">
        <v>0.0977381160526192</v>
      </c>
      <c r="H205" t="n">
        <v>0.0213964631565593</v>
      </c>
      <c r="I205" t="n">
        <v>0.0577372009017075</v>
      </c>
      <c r="J205" t="n">
        <v>0.0029475822495863</v>
      </c>
      <c r="K205" t="n">
        <v>0.8723838932354541</v>
      </c>
      <c r="L205" t="b">
        <v>0</v>
      </c>
      <c r="M205" t="b">
        <v>0</v>
      </c>
      <c r="N205" t="inlineStr">
        <is>
          <t>alt</t>
        </is>
      </c>
      <c r="O205" t="n">
        <v>35</v>
      </c>
      <c r="P205" t="n">
        <v>0.00216</v>
      </c>
      <c r="Q205" t="n">
        <v>-100</v>
      </c>
      <c r="R205" t="n">
        <v>0.03625</v>
      </c>
      <c r="S205">
        <f>IMAGE("https://mitra.stanford.edu/kundaje/oak/projects/neuro-variants/variant_position/credible/roussos_2024/variant_figures/roussos_2024.childhood.GABA/rs12129397_count_position.png",4,220,900)</f>
        <v/>
      </c>
      <c r="T205">
        <f>IMAGE("https://mitra.stanford.edu/kundaje/oak/projects/neuro-variants/variant_position/credible/roussos_2024/variant_figures/roussos_2024.childhood.GABA/rs12129397_profile_position.png",4,220,900)</f>
        <v/>
      </c>
    </row>
    <row r="206">
      <c r="A206" t="inlineStr">
        <is>
          <t>chr1</t>
        </is>
      </c>
      <c r="B206" t="n">
        <v>97437034</v>
      </c>
      <c r="C206" t="inlineStr">
        <is>
          <t>T</t>
        </is>
      </c>
      <c r="D206" t="inlineStr">
        <is>
          <t>G</t>
        </is>
      </c>
      <c r="E206" t="inlineStr">
        <is>
          <t>rs11165872</t>
        </is>
      </c>
      <c r="F206" t="n">
        <v>-0.0137359928999999</v>
      </c>
      <c r="G206" t="n">
        <v>0.5392310636043663</v>
      </c>
      <c r="H206" t="n">
        <v>0.0209638633730664</v>
      </c>
      <c r="I206" t="n">
        <v>0.0664433625033037</v>
      </c>
      <c r="J206" t="n">
        <v>0.0001989487131159</v>
      </c>
      <c r="K206" t="n">
        <v>0.9629161620126222</v>
      </c>
      <c r="L206" t="b">
        <v>0</v>
      </c>
      <c r="M206" t="b">
        <v>0</v>
      </c>
      <c r="N206" t="inlineStr">
        <is>
          <t>ref</t>
        </is>
      </c>
      <c r="O206" t="n">
        <v>50</v>
      </c>
      <c r="P206" t="n">
        <v>0.005898</v>
      </c>
      <c r="Q206" t="n">
        <v>-85</v>
      </c>
      <c r="R206" t="n">
        <v>0.0902</v>
      </c>
      <c r="S206">
        <f>IMAGE("https://mitra.stanford.edu/kundaje/oak/projects/neuro-variants/variant_position/credible/roussos_2024/variant_figures/roussos_2024.childhood.GABA/rs11165872_count_position.png",4,220,900)</f>
        <v/>
      </c>
      <c r="T206">
        <f>IMAGE("https://mitra.stanford.edu/kundaje/oak/projects/neuro-variants/variant_position/credible/roussos_2024/variant_figures/roussos_2024.childhood.GABA/rs11165872_profile_position.png",4,220,900)</f>
        <v/>
      </c>
    </row>
    <row r="207">
      <c r="A207" t="inlineStr">
        <is>
          <t>chr1</t>
        </is>
      </c>
      <c r="B207" t="n">
        <v>97455400</v>
      </c>
      <c r="C207" t="inlineStr">
        <is>
          <t>T</t>
        </is>
      </c>
      <c r="D207" t="inlineStr">
        <is>
          <t>C</t>
        </is>
      </c>
      <c r="E207" t="inlineStr">
        <is>
          <t>rs12354219</t>
        </is>
      </c>
      <c r="F207" t="n">
        <v>0.0338079939999999</v>
      </c>
      <c r="G207" t="n">
        <v>0.2470694439018668</v>
      </c>
      <c r="H207" t="n">
        <v>0.0194525962813071</v>
      </c>
      <c r="I207" t="n">
        <v>0.086162868130817</v>
      </c>
      <c r="J207" t="n">
        <v>0.0006020816317982</v>
      </c>
      <c r="K207" t="n">
        <v>0.9409664066908496</v>
      </c>
      <c r="L207" t="b">
        <v>0</v>
      </c>
      <c r="M207" t="b">
        <v>0</v>
      </c>
      <c r="N207" t="inlineStr">
        <is>
          <t>alt</t>
        </is>
      </c>
      <c r="O207" t="n">
        <v>-60</v>
      </c>
      <c r="P207" t="n">
        <v>0.0009990000000000001</v>
      </c>
      <c r="Q207" t="n">
        <v>-60</v>
      </c>
      <c r="R207" t="n">
        <v>0.08826000000000001</v>
      </c>
      <c r="S207">
        <f>IMAGE("https://mitra.stanford.edu/kundaje/oak/projects/neuro-variants/variant_position/credible/roussos_2024/variant_figures/roussos_2024.childhood.GABA/rs12354219_count_position.png",4,220,900)</f>
        <v/>
      </c>
      <c r="T207">
        <f>IMAGE("https://mitra.stanford.edu/kundaje/oak/projects/neuro-variants/variant_position/credible/roussos_2024/variant_figures/roussos_2024.childhood.GABA/rs12354219_profile_position.png",4,220,900)</f>
        <v/>
      </c>
    </row>
    <row r="208">
      <c r="A208" t="inlineStr">
        <is>
          <t>chr1</t>
        </is>
      </c>
      <c r="B208" t="n">
        <v>97573370</v>
      </c>
      <c r="C208" t="inlineStr">
        <is>
          <t>T</t>
        </is>
      </c>
      <c r="D208" t="inlineStr">
        <is>
          <t>C</t>
        </is>
      </c>
      <c r="E208" t="inlineStr">
        <is>
          <t>rs79917705</t>
        </is>
      </c>
      <c r="F208" t="n">
        <v>-0.2555616539999999</v>
      </c>
      <c r="G208" t="n">
        <v>0.0023007936944705</v>
      </c>
      <c r="H208" t="n">
        <v>0.0323090657619516</v>
      </c>
      <c r="I208" t="n">
        <v>0.0095982285966968</v>
      </c>
      <c r="J208" t="n">
        <v>0.040437896588553</v>
      </c>
      <c r="K208" t="n">
        <v>0.5285538371202307</v>
      </c>
      <c r="L208" t="b">
        <v>1</v>
      </c>
      <c r="M208" t="b">
        <v>1</v>
      </c>
      <c r="N208" t="inlineStr">
        <is>
          <t>ref</t>
        </is>
      </c>
      <c r="O208" t="n">
        <v>-35</v>
      </c>
      <c r="P208" t="n">
        <v>0.009889999999999999</v>
      </c>
      <c r="Q208" t="n">
        <v>65</v>
      </c>
      <c r="R208" t="n">
        <v>0.01758</v>
      </c>
      <c r="S208">
        <f>IMAGE("https://mitra.stanford.edu/kundaje/oak/projects/neuro-variants/variant_position/credible/roussos_2024/variant_figures/roussos_2024.childhood.GABA/rs79917705_count_position.png",4,220,900)</f>
        <v/>
      </c>
      <c r="T208">
        <f>IMAGE("https://mitra.stanford.edu/kundaje/oak/projects/neuro-variants/variant_position/credible/roussos_2024/variant_figures/roussos_2024.childhood.GABA/rs79917705_profile_position.png",4,220,900)</f>
        <v/>
      </c>
    </row>
    <row r="209">
      <c r="A209" t="inlineStr">
        <is>
          <t>chr1</t>
        </is>
      </c>
      <c r="B209" t="n">
        <v>97580440</v>
      </c>
      <c r="C209" t="inlineStr">
        <is>
          <t>G</t>
        </is>
      </c>
      <c r="D209" t="inlineStr">
        <is>
          <t>C</t>
        </is>
      </c>
      <c r="E209" t="inlineStr">
        <is>
          <t>rs10783069</t>
        </is>
      </c>
      <c r="F209" t="n">
        <v>-0.0579507624</v>
      </c>
      <c r="G209" t="n">
        <v>0.124843155422235</v>
      </c>
      <c r="H209" t="n">
        <v>0.0159067155687398</v>
      </c>
      <c r="I209" t="n">
        <v>0.1899577764400345</v>
      </c>
      <c r="J209" t="n">
        <v>0.0174687441100709</v>
      </c>
      <c r="K209" t="n">
        <v>0.6648787991333514</v>
      </c>
      <c r="L209" t="b">
        <v>0</v>
      </c>
      <c r="M209" t="b">
        <v>0</v>
      </c>
      <c r="N209" t="inlineStr">
        <is>
          <t>ref</t>
        </is>
      </c>
      <c r="O209" t="n">
        <v>-10</v>
      </c>
      <c r="P209" t="n">
        <v>1.9e-06</v>
      </c>
      <c r="Q209" t="n">
        <v>-15</v>
      </c>
      <c r="R209" t="n">
        <v>0.02805</v>
      </c>
      <c r="S209">
        <f>IMAGE("https://mitra.stanford.edu/kundaje/oak/projects/neuro-variants/variant_position/credible/roussos_2024/variant_figures/roussos_2024.childhood.GABA/rs10783069_count_position.png",4,220,900)</f>
        <v/>
      </c>
      <c r="T209">
        <f>IMAGE("https://mitra.stanford.edu/kundaje/oak/projects/neuro-variants/variant_position/credible/roussos_2024/variant_figures/roussos_2024.childhood.GABA/rs10783069_profile_position.png",4,220,900)</f>
        <v/>
      </c>
    </row>
    <row r="210">
      <c r="A210" t="inlineStr">
        <is>
          <t>chr1</t>
        </is>
      </c>
      <c r="B210" t="n">
        <v>97590907</v>
      </c>
      <c r="C210" t="inlineStr">
        <is>
          <t>A</t>
        </is>
      </c>
      <c r="D210" t="inlineStr">
        <is>
          <t>G</t>
        </is>
      </c>
      <c r="E210" t="inlineStr">
        <is>
          <t>rs7537165</t>
        </is>
      </c>
      <c r="F210" t="n">
        <v>0.09882714400000001</v>
      </c>
      <c r="G210" t="n">
        <v>0.0332522762400873</v>
      </c>
      <c r="H210" t="n">
        <v>0.0139139897591153</v>
      </c>
      <c r="I210" t="n">
        <v>0.2913801430416382</v>
      </c>
      <c r="J210" t="n">
        <v>0.0194006408242758</v>
      </c>
      <c r="K210" t="n">
        <v>0.6483914404229015</v>
      </c>
      <c r="L210" t="b">
        <v>0</v>
      </c>
      <c r="M210" t="b">
        <v>0</v>
      </c>
      <c r="N210" t="inlineStr">
        <is>
          <t>alt</t>
        </is>
      </c>
      <c r="O210" t="n">
        <v>-85</v>
      </c>
      <c r="P210" t="n">
        <v>0.003952</v>
      </c>
      <c r="Q210" t="n">
        <v>25</v>
      </c>
      <c r="R210" t="n">
        <v>0.0625</v>
      </c>
      <c r="S210">
        <f>IMAGE("https://mitra.stanford.edu/kundaje/oak/projects/neuro-variants/variant_position/credible/roussos_2024/variant_figures/roussos_2024.childhood.GABA/rs7537165_count_position.png",4,220,900)</f>
        <v/>
      </c>
      <c r="T210">
        <f>IMAGE("https://mitra.stanford.edu/kundaje/oak/projects/neuro-variants/variant_position/credible/roussos_2024/variant_figures/roussos_2024.childhood.GABA/rs7537165_profile_position.png",4,220,900)</f>
        <v/>
      </c>
    </row>
    <row r="211">
      <c r="A211" t="inlineStr">
        <is>
          <t>chr1</t>
        </is>
      </c>
      <c r="B211" t="n">
        <v>97594925</v>
      </c>
      <c r="C211" t="inlineStr">
        <is>
          <t>A</t>
        </is>
      </c>
      <c r="D211" t="inlineStr">
        <is>
          <t>C</t>
        </is>
      </c>
      <c r="E211" t="inlineStr">
        <is>
          <t>rs2811202</t>
        </is>
      </c>
      <c r="F211" t="n">
        <v>0.0128164873999999</v>
      </c>
      <c r="G211" t="n">
        <v>0.5346835062314466</v>
      </c>
      <c r="H211" t="n">
        <v>0.0185731007088285</v>
      </c>
      <c r="I211" t="n">
        <v>0.101506689953487</v>
      </c>
      <c r="J211" t="n">
        <v>0.0016355678415111</v>
      </c>
      <c r="K211" t="n">
        <v>0.8878370850299143</v>
      </c>
      <c r="L211" t="b">
        <v>0</v>
      </c>
      <c r="M211" t="b">
        <v>0</v>
      </c>
      <c r="N211" t="inlineStr">
        <is>
          <t>alt</t>
        </is>
      </c>
      <c r="O211" t="n">
        <v>45</v>
      </c>
      <c r="P211" t="n">
        <v>0.002695</v>
      </c>
      <c r="Q211" t="n">
        <v>85</v>
      </c>
      <c r="R211" t="n">
        <v>0.082</v>
      </c>
      <c r="S211">
        <f>IMAGE("https://mitra.stanford.edu/kundaje/oak/projects/neuro-variants/variant_position/credible/roussos_2024/variant_figures/roussos_2024.childhood.GABA/rs2811202_count_position.png",4,220,900)</f>
        <v/>
      </c>
      <c r="T211">
        <f>IMAGE("https://mitra.stanford.edu/kundaje/oak/projects/neuro-variants/variant_position/credible/roussos_2024/variant_figures/roussos_2024.childhood.GABA/rs2811202_profile_position.png",4,220,900)</f>
        <v/>
      </c>
    </row>
    <row r="212">
      <c r="A212" t="inlineStr">
        <is>
          <t>chr1</t>
        </is>
      </c>
      <c r="B212" t="n">
        <v>97611109</v>
      </c>
      <c r="C212" t="inlineStr">
        <is>
          <t>C</t>
        </is>
      </c>
      <c r="D212" t="inlineStr">
        <is>
          <t>T</t>
        </is>
      </c>
      <c r="E212" t="inlineStr">
        <is>
          <t>rs2811197</t>
        </is>
      </c>
      <c r="F212" t="n">
        <v>0.0061141669999999</v>
      </c>
      <c r="G212" t="n">
        <v>0.7116681088316225</v>
      </c>
      <c r="H212" t="n">
        <v>0.0160245828142954</v>
      </c>
      <c r="I212" t="n">
        <v>0.1764824916906984</v>
      </c>
      <c r="J212" t="n">
        <v>0.0656583108207157</v>
      </c>
      <c r="K212" t="n">
        <v>0.435640828323637</v>
      </c>
      <c r="L212" t="b">
        <v>0</v>
      </c>
      <c r="M212" t="b">
        <v>0</v>
      </c>
      <c r="N212" t="inlineStr">
        <is>
          <t>alt</t>
        </is>
      </c>
      <c r="O212" t="n">
        <v>-100</v>
      </c>
      <c r="P212" t="n">
        <v>0.005432</v>
      </c>
      <c r="Q212" t="n">
        <v>-15</v>
      </c>
      <c r="R212" t="n">
        <v>0.02054</v>
      </c>
      <c r="S212">
        <f>IMAGE("https://mitra.stanford.edu/kundaje/oak/projects/neuro-variants/variant_position/credible/roussos_2024/variant_figures/roussos_2024.childhood.GABA/rs2811197_count_position.png",4,220,900)</f>
        <v/>
      </c>
      <c r="T212">
        <f>IMAGE("https://mitra.stanford.edu/kundaje/oak/projects/neuro-variants/variant_position/credible/roussos_2024/variant_figures/roussos_2024.childhood.GABA/rs2811197_profile_position.png",4,220,900)</f>
        <v/>
      </c>
    </row>
    <row r="213">
      <c r="A213" t="inlineStr">
        <is>
          <t>chr1</t>
        </is>
      </c>
      <c r="B213" t="n">
        <v>97639882</v>
      </c>
      <c r="C213" t="inlineStr">
        <is>
          <t>A</t>
        </is>
      </c>
      <c r="D213" t="inlineStr">
        <is>
          <t>C</t>
        </is>
      </c>
      <c r="E213" t="inlineStr">
        <is>
          <t>rs6663670</t>
        </is>
      </c>
      <c r="F213" t="n">
        <v>0.08465401090000001</v>
      </c>
      <c r="G213" t="n">
        <v>0.051905337020913</v>
      </c>
      <c r="H213" t="n">
        <v>0.0198402365304107</v>
      </c>
      <c r="I213" t="n">
        <v>0.0981702705699829</v>
      </c>
      <c r="J213" t="n">
        <v>0.0221639337396075</v>
      </c>
      <c r="K213" t="n">
        <v>0.6403285018383795</v>
      </c>
      <c r="L213" t="b">
        <v>0</v>
      </c>
      <c r="M213" t="b">
        <v>0</v>
      </c>
      <c r="N213" t="inlineStr">
        <is>
          <t>alt</t>
        </is>
      </c>
      <c r="O213" t="n">
        <v>-90</v>
      </c>
      <c r="P213" t="n">
        <v>0.004177</v>
      </c>
      <c r="Q213" t="n">
        <v>95</v>
      </c>
      <c r="R213" t="n">
        <v>0.02551</v>
      </c>
      <c r="S213">
        <f>IMAGE("https://mitra.stanford.edu/kundaje/oak/projects/neuro-variants/variant_position/credible/roussos_2024/variant_figures/roussos_2024.childhood.GABA/rs6663670_count_position.png",4,220,900)</f>
        <v/>
      </c>
      <c r="T213">
        <f>IMAGE("https://mitra.stanford.edu/kundaje/oak/projects/neuro-variants/variant_position/credible/roussos_2024/variant_figures/roussos_2024.childhood.GABA/rs6663670_profile_position.png",4,220,900)</f>
        <v/>
      </c>
    </row>
    <row r="214">
      <c r="A214" t="inlineStr">
        <is>
          <t>chr1</t>
        </is>
      </c>
      <c r="B214" t="n">
        <v>97665524</v>
      </c>
      <c r="C214" t="inlineStr">
        <is>
          <t>A</t>
        </is>
      </c>
      <c r="D214" t="inlineStr">
        <is>
          <t>T</t>
        </is>
      </c>
      <c r="E214" t="inlineStr">
        <is>
          <t>rs72975785</t>
        </is>
      </c>
      <c r="F214" t="n">
        <v>0.01582341724</v>
      </c>
      <c r="G214" t="n">
        <v>0.5146698465003664</v>
      </c>
      <c r="H214" t="n">
        <v>0.0237471453025656</v>
      </c>
      <c r="I214" t="n">
        <v>0.0369223533593335</v>
      </c>
      <c r="J214" t="n">
        <v>0.0003853322443508</v>
      </c>
      <c r="K214" t="n">
        <v>0.9544773984013588</v>
      </c>
      <c r="L214" t="b">
        <v>0</v>
      </c>
      <c r="M214" t="b">
        <v>0</v>
      </c>
      <c r="N214" t="inlineStr">
        <is>
          <t>alt</t>
        </is>
      </c>
      <c r="O214" t="n">
        <v>-35</v>
      </c>
      <c r="P214" t="n">
        <v>0.002613</v>
      </c>
      <c r="Q214" t="n">
        <v>25</v>
      </c>
      <c r="R214" t="n">
        <v>0.02942</v>
      </c>
      <c r="S214">
        <f>IMAGE("https://mitra.stanford.edu/kundaje/oak/projects/neuro-variants/variant_position/credible/roussos_2024/variant_figures/roussos_2024.childhood.GABA/rs72975785_count_position.png",4,220,900)</f>
        <v/>
      </c>
      <c r="T214">
        <f>IMAGE("https://mitra.stanford.edu/kundaje/oak/projects/neuro-variants/variant_position/credible/roussos_2024/variant_figures/roussos_2024.childhood.GABA/rs72975785_profile_position.png",4,220,900)</f>
        <v/>
      </c>
    </row>
    <row r="215">
      <c r="A215" t="inlineStr">
        <is>
          <t>chr1</t>
        </is>
      </c>
      <c r="B215" t="n">
        <v>97867312</v>
      </c>
      <c r="C215" t="inlineStr">
        <is>
          <t>C</t>
        </is>
      </c>
      <c r="D215" t="inlineStr">
        <is>
          <t>T</t>
        </is>
      </c>
      <c r="E215" t="inlineStr">
        <is>
          <t>rs11590802</t>
        </is>
      </c>
      <c r="F215" t="n">
        <v>-0.0108952035799999</v>
      </c>
      <c r="G215" t="n">
        <v>0.6366322068599682</v>
      </c>
      <c r="H215" t="n">
        <v>0.0080905683037773</v>
      </c>
      <c r="I215" t="n">
        <v>0.8533725605642186</v>
      </c>
      <c r="J215" t="n">
        <v>0.0141923729345981</v>
      </c>
      <c r="K215" t="n">
        <v>0.6950304127621241</v>
      </c>
      <c r="L215" t="b">
        <v>0</v>
      </c>
      <c r="M215" t="b">
        <v>0</v>
      </c>
      <c r="N215" t="inlineStr">
        <is>
          <t>ref</t>
        </is>
      </c>
      <c r="O215" t="n">
        <v>75</v>
      </c>
      <c r="P215" t="n">
        <v>0.002155</v>
      </c>
      <c r="Q215" t="n">
        <v>15</v>
      </c>
      <c r="R215" t="n">
        <v>0.01074</v>
      </c>
      <c r="S215">
        <f>IMAGE("https://mitra.stanford.edu/kundaje/oak/projects/neuro-variants/variant_position/credible/roussos_2024/variant_figures/roussos_2024.childhood.GABA/rs11590802_count_position.png",4,220,900)</f>
        <v/>
      </c>
      <c r="T215">
        <f>IMAGE("https://mitra.stanford.edu/kundaje/oak/projects/neuro-variants/variant_position/credible/roussos_2024/variant_figures/roussos_2024.childhood.GABA/rs11590802_profile_position.png",4,220,900)</f>
        <v/>
      </c>
    </row>
    <row r="216">
      <c r="A216" t="inlineStr">
        <is>
          <t>chr1</t>
        </is>
      </c>
      <c r="B216" t="n">
        <v>97887860</v>
      </c>
      <c r="C216" t="inlineStr">
        <is>
          <t>A</t>
        </is>
      </c>
      <c r="D216" t="inlineStr">
        <is>
          <t>G</t>
        </is>
      </c>
      <c r="E216" t="inlineStr">
        <is>
          <t>rs4970723</t>
        </is>
      </c>
      <c r="F216" t="n">
        <v>0.5458808599999999</v>
      </c>
      <c r="G216" t="n">
        <v>0.0002312917568523</v>
      </c>
      <c r="H216" t="n">
        <v>0.068862623762284</v>
      </c>
      <c r="I216" t="n">
        <v>0.0008081384016246</v>
      </c>
      <c r="J216" t="n">
        <v>0.2153399928797302</v>
      </c>
      <c r="K216" t="n">
        <v>0.2000025433489319</v>
      </c>
      <c r="L216" t="b">
        <v>1</v>
      </c>
      <c r="M216" t="b">
        <v>1</v>
      </c>
      <c r="N216" t="inlineStr">
        <is>
          <t>alt</t>
        </is>
      </c>
      <c r="O216" t="n">
        <v>-100</v>
      </c>
      <c r="P216" t="n">
        <v>0.003815</v>
      </c>
      <c r="Q216" t="n">
        <v>100</v>
      </c>
      <c r="R216" t="n">
        <v>0.1272</v>
      </c>
      <c r="S216">
        <f>IMAGE("https://mitra.stanford.edu/kundaje/oak/projects/neuro-variants/variant_position/credible/roussos_2024/variant_figures/roussos_2024.childhood.GABA/rs4970723_count_position.png",4,220,900)</f>
        <v/>
      </c>
      <c r="T216">
        <f>IMAGE("https://mitra.stanford.edu/kundaje/oak/projects/neuro-variants/variant_position/credible/roussos_2024/variant_figures/roussos_2024.childhood.GABA/rs4970723_profile_position.png",4,220,900)</f>
        <v/>
      </c>
    </row>
    <row r="217">
      <c r="A217" t="inlineStr">
        <is>
          <t>chr1</t>
        </is>
      </c>
      <c r="B217" t="n">
        <v>97946313</v>
      </c>
      <c r="C217" t="inlineStr">
        <is>
          <t>G</t>
        </is>
      </c>
      <c r="D217" t="inlineStr">
        <is>
          <t>A</t>
        </is>
      </c>
      <c r="E217" t="inlineStr">
        <is>
          <t>rs12044989</t>
        </is>
      </c>
      <c r="F217" t="n">
        <v>0.0176475039999999</v>
      </c>
      <c r="G217" t="n">
        <v>0.4536586907778951</v>
      </c>
      <c r="H217" t="n">
        <v>0.0460410929317366</v>
      </c>
      <c r="I217" t="n">
        <v>0.0023244180553338</v>
      </c>
      <c r="J217" t="n">
        <v>0.0141850432451675</v>
      </c>
      <c r="K217" t="n">
        <v>0.6996715403354917</v>
      </c>
      <c r="L217" t="b">
        <v>1</v>
      </c>
      <c r="M217" t="b">
        <v>0</v>
      </c>
      <c r="N217" t="inlineStr">
        <is>
          <t>alt</t>
        </is>
      </c>
      <c r="O217" t="n">
        <v>-50</v>
      </c>
      <c r="P217" t="n">
        <v>0.03027</v>
      </c>
      <c r="Q217" t="n">
        <v>-50</v>
      </c>
      <c r="R217" t="n">
        <v>0.05774</v>
      </c>
      <c r="S217">
        <f>IMAGE("https://mitra.stanford.edu/kundaje/oak/projects/neuro-variants/variant_position/credible/roussos_2024/variant_figures/roussos_2024.childhood.GABA/rs12044989_count_position.png",4,220,900)</f>
        <v/>
      </c>
      <c r="T217">
        <f>IMAGE("https://mitra.stanford.edu/kundaje/oak/projects/neuro-variants/variant_position/credible/roussos_2024/variant_figures/roussos_2024.childhood.GABA/rs12044989_profile_position.png",4,220,900)</f>
        <v/>
      </c>
    </row>
    <row r="218">
      <c r="A218" t="inlineStr">
        <is>
          <t>chr1</t>
        </is>
      </c>
      <c r="B218" t="n">
        <v>97958696</v>
      </c>
      <c r="C218" t="inlineStr">
        <is>
          <t>G</t>
        </is>
      </c>
      <c r="D218" t="inlineStr">
        <is>
          <t>A</t>
        </is>
      </c>
      <c r="E218" t="inlineStr">
        <is>
          <t>rs56732321</t>
        </is>
      </c>
      <c r="F218" t="n">
        <v>-0.0509736699999999</v>
      </c>
      <c r="G218" t="n">
        <v>0.1433739042248774</v>
      </c>
      <c r="H218" t="n">
        <v>0.0116435415755411</v>
      </c>
      <c r="I218" t="n">
        <v>0.4659510097310314</v>
      </c>
      <c r="J218" t="n">
        <v>0.0019664509643776</v>
      </c>
      <c r="K218" t="n">
        <v>0.8826772448528518</v>
      </c>
      <c r="L218" t="b">
        <v>0</v>
      </c>
      <c r="M218" t="b">
        <v>0</v>
      </c>
      <c r="N218" t="inlineStr">
        <is>
          <t>ref</t>
        </is>
      </c>
      <c r="O218" t="n">
        <v>-100</v>
      </c>
      <c r="P218" t="n">
        <v>0.008736000000000001</v>
      </c>
      <c r="Q218" t="n">
        <v>-100</v>
      </c>
      <c r="R218" t="n">
        <v>0.09569999999999999</v>
      </c>
      <c r="S218">
        <f>IMAGE("https://mitra.stanford.edu/kundaje/oak/projects/neuro-variants/variant_position/credible/roussos_2024/variant_figures/roussos_2024.childhood.GABA/rs56732321_count_position.png",4,220,900)</f>
        <v/>
      </c>
      <c r="T218">
        <f>IMAGE("https://mitra.stanford.edu/kundaje/oak/projects/neuro-variants/variant_position/credible/roussos_2024/variant_figures/roussos_2024.childhood.GABA/rs56732321_profile_position.png",4,220,900)</f>
        <v/>
      </c>
    </row>
    <row r="219">
      <c r="A219" t="inlineStr">
        <is>
          <t>chr1</t>
        </is>
      </c>
      <c r="B219" t="n">
        <v>97977953</v>
      </c>
      <c r="C219" t="inlineStr">
        <is>
          <t>C</t>
        </is>
      </c>
      <c r="D219" t="inlineStr">
        <is>
          <t>T</t>
        </is>
      </c>
      <c r="E219" t="inlineStr">
        <is>
          <t>rs11165939</t>
        </is>
      </c>
      <c r="F219" t="n">
        <v>-0.0646070914</v>
      </c>
      <c r="G219" t="n">
        <v>0.0985488675023511</v>
      </c>
      <c r="H219" t="n">
        <v>0.0140013359268168</v>
      </c>
      <c r="I219" t="n">
        <v>0.2826608268742367</v>
      </c>
      <c r="J219" t="n">
        <v>0.1334034889321689</v>
      </c>
      <c r="K219" t="n">
        <v>0.2911478849643453</v>
      </c>
      <c r="L219" t="b">
        <v>0</v>
      </c>
      <c r="M219" t="b">
        <v>0</v>
      </c>
      <c r="N219" t="inlineStr">
        <is>
          <t>ref</t>
        </is>
      </c>
      <c r="O219" t="n">
        <v>-85</v>
      </c>
      <c r="P219" t="n">
        <v>0.01581</v>
      </c>
      <c r="Q219" t="n">
        <v>95</v>
      </c>
      <c r="R219" t="n">
        <v>0.0428</v>
      </c>
      <c r="S219">
        <f>IMAGE("https://mitra.stanford.edu/kundaje/oak/projects/neuro-variants/variant_position/credible/roussos_2024/variant_figures/roussos_2024.childhood.GABA/rs11165939_count_position.png",4,220,900)</f>
        <v/>
      </c>
      <c r="T219">
        <f>IMAGE("https://mitra.stanford.edu/kundaje/oak/projects/neuro-variants/variant_position/credible/roussos_2024/variant_figures/roussos_2024.childhood.GABA/rs11165939_profile_position.png",4,220,900)</f>
        <v/>
      </c>
    </row>
    <row r="220">
      <c r="A220" t="inlineStr">
        <is>
          <t>chr1</t>
        </is>
      </c>
      <c r="B220" t="n">
        <v>97980638</v>
      </c>
      <c r="C220" t="inlineStr">
        <is>
          <t>G</t>
        </is>
      </c>
      <c r="D220" t="inlineStr">
        <is>
          <t>C</t>
        </is>
      </c>
      <c r="E220" t="inlineStr">
        <is>
          <t>rs12077962</t>
        </is>
      </c>
      <c r="F220" t="n">
        <v>-0.009465052240000001</v>
      </c>
      <c r="G220" t="n">
        <v>0.6605428140397811</v>
      </c>
      <c r="H220" t="n">
        <v>0.0079654317166974</v>
      </c>
      <c r="I220" t="n">
        <v>0.8508192256576015</v>
      </c>
      <c r="J220" t="n">
        <v>0.0010376746036731</v>
      </c>
      <c r="K220" t="n">
        <v>0.9167319700042076</v>
      </c>
      <c r="L220" t="b">
        <v>0</v>
      </c>
      <c r="M220" t="b">
        <v>0</v>
      </c>
      <c r="N220" t="inlineStr">
        <is>
          <t>ref</t>
        </is>
      </c>
      <c r="O220" t="n">
        <v>100</v>
      </c>
      <c r="P220" t="n">
        <v>0.03485</v>
      </c>
      <c r="Q220" t="n">
        <v>100</v>
      </c>
      <c r="R220" t="n">
        <v>0.0772</v>
      </c>
      <c r="S220">
        <f>IMAGE("https://mitra.stanford.edu/kundaje/oak/projects/neuro-variants/variant_position/credible/roussos_2024/variant_figures/roussos_2024.childhood.GABA/rs12077962_count_position.png",4,220,900)</f>
        <v/>
      </c>
      <c r="T220">
        <f>IMAGE("https://mitra.stanford.edu/kundaje/oak/projects/neuro-variants/variant_position/credible/roussos_2024/variant_figures/roussos_2024.childhood.GABA/rs12077962_profile_position.png",4,220,900)</f>
        <v/>
      </c>
    </row>
    <row r="221">
      <c r="A221" t="inlineStr">
        <is>
          <t>chr1</t>
        </is>
      </c>
      <c r="B221" t="n">
        <v>98031620</v>
      </c>
      <c r="C221" t="inlineStr">
        <is>
          <t>A</t>
        </is>
      </c>
      <c r="D221" t="inlineStr">
        <is>
          <t>C</t>
        </is>
      </c>
      <c r="E221" t="inlineStr">
        <is>
          <t>rs1198572</t>
        </is>
      </c>
      <c r="F221" t="n">
        <v>0.0036884892599999</v>
      </c>
      <c r="G221" t="n">
        <v>0.7819405003316799</v>
      </c>
      <c r="H221" t="n">
        <v>0.0319362873811036</v>
      </c>
      <c r="I221" t="n">
        <v>0.009545114709322599</v>
      </c>
      <c r="J221" t="n">
        <v>0.0101118301187409</v>
      </c>
      <c r="K221" t="n">
        <v>0.7560512019137172</v>
      </c>
      <c r="L221" t="b">
        <v>1</v>
      </c>
      <c r="M221" t="b">
        <v>0</v>
      </c>
      <c r="N221" t="inlineStr">
        <is>
          <t>alt</t>
        </is>
      </c>
      <c r="O221" t="n">
        <v>100</v>
      </c>
      <c r="P221" t="n">
        <v>0.009964000000000001</v>
      </c>
      <c r="Q221" t="n">
        <v>95</v>
      </c>
      <c r="R221" t="n">
        <v>0.05728</v>
      </c>
      <c r="S221">
        <f>IMAGE("https://mitra.stanford.edu/kundaje/oak/projects/neuro-variants/variant_position/credible/roussos_2024/variant_figures/roussos_2024.childhood.GABA/rs1198572_count_position.png",4,220,900)</f>
        <v/>
      </c>
      <c r="T221">
        <f>IMAGE("https://mitra.stanford.edu/kundaje/oak/projects/neuro-variants/variant_position/credible/roussos_2024/variant_figures/roussos_2024.childhood.GABA/rs1198572_profile_position.png",4,220,900)</f>
        <v/>
      </c>
    </row>
    <row r="222">
      <c r="A222" t="inlineStr">
        <is>
          <t>chr1</t>
        </is>
      </c>
      <c r="B222" t="n">
        <v>98036428</v>
      </c>
      <c r="C222" t="inlineStr">
        <is>
          <t>T</t>
        </is>
      </c>
      <c r="D222" t="inlineStr">
        <is>
          <t>C</t>
        </is>
      </c>
      <c r="E222" t="inlineStr">
        <is>
          <t>rs1702294</t>
        </is>
      </c>
      <c r="F222" t="n">
        <v>0.00174317458</v>
      </c>
      <c r="G222" t="n">
        <v>0.799922892548977</v>
      </c>
      <c r="H222" t="n">
        <v>0.0164667820394619</v>
      </c>
      <c r="I222" t="n">
        <v>0.1629540902374138</v>
      </c>
      <c r="J222" t="n">
        <v>0.0488638981382588</v>
      </c>
      <c r="K222" t="n">
        <v>0.4975072525024517</v>
      </c>
      <c r="L222" t="b">
        <v>0</v>
      </c>
      <c r="M222" t="b">
        <v>0</v>
      </c>
      <c r="N222" t="inlineStr">
        <is>
          <t>alt</t>
        </is>
      </c>
      <c r="O222" t="n">
        <v>-100</v>
      </c>
      <c r="P222" t="n">
        <v>0.02515</v>
      </c>
      <c r="Q222" t="n">
        <v>-90</v>
      </c>
      <c r="R222" t="n">
        <v>0.04132</v>
      </c>
      <c r="S222">
        <f>IMAGE("https://mitra.stanford.edu/kundaje/oak/projects/neuro-variants/variant_position/credible/roussos_2024/variant_figures/roussos_2024.childhood.GABA/rs1702294_count_position.png",4,220,900)</f>
        <v/>
      </c>
      <c r="T222">
        <f>IMAGE("https://mitra.stanford.edu/kundaje/oak/projects/neuro-variants/variant_position/credible/roussos_2024/variant_figures/roussos_2024.childhood.GABA/rs1702294_profile_position.png",4,220,900)</f>
        <v/>
      </c>
    </row>
    <row r="223">
      <c r="A223" t="inlineStr">
        <is>
          <t>chr1</t>
        </is>
      </c>
      <c r="B223" t="n">
        <v>98060611</v>
      </c>
      <c r="C223" t="inlineStr">
        <is>
          <t>T</t>
        </is>
      </c>
      <c r="D223" t="inlineStr">
        <is>
          <t>C</t>
        </is>
      </c>
      <c r="E223" t="inlineStr">
        <is>
          <t>rs1702291</t>
        </is>
      </c>
      <c r="F223" t="n">
        <v>0.0543781149999999</v>
      </c>
      <c r="G223" t="n">
        <v>0.1212627203838915</v>
      </c>
      <c r="H223" t="n">
        <v>0.0171981571212833</v>
      </c>
      <c r="I223" t="n">
        <v>0.1358080424924121</v>
      </c>
      <c r="J223" t="n">
        <v>0.0138719607966324</v>
      </c>
      <c r="K223" t="n">
        <v>0.6971500405605869</v>
      </c>
      <c r="L223" t="b">
        <v>0</v>
      </c>
      <c r="M223" t="b">
        <v>0</v>
      </c>
      <c r="N223" t="inlineStr">
        <is>
          <t>alt</t>
        </is>
      </c>
      <c r="O223" t="n">
        <v>-75</v>
      </c>
      <c r="P223" t="n">
        <v>0.001778</v>
      </c>
      <c r="Q223" t="n">
        <v>-50</v>
      </c>
      <c r="R223" t="n">
        <v>0.04736</v>
      </c>
      <c r="S223">
        <f>IMAGE("https://mitra.stanford.edu/kundaje/oak/projects/neuro-variants/variant_position/credible/roussos_2024/variant_figures/roussos_2024.childhood.GABA/rs1702291_count_position.png",4,220,900)</f>
        <v/>
      </c>
      <c r="T223">
        <f>IMAGE("https://mitra.stanford.edu/kundaje/oak/projects/neuro-variants/variant_position/credible/roussos_2024/variant_figures/roussos_2024.childhood.GABA/rs1702291_profile_position.png",4,220,900)</f>
        <v/>
      </c>
    </row>
    <row r="224">
      <c r="A224" t="inlineStr">
        <is>
          <t>chr1</t>
        </is>
      </c>
      <c r="B224" t="n">
        <v>98070109</v>
      </c>
      <c r="C224" t="inlineStr">
        <is>
          <t>A</t>
        </is>
      </c>
      <c r="D224" t="inlineStr">
        <is>
          <t>G</t>
        </is>
      </c>
      <c r="E224" t="inlineStr">
        <is>
          <t>rs11808051</t>
        </is>
      </c>
      <c r="F224" t="n">
        <v>0.0386404956</v>
      </c>
      <c r="G224" t="n">
        <v>0.2120816406815144</v>
      </c>
      <c r="H224" t="n">
        <v>0.0133563911709616</v>
      </c>
      <c r="I224" t="n">
        <v>0.324842739379274</v>
      </c>
      <c r="J224" t="n">
        <v>0.07456388347888</v>
      </c>
      <c r="K224" t="n">
        <v>0.406781849313826</v>
      </c>
      <c r="L224" t="b">
        <v>0</v>
      </c>
      <c r="M224" t="b">
        <v>0</v>
      </c>
      <c r="N224" t="inlineStr">
        <is>
          <t>alt</t>
        </is>
      </c>
      <c r="O224" t="n">
        <v>-100</v>
      </c>
      <c r="P224" t="n">
        <v>0.005894</v>
      </c>
      <c r="Q224" t="n">
        <v>85</v>
      </c>
      <c r="R224" t="n">
        <v>0.02393</v>
      </c>
      <c r="S224">
        <f>IMAGE("https://mitra.stanford.edu/kundaje/oak/projects/neuro-variants/variant_position/credible/roussos_2024/variant_figures/roussos_2024.childhood.GABA/rs11808051_count_position.png",4,220,900)</f>
        <v/>
      </c>
      <c r="T224">
        <f>IMAGE("https://mitra.stanford.edu/kundaje/oak/projects/neuro-variants/variant_position/credible/roussos_2024/variant_figures/roussos_2024.childhood.GABA/rs11808051_profile_position.png",4,220,900)</f>
        <v/>
      </c>
    </row>
    <row r="225">
      <c r="A225" t="inlineStr">
        <is>
          <t>chr1</t>
        </is>
      </c>
      <c r="B225" t="n">
        <v>98101149</v>
      </c>
      <c r="C225" t="inlineStr">
        <is>
          <t>A</t>
        </is>
      </c>
      <c r="D225" t="inlineStr">
        <is>
          <t>G</t>
        </is>
      </c>
      <c r="E225" t="inlineStr">
        <is>
          <t>rs12027634</t>
        </is>
      </c>
      <c r="F225" t="n">
        <v>-0.0612019442</v>
      </c>
      <c r="G225" t="n">
        <v>0.1283138419070522</v>
      </c>
      <c r="H225" t="n">
        <v>0.0290798086220257</v>
      </c>
      <c r="I225" t="n">
        <v>0.0165056110187374</v>
      </c>
      <c r="J225" t="n">
        <v>0.055000942388641</v>
      </c>
      <c r="K225" t="n">
        <v>0.4807901608629736</v>
      </c>
      <c r="L225" t="b">
        <v>1</v>
      </c>
      <c r="M225" t="b">
        <v>0</v>
      </c>
      <c r="N225" t="inlineStr">
        <is>
          <t>ref</t>
        </is>
      </c>
      <c r="O225" t="n">
        <v>-95</v>
      </c>
      <c r="P225" t="n">
        <v>0.00924</v>
      </c>
      <c r="Q225" t="n">
        <v>-100</v>
      </c>
      <c r="R225" t="n">
        <v>0.206</v>
      </c>
      <c r="S225">
        <f>IMAGE("https://mitra.stanford.edu/kundaje/oak/projects/neuro-variants/variant_position/credible/roussos_2024/variant_figures/roussos_2024.childhood.GABA/rs12027634_count_position.png",4,220,900)</f>
        <v/>
      </c>
      <c r="T225">
        <f>IMAGE("https://mitra.stanford.edu/kundaje/oak/projects/neuro-variants/variant_position/credible/roussos_2024/variant_figures/roussos_2024.childhood.GABA/rs12027634_profile_position.png",4,220,900)</f>
        <v/>
      </c>
    </row>
    <row r="226">
      <c r="A226" t="inlineStr">
        <is>
          <t>chr1</t>
        </is>
      </c>
      <c r="B226" t="n">
        <v>98112221</v>
      </c>
      <c r="C226" t="inlineStr">
        <is>
          <t>A</t>
        </is>
      </c>
      <c r="D226" t="inlineStr">
        <is>
          <t>G</t>
        </is>
      </c>
      <c r="E226" t="inlineStr">
        <is>
          <t>rs4950095</t>
        </is>
      </c>
      <c r="F226" t="n">
        <v>0.262788598</v>
      </c>
      <c r="G226" t="n">
        <v>0.0021904212885217</v>
      </c>
      <c r="H226" t="n">
        <v>0.037158667760116</v>
      </c>
      <c r="I226" t="n">
        <v>0.0053626318679157</v>
      </c>
      <c r="J226" t="n">
        <v>0.081447508952692</v>
      </c>
      <c r="K226" t="n">
        <v>0.3895997892347328</v>
      </c>
      <c r="L226" t="b">
        <v>1</v>
      </c>
      <c r="M226" t="b">
        <v>1</v>
      </c>
      <c r="N226" t="inlineStr">
        <is>
          <t>alt</t>
        </is>
      </c>
      <c r="O226" t="n">
        <v>100</v>
      </c>
      <c r="P226" t="n">
        <v>0.187</v>
      </c>
      <c r="Q226" t="n">
        <v>90</v>
      </c>
      <c r="R226" t="n">
        <v>0.00708</v>
      </c>
      <c r="S226">
        <f>IMAGE("https://mitra.stanford.edu/kundaje/oak/projects/neuro-variants/variant_position/credible/roussos_2024/variant_figures/roussos_2024.childhood.GABA/rs4950095_count_position.png",4,220,900)</f>
        <v/>
      </c>
      <c r="T226">
        <f>IMAGE("https://mitra.stanford.edu/kundaje/oak/projects/neuro-variants/variant_position/credible/roussos_2024/variant_figures/roussos_2024.childhood.GABA/rs4950095_profile_position.png",4,220,900)</f>
        <v/>
      </c>
    </row>
    <row r="227">
      <c r="A227" t="inlineStr">
        <is>
          <t>chr1</t>
        </is>
      </c>
      <c r="B227" t="n">
        <v>98129502</v>
      </c>
      <c r="C227" t="inlineStr">
        <is>
          <t>G</t>
        </is>
      </c>
      <c r="D227" t="inlineStr">
        <is>
          <t>A</t>
        </is>
      </c>
      <c r="E227" t="inlineStr">
        <is>
          <t>rs12567725</t>
        </is>
      </c>
      <c r="F227" t="n">
        <v>0.0152949375999999</v>
      </c>
      <c r="G227" t="n">
        <v>0.4974240058922427</v>
      </c>
      <c r="H227" t="n">
        <v>0.0139661014190517</v>
      </c>
      <c r="I227" t="n">
        <v>0.2832495011289814</v>
      </c>
      <c r="J227" t="n">
        <v>0.0526858076270653</v>
      </c>
      <c r="K227" t="n">
        <v>0.4814943647619991</v>
      </c>
      <c r="L227" t="b">
        <v>0</v>
      </c>
      <c r="M227" t="b">
        <v>0</v>
      </c>
      <c r="N227" t="inlineStr">
        <is>
          <t>alt</t>
        </is>
      </c>
      <c r="O227" t="n">
        <v>-35</v>
      </c>
      <c r="P227" t="n">
        <v>0.01003</v>
      </c>
      <c r="Q227" t="n">
        <v>-35</v>
      </c>
      <c r="R227" t="n">
        <v>0.1292</v>
      </c>
      <c r="S227">
        <f>IMAGE("https://mitra.stanford.edu/kundaje/oak/projects/neuro-variants/variant_position/credible/roussos_2024/variant_figures/roussos_2024.childhood.GABA/rs12567725_count_position.png",4,220,900)</f>
        <v/>
      </c>
      <c r="T227">
        <f>IMAGE("https://mitra.stanford.edu/kundaje/oak/projects/neuro-variants/variant_position/credible/roussos_2024/variant_figures/roussos_2024.childhood.GABA/rs12567725_profile_position.png",4,220,900)</f>
        <v/>
      </c>
    </row>
    <row r="228">
      <c r="A228" t="inlineStr">
        <is>
          <t>chr1</t>
        </is>
      </c>
      <c r="B228" t="n">
        <v>98176374</v>
      </c>
      <c r="C228" t="inlineStr">
        <is>
          <t>A</t>
        </is>
      </c>
      <c r="D228" t="inlineStr">
        <is>
          <t>G</t>
        </is>
      </c>
      <c r="E228" t="inlineStr">
        <is>
          <t>rs2046585</t>
        </is>
      </c>
      <c r="F228" t="n">
        <v>-5.599283999999992e-05</v>
      </c>
      <c r="G228" t="n">
        <v>0.895036926421616</v>
      </c>
      <c r="H228" t="n">
        <v>0.0271026612681271</v>
      </c>
      <c r="I228" t="n">
        <v>0.0201507784996707</v>
      </c>
      <c r="J228" t="n">
        <v>0.0006450126698917</v>
      </c>
      <c r="K228" t="n">
        <v>0.9283751507638472</v>
      </c>
      <c r="L228" t="b">
        <v>0</v>
      </c>
      <c r="M228" t="b">
        <v>0</v>
      </c>
      <c r="N228" t="inlineStr">
        <is>
          <t>ref</t>
        </is>
      </c>
      <c r="O228" t="n">
        <v>-85</v>
      </c>
      <c r="P228" t="n">
        <v>0.009039999999999999</v>
      </c>
      <c r="Q228" t="n">
        <v>65</v>
      </c>
      <c r="R228" t="n">
        <v>0.06195</v>
      </c>
      <c r="S228">
        <f>IMAGE("https://mitra.stanford.edu/kundaje/oak/projects/neuro-variants/variant_position/credible/roussos_2024/variant_figures/roussos_2024.childhood.GABA/rs2046585_count_position.png",4,220,900)</f>
        <v/>
      </c>
      <c r="T228">
        <f>IMAGE("https://mitra.stanford.edu/kundaje/oak/projects/neuro-variants/variant_position/credible/roussos_2024/variant_figures/roussos_2024.childhood.GABA/rs2046585_profile_position.png",4,220,900)</f>
        <v/>
      </c>
    </row>
    <row r="229">
      <c r="A229" t="inlineStr">
        <is>
          <t>chr1</t>
        </is>
      </c>
      <c r="B229" t="n">
        <v>114966435</v>
      </c>
      <c r="C229" t="inlineStr">
        <is>
          <t>T</t>
        </is>
      </c>
      <c r="D229" t="inlineStr">
        <is>
          <t>C</t>
        </is>
      </c>
      <c r="E229" t="inlineStr">
        <is>
          <t>rs77509205</t>
        </is>
      </c>
      <c r="F229" t="n">
        <v>0.0335907476</v>
      </c>
      <c r="G229" t="n">
        <v>0.2553867481209524</v>
      </c>
      <c r="H229" t="n">
        <v>0.0093134576587874</v>
      </c>
      <c r="I229" t="n">
        <v>0.710528715639586</v>
      </c>
      <c r="J229" t="n">
        <v>0.0193210613390295</v>
      </c>
      <c r="K229" t="n">
        <v>0.6504507036746796</v>
      </c>
      <c r="L229" t="b">
        <v>0</v>
      </c>
      <c r="M229" t="b">
        <v>0</v>
      </c>
      <c r="N229" t="inlineStr">
        <is>
          <t>alt</t>
        </is>
      </c>
      <c r="O229" t="n">
        <v>-30</v>
      </c>
      <c r="P229" t="n">
        <v>0.005383</v>
      </c>
      <c r="Q229" t="n">
        <v>-20</v>
      </c>
      <c r="R229" t="n">
        <v>0.04822</v>
      </c>
      <c r="S229">
        <f>IMAGE("https://mitra.stanford.edu/kundaje/oak/projects/neuro-variants/variant_position/credible/roussos_2024/variant_figures/roussos_2024.childhood.GABA/rs77509205_count_position.png",4,220,900)</f>
        <v/>
      </c>
      <c r="T229">
        <f>IMAGE("https://mitra.stanford.edu/kundaje/oak/projects/neuro-variants/variant_position/credible/roussos_2024/variant_figures/roussos_2024.childhood.GABA/rs77509205_profile_position.png",4,220,900)</f>
        <v/>
      </c>
    </row>
    <row r="230">
      <c r="A230" t="inlineStr">
        <is>
          <t>chr1</t>
        </is>
      </c>
      <c r="B230" t="n">
        <v>115059573</v>
      </c>
      <c r="C230" t="inlineStr">
        <is>
          <t>C</t>
        </is>
      </c>
      <c r="D230" t="inlineStr">
        <is>
          <t>T</t>
        </is>
      </c>
      <c r="E230" t="inlineStr">
        <is>
          <t>rs6537851</t>
        </is>
      </c>
      <c r="F230" t="n">
        <v>-0.0813639241999999</v>
      </c>
      <c r="G230" t="n">
        <v>0.0518819249996415</v>
      </c>
      <c r="H230" t="n">
        <v>0.0166100203410336</v>
      </c>
      <c r="I230" t="n">
        <v>0.1570212352054964</v>
      </c>
      <c r="J230" t="n">
        <v>0.0134185671504261</v>
      </c>
      <c r="K230" t="n">
        <v>0.7022187189928971</v>
      </c>
      <c r="L230" t="b">
        <v>0</v>
      </c>
      <c r="M230" t="b">
        <v>0</v>
      </c>
      <c r="N230" t="inlineStr">
        <is>
          <t>ref</t>
        </is>
      </c>
      <c r="O230" t="n">
        <v>-35</v>
      </c>
      <c r="P230" t="n">
        <v>0.002354</v>
      </c>
      <c r="Q230" t="n">
        <v>-45</v>
      </c>
      <c r="R230" t="n">
        <v>0.0393</v>
      </c>
      <c r="S230">
        <f>IMAGE("https://mitra.stanford.edu/kundaje/oak/projects/neuro-variants/variant_position/credible/roussos_2024/variant_figures/roussos_2024.childhood.GABA/rs6537851_count_position.png",4,220,900)</f>
        <v/>
      </c>
      <c r="T230">
        <f>IMAGE("https://mitra.stanford.edu/kundaje/oak/projects/neuro-variants/variant_position/credible/roussos_2024/variant_figures/roussos_2024.childhood.GABA/rs6537851_profile_position.png",4,220,900)</f>
        <v/>
      </c>
    </row>
    <row r="231">
      <c r="A231" t="inlineStr">
        <is>
          <t>chr1</t>
        </is>
      </c>
      <c r="B231" t="n">
        <v>115221028</v>
      </c>
      <c r="C231" t="inlineStr">
        <is>
          <t>C</t>
        </is>
      </c>
      <c r="D231" t="inlineStr">
        <is>
          <t>T</t>
        </is>
      </c>
      <c r="E231" t="inlineStr">
        <is>
          <t>rs11102896</t>
        </is>
      </c>
      <c r="F231" t="n">
        <v>-0.10963801</v>
      </c>
      <c r="G231" t="n">
        <v>0.0241023693820355</v>
      </c>
      <c r="H231" t="n">
        <v>0.0152655242589147</v>
      </c>
      <c r="I231" t="n">
        <v>0.2153530628762144</v>
      </c>
      <c r="J231" t="n">
        <v>0.3907666855144394</v>
      </c>
      <c r="K231" t="n">
        <v>0.090365484253453</v>
      </c>
      <c r="L231" t="b">
        <v>0</v>
      </c>
      <c r="M231" t="b">
        <v>0</v>
      </c>
      <c r="N231" t="inlineStr">
        <is>
          <t>ref</t>
        </is>
      </c>
      <c r="O231" t="n">
        <v>-35</v>
      </c>
      <c r="P231" t="n">
        <v>0.003113</v>
      </c>
      <c r="Q231" t="n">
        <v>-80</v>
      </c>
      <c r="R231" t="n">
        <v>0.0437</v>
      </c>
      <c r="S231">
        <f>IMAGE("https://mitra.stanford.edu/kundaje/oak/projects/neuro-variants/variant_position/credible/roussos_2024/variant_figures/roussos_2024.childhood.GABA/rs11102896_count_position.png",4,220,900)</f>
        <v/>
      </c>
      <c r="T231">
        <f>IMAGE("https://mitra.stanford.edu/kundaje/oak/projects/neuro-variants/variant_position/credible/roussos_2024/variant_figures/roussos_2024.childhood.GABA/rs11102896_profile_position.png",4,220,900)</f>
        <v/>
      </c>
    </row>
    <row r="232">
      <c r="A232" t="inlineStr">
        <is>
          <t>chr1</t>
        </is>
      </c>
      <c r="B232" t="n">
        <v>115255892</v>
      </c>
      <c r="C232" t="inlineStr">
        <is>
          <t>G</t>
        </is>
      </c>
      <c r="D232" t="inlineStr">
        <is>
          <t>T</t>
        </is>
      </c>
      <c r="E232" t="inlineStr">
        <is>
          <t>rs2223926</t>
        </is>
      </c>
      <c r="F232" t="n">
        <v>0.0608286994</v>
      </c>
      <c r="G232" t="n">
        <v>0.0943952844713178</v>
      </c>
      <c r="H232" t="n">
        <v>0.0256755639397473</v>
      </c>
      <c r="I232" t="n">
        <v>0.0255033557417228</v>
      </c>
      <c r="J232" t="n">
        <v>0.0411153693116374</v>
      </c>
      <c r="K232" t="n">
        <v>0.539203237106583</v>
      </c>
      <c r="L232" t="b">
        <v>0</v>
      </c>
      <c r="M232" t="b">
        <v>0</v>
      </c>
      <c r="N232" t="inlineStr">
        <is>
          <t>alt</t>
        </is>
      </c>
      <c r="O232" t="n">
        <v>100</v>
      </c>
      <c r="P232" t="n">
        <v>0.008619999999999999</v>
      </c>
      <c r="Q232" t="n">
        <v>-10</v>
      </c>
      <c r="R232" t="n">
        <v>0.01306</v>
      </c>
      <c r="S232">
        <f>IMAGE("https://mitra.stanford.edu/kundaje/oak/projects/neuro-variants/variant_position/credible/roussos_2024/variant_figures/roussos_2024.childhood.GABA/rs2223926_count_position.png",4,220,900)</f>
        <v/>
      </c>
      <c r="T232">
        <f>IMAGE("https://mitra.stanford.edu/kundaje/oak/projects/neuro-variants/variant_position/credible/roussos_2024/variant_figures/roussos_2024.childhood.GABA/rs2223926_profile_position.png",4,220,900)</f>
        <v/>
      </c>
    </row>
    <row r="233">
      <c r="A233" t="inlineStr">
        <is>
          <t>chr1</t>
        </is>
      </c>
      <c r="B233" t="n">
        <v>115256641</v>
      </c>
      <c r="C233" t="inlineStr">
        <is>
          <t>T</t>
        </is>
      </c>
      <c r="D233" t="inlineStr">
        <is>
          <t>A</t>
        </is>
      </c>
      <c r="E233" t="inlineStr">
        <is>
          <t>rs12745199</t>
        </is>
      </c>
      <c r="F233" t="n">
        <v>-0.0167347346599999</v>
      </c>
      <c r="G233" t="n">
        <v>0.5051277641864369</v>
      </c>
      <c r="H233" t="n">
        <v>0.0274231576111118</v>
      </c>
      <c r="I233" t="n">
        <v>0.0189825576467001</v>
      </c>
      <c r="J233" t="n">
        <v>0.0248162342149902</v>
      </c>
      <c r="K233" t="n">
        <v>0.6092659368738843</v>
      </c>
      <c r="L233" t="b">
        <v>1</v>
      </c>
      <c r="M233" t="b">
        <v>0</v>
      </c>
      <c r="N233" t="inlineStr">
        <is>
          <t>ref</t>
        </is>
      </c>
      <c r="O233" t="n">
        <v>-35</v>
      </c>
      <c r="P233" t="n">
        <v>0.003357</v>
      </c>
      <c r="Q233" t="n">
        <v>40</v>
      </c>
      <c r="R233" t="n">
        <v>0.04807</v>
      </c>
      <c r="S233">
        <f>IMAGE("https://mitra.stanford.edu/kundaje/oak/projects/neuro-variants/variant_position/credible/roussos_2024/variant_figures/roussos_2024.childhood.GABA/rs12745199_count_position.png",4,220,900)</f>
        <v/>
      </c>
      <c r="T233">
        <f>IMAGE("https://mitra.stanford.edu/kundaje/oak/projects/neuro-variants/variant_position/credible/roussos_2024/variant_figures/roussos_2024.childhood.GABA/rs12745199_profile_position.png",4,220,900)</f>
        <v/>
      </c>
    </row>
    <row r="234">
      <c r="A234" t="inlineStr">
        <is>
          <t>chr1</t>
        </is>
      </c>
      <c r="B234" t="n">
        <v>150027806</v>
      </c>
      <c r="C234" t="inlineStr">
        <is>
          <t>T</t>
        </is>
      </c>
      <c r="D234" t="inlineStr">
        <is>
          <t>A</t>
        </is>
      </c>
      <c r="E234" t="inlineStr">
        <is>
          <t>rs6687454</t>
        </is>
      </c>
      <c r="F234" t="n">
        <v>-0.0037002072499999</v>
      </c>
      <c r="G234" t="n">
        <v>0.7792516520567464</v>
      </c>
      <c r="H234" t="n">
        <v>0.0208820807255957</v>
      </c>
      <c r="I234" t="n">
        <v>0.0622350539705638</v>
      </c>
      <c r="J234" t="n">
        <v>0.0022407907687796</v>
      </c>
      <c r="K234" t="n">
        <v>0.8900583084761425</v>
      </c>
      <c r="L234" t="b">
        <v>0</v>
      </c>
      <c r="M234" t="b">
        <v>0</v>
      </c>
      <c r="N234" t="inlineStr">
        <is>
          <t>ref</t>
        </is>
      </c>
      <c r="O234" t="n">
        <v>55</v>
      </c>
      <c r="P234" t="n">
        <v>0.010376</v>
      </c>
      <c r="Q234" t="n">
        <v>100</v>
      </c>
      <c r="R234" t="n">
        <v>0.08069999999999999</v>
      </c>
      <c r="S234">
        <f>IMAGE("https://mitra.stanford.edu/kundaje/oak/projects/neuro-variants/variant_position/credible/roussos_2024/variant_figures/roussos_2024.childhood.GABA/rs6687454_count_position.png",4,220,900)</f>
        <v/>
      </c>
      <c r="T234">
        <f>IMAGE("https://mitra.stanford.edu/kundaje/oak/projects/neuro-variants/variant_position/credible/roussos_2024/variant_figures/roussos_2024.childhood.GABA/rs6687454_profile_position.png",4,220,900)</f>
        <v/>
      </c>
    </row>
    <row r="235">
      <c r="A235" t="inlineStr">
        <is>
          <t>chr1</t>
        </is>
      </c>
      <c r="B235" t="n">
        <v>150036614</v>
      </c>
      <c r="C235" t="inlineStr">
        <is>
          <t>A</t>
        </is>
      </c>
      <c r="D235" t="inlineStr">
        <is>
          <t>G</t>
        </is>
      </c>
      <c r="E235" t="inlineStr">
        <is>
          <t>rs77391665</t>
        </is>
      </c>
      <c r="F235" t="n">
        <v>-0.169643413</v>
      </c>
      <c r="G235" t="n">
        <v>0.008667400104930599</v>
      </c>
      <c r="H235" t="n">
        <v>0.0350899773709313</v>
      </c>
      <c r="I235" t="n">
        <v>0.0110681946255879</v>
      </c>
      <c r="J235" t="n">
        <v>0.0701912001842892</v>
      </c>
      <c r="K235" t="n">
        <v>0.4225102249928789</v>
      </c>
      <c r="L235" t="b">
        <v>1</v>
      </c>
      <c r="M235" t="b">
        <v>1</v>
      </c>
      <c r="N235" t="inlineStr">
        <is>
          <t>ref</t>
        </is>
      </c>
      <c r="O235" t="n">
        <v>100</v>
      </c>
      <c r="P235" t="n">
        <v>0.01611</v>
      </c>
      <c r="Q235" t="n">
        <v>100</v>
      </c>
      <c r="R235" t="n">
        <v>0.06128</v>
      </c>
      <c r="S235">
        <f>IMAGE("https://mitra.stanford.edu/kundaje/oak/projects/neuro-variants/variant_position/credible/roussos_2024/variant_figures/roussos_2024.childhood.GABA/rs77391665_count_position.png",4,220,900)</f>
        <v/>
      </c>
      <c r="T235">
        <f>IMAGE("https://mitra.stanford.edu/kundaje/oak/projects/neuro-variants/variant_position/credible/roussos_2024/variant_figures/roussos_2024.childhood.GABA/rs77391665_profile_position.png",4,220,900)</f>
        <v/>
      </c>
    </row>
    <row r="236">
      <c r="A236" t="inlineStr">
        <is>
          <t>chr1</t>
        </is>
      </c>
      <c r="B236" t="n">
        <v>150041153</v>
      </c>
      <c r="C236" t="inlineStr">
        <is>
          <t>A</t>
        </is>
      </c>
      <c r="D236" t="inlineStr">
        <is>
          <t>C</t>
        </is>
      </c>
      <c r="E236" t="inlineStr">
        <is>
          <t>rs12063059</t>
        </is>
      </c>
      <c r="F236" t="n">
        <v>-0.0019355034399999</v>
      </c>
      <c r="G236" t="n">
        <v>0.8588870598077143</v>
      </c>
      <c r="H236" t="n">
        <v>0.0196035364557657</v>
      </c>
      <c r="I236" t="n">
        <v>0.081766119918447</v>
      </c>
      <c r="J236" t="n">
        <v>0.0033371028878975</v>
      </c>
      <c r="K236" t="n">
        <v>0.8416928883096657</v>
      </c>
      <c r="L236" t="b">
        <v>0</v>
      </c>
      <c r="M236" t="b">
        <v>0</v>
      </c>
      <c r="N236" t="inlineStr">
        <is>
          <t>ref</t>
        </is>
      </c>
      <c r="O236" t="n">
        <v>-55</v>
      </c>
      <c r="P236" t="n">
        <v>0.000977</v>
      </c>
      <c r="Q236" t="n">
        <v>-65</v>
      </c>
      <c r="R236" t="n">
        <v>0.04962</v>
      </c>
      <c r="S236">
        <f>IMAGE("https://mitra.stanford.edu/kundaje/oak/projects/neuro-variants/variant_position/credible/roussos_2024/variant_figures/roussos_2024.childhood.GABA/rs12063059_count_position.png",4,220,900)</f>
        <v/>
      </c>
      <c r="T236">
        <f>IMAGE("https://mitra.stanford.edu/kundaje/oak/projects/neuro-variants/variant_position/credible/roussos_2024/variant_figures/roussos_2024.childhood.GABA/rs12063059_profile_position.png",4,220,900)</f>
        <v/>
      </c>
    </row>
    <row r="237">
      <c r="A237" t="inlineStr">
        <is>
          <t>chr1</t>
        </is>
      </c>
      <c r="B237" t="n">
        <v>150043194</v>
      </c>
      <c r="C237" t="inlineStr">
        <is>
          <t>T</t>
        </is>
      </c>
      <c r="D237" t="inlineStr">
        <is>
          <t>G</t>
        </is>
      </c>
      <c r="E237" t="inlineStr">
        <is>
          <t>rs72692865</t>
        </is>
      </c>
      <c r="F237" t="n">
        <v>0.0958314228</v>
      </c>
      <c r="G237" t="n">
        <v>0.0309506771485419</v>
      </c>
      <c r="H237" t="n">
        <v>0.0203113834385954</v>
      </c>
      <c r="I237" t="n">
        <v>0.07091729007375119</v>
      </c>
      <c r="J237" t="n">
        <v>0.0066030030784695</v>
      </c>
      <c r="K237" t="n">
        <v>0.7885933997461267</v>
      </c>
      <c r="L237" t="b">
        <v>0</v>
      </c>
      <c r="M237" t="b">
        <v>0</v>
      </c>
      <c r="N237" t="inlineStr">
        <is>
          <t>alt</t>
        </is>
      </c>
      <c r="O237" t="n">
        <v>-100</v>
      </c>
      <c r="P237" t="n">
        <v>0.02626</v>
      </c>
      <c r="Q237" t="n">
        <v>25</v>
      </c>
      <c r="R237" t="n">
        <v>0.01874</v>
      </c>
      <c r="S237">
        <f>IMAGE("https://mitra.stanford.edu/kundaje/oak/projects/neuro-variants/variant_position/credible/roussos_2024/variant_figures/roussos_2024.childhood.GABA/rs72692865_count_position.png",4,220,900)</f>
        <v/>
      </c>
      <c r="T237">
        <f>IMAGE("https://mitra.stanford.edu/kundaje/oak/projects/neuro-variants/variant_position/credible/roussos_2024/variant_figures/roussos_2024.childhood.GABA/rs72692865_profile_position.png",4,220,900)</f>
        <v/>
      </c>
    </row>
    <row r="238">
      <c r="A238" t="inlineStr">
        <is>
          <t>chr1</t>
        </is>
      </c>
      <c r="B238" t="n">
        <v>150045258</v>
      </c>
      <c r="C238" t="inlineStr">
        <is>
          <t>A</t>
        </is>
      </c>
      <c r="D238" t="inlineStr">
        <is>
          <t>C</t>
        </is>
      </c>
      <c r="E238" t="inlineStr">
        <is>
          <t>rs72692866</t>
        </is>
      </c>
      <c r="F238" t="n">
        <v>0.0047333659919999</v>
      </c>
      <c r="G238" t="n">
        <v>0.7600912479086673</v>
      </c>
      <c r="H238" t="n">
        <v>0.0281035839684642</v>
      </c>
      <c r="I238" t="n">
        <v>0.0166606573208307</v>
      </c>
      <c r="J238" t="n">
        <v>0.0037821197461832</v>
      </c>
      <c r="K238" t="n">
        <v>0.8368201653128328</v>
      </c>
      <c r="L238" t="b">
        <v>0</v>
      </c>
      <c r="M238" t="b">
        <v>0</v>
      </c>
      <c r="N238" t="inlineStr">
        <is>
          <t>alt</t>
        </is>
      </c>
      <c r="O238" t="n">
        <v>-100</v>
      </c>
      <c r="P238" t="n">
        <v>0.09080000000000001</v>
      </c>
      <c r="Q238" t="n">
        <v>100</v>
      </c>
      <c r="R238" t="n">
        <v>0.0342</v>
      </c>
      <c r="S238">
        <f>IMAGE("https://mitra.stanford.edu/kundaje/oak/projects/neuro-variants/variant_position/credible/roussos_2024/variant_figures/roussos_2024.childhood.GABA/rs72692866_count_position.png",4,220,900)</f>
        <v/>
      </c>
      <c r="T238">
        <f>IMAGE("https://mitra.stanford.edu/kundaje/oak/projects/neuro-variants/variant_position/credible/roussos_2024/variant_figures/roussos_2024.childhood.GABA/rs72692866_profile_position.png",4,220,900)</f>
        <v/>
      </c>
    </row>
    <row r="239">
      <c r="A239" t="inlineStr">
        <is>
          <t>chr1</t>
        </is>
      </c>
      <c r="B239" t="n">
        <v>150047081</v>
      </c>
      <c r="C239" t="inlineStr">
        <is>
          <t>C</t>
        </is>
      </c>
      <c r="D239" t="inlineStr">
        <is>
          <t>A</t>
        </is>
      </c>
      <c r="E239" t="inlineStr">
        <is>
          <t>rs72692870</t>
        </is>
      </c>
      <c r="F239" t="n">
        <v>0.0107209753</v>
      </c>
      <c r="G239" t="n">
        <v>0.5997141620773859</v>
      </c>
      <c r="H239" t="n">
        <v>0.0279434364107651</v>
      </c>
      <c r="I239" t="n">
        <v>0.0173404320014976</v>
      </c>
      <c r="J239" t="n">
        <v>0.0236989801260706</v>
      </c>
      <c r="K239" t="n">
        <v>0.6283039354123752</v>
      </c>
      <c r="L239" t="b">
        <v>1</v>
      </c>
      <c r="M239" t="b">
        <v>0</v>
      </c>
      <c r="N239" t="inlineStr">
        <is>
          <t>alt</t>
        </is>
      </c>
      <c r="O239" t="n">
        <v>-80</v>
      </c>
      <c r="P239" t="n">
        <v>0.01797</v>
      </c>
      <c r="Q239" t="n">
        <v>20</v>
      </c>
      <c r="R239" t="n">
        <v>0.01497</v>
      </c>
      <c r="S239">
        <f>IMAGE("https://mitra.stanford.edu/kundaje/oak/projects/neuro-variants/variant_position/credible/roussos_2024/variant_figures/roussos_2024.childhood.GABA/rs72692870_count_position.png",4,220,900)</f>
        <v/>
      </c>
      <c r="T239">
        <f>IMAGE("https://mitra.stanford.edu/kundaje/oak/projects/neuro-variants/variant_position/credible/roussos_2024/variant_figures/roussos_2024.childhood.GABA/rs72692870_profile_position.png",4,220,900)</f>
        <v/>
      </c>
    </row>
    <row r="240">
      <c r="A240" t="inlineStr">
        <is>
          <t>chr1</t>
        </is>
      </c>
      <c r="B240" t="n">
        <v>150053395</v>
      </c>
      <c r="C240" t="inlineStr">
        <is>
          <t>T</t>
        </is>
      </c>
      <c r="D240" t="inlineStr">
        <is>
          <t>C</t>
        </is>
      </c>
      <c r="E240" t="inlineStr">
        <is>
          <t>rs12074281</t>
        </is>
      </c>
      <c r="F240" t="n">
        <v>-0.0061249108399999</v>
      </c>
      <c r="G240" t="n">
        <v>0.6685549638017584</v>
      </c>
      <c r="H240" t="n">
        <v>0.0277484026942549</v>
      </c>
      <c r="I240" t="n">
        <v>0.01756579701842</v>
      </c>
      <c r="J240" t="n">
        <v>0.004439697597956</v>
      </c>
      <c r="K240" t="n">
        <v>0.8335257245998339</v>
      </c>
      <c r="L240" t="b">
        <v>0</v>
      </c>
      <c r="M240" t="b">
        <v>0</v>
      </c>
      <c r="N240" t="inlineStr">
        <is>
          <t>ref</t>
        </is>
      </c>
      <c r="O240" t="n">
        <v>65</v>
      </c>
      <c r="P240" t="n">
        <v>0.008675</v>
      </c>
      <c r="Q240" t="n">
        <v>60</v>
      </c>
      <c r="R240" t="n">
        <v>0.04828</v>
      </c>
      <c r="S240">
        <f>IMAGE("https://mitra.stanford.edu/kundaje/oak/projects/neuro-variants/variant_position/credible/roussos_2024/variant_figures/roussos_2024.childhood.GABA/rs12074281_count_position.png",4,220,900)</f>
        <v/>
      </c>
      <c r="T240">
        <f>IMAGE("https://mitra.stanford.edu/kundaje/oak/projects/neuro-variants/variant_position/credible/roussos_2024/variant_figures/roussos_2024.childhood.GABA/rs12074281_profile_position.png",4,220,900)</f>
        <v/>
      </c>
    </row>
    <row r="241">
      <c r="A241" t="inlineStr">
        <is>
          <t>chr1</t>
        </is>
      </c>
      <c r="B241" t="n">
        <v>150086719</v>
      </c>
      <c r="C241" t="inlineStr">
        <is>
          <t>G</t>
        </is>
      </c>
      <c r="D241" t="inlineStr">
        <is>
          <t>A</t>
        </is>
      </c>
      <c r="E241" t="inlineStr">
        <is>
          <t>rs56212907</t>
        </is>
      </c>
      <c r="F241" t="n">
        <v>-0.087585074</v>
      </c>
      <c r="G241" t="n">
        <v>0.0414667927879191</v>
      </c>
      <c r="H241" t="n">
        <v>0.0158267069822362</v>
      </c>
      <c r="I241" t="n">
        <v>0.1909118174229984</v>
      </c>
      <c r="J241" t="n">
        <v>0.0156279449645033</v>
      </c>
      <c r="K241" t="n">
        <v>0.6928757792784729</v>
      </c>
      <c r="L241" t="b">
        <v>0</v>
      </c>
      <c r="M241" t="b">
        <v>0</v>
      </c>
      <c r="N241" t="inlineStr">
        <is>
          <t>ref</t>
        </is>
      </c>
      <c r="O241" t="n">
        <v>-65</v>
      </c>
      <c r="P241" t="n">
        <v>0.001877</v>
      </c>
      <c r="Q241" t="n">
        <v>10</v>
      </c>
      <c r="R241" t="n">
        <v>0.02222</v>
      </c>
      <c r="S241">
        <f>IMAGE("https://mitra.stanford.edu/kundaje/oak/projects/neuro-variants/variant_position/credible/roussos_2024/variant_figures/roussos_2024.childhood.GABA/rs56212907_count_position.png",4,220,900)</f>
        <v/>
      </c>
      <c r="T241">
        <f>IMAGE("https://mitra.stanford.edu/kundaje/oak/projects/neuro-variants/variant_position/credible/roussos_2024/variant_figures/roussos_2024.childhood.GABA/rs56212907_profile_position.png",4,220,900)</f>
        <v/>
      </c>
    </row>
    <row r="242">
      <c r="A242" t="inlineStr">
        <is>
          <t>chr1</t>
        </is>
      </c>
      <c r="B242" t="n">
        <v>150090550</v>
      </c>
      <c r="C242" t="inlineStr">
        <is>
          <t>C</t>
        </is>
      </c>
      <c r="D242" t="inlineStr">
        <is>
          <t>A</t>
        </is>
      </c>
      <c r="E242" t="inlineStr">
        <is>
          <t>rs72694905</t>
        </is>
      </c>
      <c r="F242" t="n">
        <v>-0.0009882542799999</v>
      </c>
      <c r="G242" t="n">
        <v>0.7219109351288594</v>
      </c>
      <c r="H242" t="n">
        <v>0.0295754966959462</v>
      </c>
      <c r="I242" t="n">
        <v>0.0137555905670117</v>
      </c>
      <c r="J242" t="n">
        <v>0.0069139913300244</v>
      </c>
      <c r="K242" t="n">
        <v>0.783792695264701</v>
      </c>
      <c r="L242" t="b">
        <v>0</v>
      </c>
      <c r="M242" t="b">
        <v>0</v>
      </c>
      <c r="N242" t="inlineStr">
        <is>
          <t>ref</t>
        </is>
      </c>
      <c r="O242" t="n">
        <v>20</v>
      </c>
      <c r="P242" t="n">
        <v>0.001896</v>
      </c>
      <c r="Q242" t="n">
        <v>100</v>
      </c>
      <c r="R242" t="n">
        <v>0.01563</v>
      </c>
      <c r="S242">
        <f>IMAGE("https://mitra.stanford.edu/kundaje/oak/projects/neuro-variants/variant_position/credible/roussos_2024/variant_figures/roussos_2024.childhood.GABA/rs72694905_count_position.png",4,220,900)</f>
        <v/>
      </c>
      <c r="T242">
        <f>IMAGE("https://mitra.stanford.edu/kundaje/oak/projects/neuro-variants/variant_position/credible/roussos_2024/variant_figures/roussos_2024.childhood.GABA/rs72694905_profile_position.png",4,220,900)</f>
        <v/>
      </c>
    </row>
    <row r="243">
      <c r="A243" t="inlineStr">
        <is>
          <t>chr1</t>
        </is>
      </c>
      <c r="B243" t="n">
        <v>150109454</v>
      </c>
      <c r="C243" t="inlineStr">
        <is>
          <t>A</t>
        </is>
      </c>
      <c r="D243" t="inlineStr">
        <is>
          <t>G</t>
        </is>
      </c>
      <c r="E243" t="inlineStr">
        <is>
          <t>rs72694928</t>
        </is>
      </c>
      <c r="F243" t="n">
        <v>0.0791210762</v>
      </c>
      <c r="G243" t="n">
        <v>0.0619810156846464</v>
      </c>
      <c r="H243" t="n">
        <v>0.0183990117515458</v>
      </c>
      <c r="I243" t="n">
        <v>0.1086970790049808</v>
      </c>
      <c r="J243" t="n">
        <v>0.1339228497832505</v>
      </c>
      <c r="K243" t="n">
        <v>0.3007630614573826</v>
      </c>
      <c r="L243" t="b">
        <v>0</v>
      </c>
      <c r="M243" t="b">
        <v>0</v>
      </c>
      <c r="N243" t="inlineStr">
        <is>
          <t>alt</t>
        </is>
      </c>
      <c r="O243" t="n">
        <v>15</v>
      </c>
      <c r="P243" t="n">
        <v>0.001134</v>
      </c>
      <c r="Q243" t="n">
        <v>25</v>
      </c>
      <c r="R243" t="n">
        <v>0.0808</v>
      </c>
      <c r="S243">
        <f>IMAGE("https://mitra.stanford.edu/kundaje/oak/projects/neuro-variants/variant_position/credible/roussos_2024/variant_figures/roussos_2024.childhood.GABA/rs72694928_count_position.png",4,220,900)</f>
        <v/>
      </c>
      <c r="T243">
        <f>IMAGE("https://mitra.stanford.edu/kundaje/oak/projects/neuro-variants/variant_position/credible/roussos_2024/variant_figures/roussos_2024.childhood.GABA/rs72694928_profile_position.png",4,220,900)</f>
        <v/>
      </c>
    </row>
    <row r="244">
      <c r="A244" t="inlineStr">
        <is>
          <t>chr1</t>
        </is>
      </c>
      <c r="B244" t="n">
        <v>150134673</v>
      </c>
      <c r="C244" t="inlineStr">
        <is>
          <t>T</t>
        </is>
      </c>
      <c r="D244" t="inlineStr">
        <is>
          <t>G</t>
        </is>
      </c>
      <c r="E244" t="inlineStr">
        <is>
          <t>rs56369603</t>
        </is>
      </c>
      <c r="F244" t="n">
        <v>0.0202608286</v>
      </c>
      <c r="G244" t="n">
        <v>0.4094313367109125</v>
      </c>
      <c r="H244" t="n">
        <v>0.0205239258094596</v>
      </c>
      <c r="I244" t="n">
        <v>0.0689476652527308</v>
      </c>
      <c r="J244" t="n">
        <v>0.0009130698833531001</v>
      </c>
      <c r="K244" t="n">
        <v>0.9255722172262631</v>
      </c>
      <c r="L244" t="b">
        <v>0</v>
      </c>
      <c r="M244" t="b">
        <v>0</v>
      </c>
      <c r="N244" t="inlineStr">
        <is>
          <t>alt</t>
        </is>
      </c>
      <c r="O244" t="n">
        <v>60</v>
      </c>
      <c r="P244" t="n">
        <v>0.005096</v>
      </c>
      <c r="Q244" t="n">
        <v>-100</v>
      </c>
      <c r="R244" t="n">
        <v>0.02478</v>
      </c>
      <c r="S244">
        <f>IMAGE("https://mitra.stanford.edu/kundaje/oak/projects/neuro-variants/variant_position/credible/roussos_2024/variant_figures/roussos_2024.childhood.GABA/rs56369603_count_position.png",4,220,900)</f>
        <v/>
      </c>
      <c r="T244">
        <f>IMAGE("https://mitra.stanford.edu/kundaje/oak/projects/neuro-variants/variant_position/credible/roussos_2024/variant_figures/roussos_2024.childhood.GABA/rs56369603_profile_position.png",4,220,900)</f>
        <v/>
      </c>
    </row>
    <row r="245">
      <c r="A245" t="inlineStr">
        <is>
          <t>chr1</t>
        </is>
      </c>
      <c r="B245" t="n">
        <v>150140312</v>
      </c>
      <c r="C245" t="inlineStr">
        <is>
          <t>C</t>
        </is>
      </c>
      <c r="D245" t="inlineStr">
        <is>
          <t>T</t>
        </is>
      </c>
      <c r="E245" t="inlineStr">
        <is>
          <t>rs72694944</t>
        </is>
      </c>
      <c r="F245" t="n">
        <v>-0.0510678483999999</v>
      </c>
      <c r="G245" t="n">
        <v>0.1456595101183425</v>
      </c>
      <c r="H245" t="n">
        <v>0.0165820672447993</v>
      </c>
      <c r="I245" t="n">
        <v>0.1584159245778353</v>
      </c>
      <c r="J245" t="n">
        <v>0.0134028606730748</v>
      </c>
      <c r="K245" t="n">
        <v>0.7028498297506042</v>
      </c>
      <c r="L245" t="b">
        <v>0</v>
      </c>
      <c r="M245" t="b">
        <v>0</v>
      </c>
      <c r="N245" t="inlineStr">
        <is>
          <t>ref</t>
        </is>
      </c>
      <c r="O245" t="n">
        <v>95</v>
      </c>
      <c r="P245" t="n">
        <v>0.00919</v>
      </c>
      <c r="Q245" t="n">
        <v>5</v>
      </c>
      <c r="R245" t="n">
        <v>0.001587</v>
      </c>
      <c r="S245">
        <f>IMAGE("https://mitra.stanford.edu/kundaje/oak/projects/neuro-variants/variant_position/credible/roussos_2024/variant_figures/roussos_2024.childhood.GABA/rs72694944_count_position.png",4,220,900)</f>
        <v/>
      </c>
      <c r="T245">
        <f>IMAGE("https://mitra.stanford.edu/kundaje/oak/projects/neuro-variants/variant_position/credible/roussos_2024/variant_figures/roussos_2024.childhood.GABA/rs72694944_profile_position.png",4,220,900)</f>
        <v/>
      </c>
    </row>
    <row r="246">
      <c r="A246" t="inlineStr">
        <is>
          <t>chr1</t>
        </is>
      </c>
      <c r="B246" t="n">
        <v>150174687</v>
      </c>
      <c r="C246" t="inlineStr">
        <is>
          <t>T</t>
        </is>
      </c>
      <c r="D246" t="inlineStr">
        <is>
          <t>A</t>
        </is>
      </c>
      <c r="E246" t="inlineStr">
        <is>
          <t>rs72694960</t>
        </is>
      </c>
      <c r="F246" t="n">
        <v>0.0011792515</v>
      </c>
      <c r="G246" t="n">
        <v>0.8386029953625163</v>
      </c>
      <c r="H246" t="n">
        <v>0.020450758147144</v>
      </c>
      <c r="I246" t="n">
        <v>0.0716565806669448</v>
      </c>
      <c r="J246" t="n">
        <v>0.0161724361793469</v>
      </c>
      <c r="K246" t="n">
        <v>0.6910583270110939</v>
      </c>
      <c r="L246" t="b">
        <v>0</v>
      </c>
      <c r="M246" t="b">
        <v>0</v>
      </c>
      <c r="N246" t="inlineStr">
        <is>
          <t>alt</t>
        </is>
      </c>
      <c r="O246" t="n">
        <v>100</v>
      </c>
      <c r="P246" t="n">
        <v>0.008835000000000001</v>
      </c>
      <c r="Q246" t="n">
        <v>100</v>
      </c>
      <c r="R246" t="n">
        <v>0.1848</v>
      </c>
      <c r="S246">
        <f>IMAGE("https://mitra.stanford.edu/kundaje/oak/projects/neuro-variants/variant_position/credible/roussos_2024/variant_figures/roussos_2024.childhood.GABA/rs72694960_count_position.png",4,220,900)</f>
        <v/>
      </c>
      <c r="T246">
        <f>IMAGE("https://mitra.stanford.edu/kundaje/oak/projects/neuro-variants/variant_position/credible/roussos_2024/variant_figures/roussos_2024.childhood.GABA/rs72694960_profile_position.png",4,220,900)</f>
        <v/>
      </c>
    </row>
    <row r="247">
      <c r="A247" t="inlineStr">
        <is>
          <t>chr1</t>
        </is>
      </c>
      <c r="B247" t="n">
        <v>151471857</v>
      </c>
      <c r="C247" t="inlineStr">
        <is>
          <t>G</t>
        </is>
      </c>
      <c r="D247" t="inlineStr">
        <is>
          <t>A</t>
        </is>
      </c>
      <c r="E247" t="inlineStr">
        <is>
          <t>rs11204824</t>
        </is>
      </c>
      <c r="F247" t="n">
        <v>0.00497357114</v>
      </c>
      <c r="G247" t="n">
        <v>0.770721184539815</v>
      </c>
      <c r="H247" t="n">
        <v>0.0160250367652545</v>
      </c>
      <c r="I247" t="n">
        <v>0.184929989647925</v>
      </c>
      <c r="J247" t="n">
        <v>0.0061035370986994</v>
      </c>
      <c r="K247" t="n">
        <v>0.7962536768329507</v>
      </c>
      <c r="L247" t="b">
        <v>0</v>
      </c>
      <c r="M247" t="b">
        <v>0</v>
      </c>
      <c r="N247" t="inlineStr">
        <is>
          <t>alt</t>
        </is>
      </c>
      <c r="O247" t="n">
        <v>65</v>
      </c>
      <c r="P247" t="n">
        <v>0.001709</v>
      </c>
      <c r="Q247" t="n">
        <v>-100</v>
      </c>
      <c r="R247" t="n">
        <v>0.06036</v>
      </c>
      <c r="S247">
        <f>IMAGE("https://mitra.stanford.edu/kundaje/oak/projects/neuro-variants/variant_position/credible/roussos_2024/variant_figures/roussos_2024.childhood.GABA/rs11204824_count_position.png",4,220,900)</f>
        <v/>
      </c>
      <c r="T247">
        <f>IMAGE("https://mitra.stanford.edu/kundaje/oak/projects/neuro-variants/variant_position/credible/roussos_2024/variant_figures/roussos_2024.childhood.GABA/rs11204824_profile_position.png",4,220,900)</f>
        <v/>
      </c>
    </row>
    <row r="248">
      <c r="A248" t="inlineStr">
        <is>
          <t>chr1</t>
        </is>
      </c>
      <c r="B248" t="n">
        <v>151473276</v>
      </c>
      <c r="C248" t="inlineStr">
        <is>
          <t>C</t>
        </is>
      </c>
      <c r="D248" t="inlineStr">
        <is>
          <t>T</t>
        </is>
      </c>
      <c r="E248" t="inlineStr">
        <is>
          <t>rs10888415</t>
        </is>
      </c>
      <c r="F248" t="n">
        <v>0.020769124</v>
      </c>
      <c r="G248" t="n">
        <v>0.4016000553616209</v>
      </c>
      <c r="H248" t="n">
        <v>0.0173180017791973</v>
      </c>
      <c r="I248" t="n">
        <v>0.1336690119032745</v>
      </c>
      <c r="J248" t="n">
        <v>0.3347186446357144</v>
      </c>
      <c r="K248" t="n">
        <v>0.1153980346215915</v>
      </c>
      <c r="L248" t="b">
        <v>0</v>
      </c>
      <c r="M248" t="b">
        <v>0</v>
      </c>
      <c r="N248" t="inlineStr">
        <is>
          <t>alt</t>
        </is>
      </c>
      <c r="O248" t="n">
        <v>100</v>
      </c>
      <c r="P248" t="n">
        <v>0.02206</v>
      </c>
      <c r="Q248" t="n">
        <v>100</v>
      </c>
      <c r="R248" t="n">
        <v>0.409</v>
      </c>
      <c r="S248">
        <f>IMAGE("https://mitra.stanford.edu/kundaje/oak/projects/neuro-variants/variant_position/credible/roussos_2024/variant_figures/roussos_2024.childhood.GABA/rs10888415_count_position.png",4,220,900)</f>
        <v/>
      </c>
      <c r="T248">
        <f>IMAGE("https://mitra.stanford.edu/kundaje/oak/projects/neuro-variants/variant_position/credible/roussos_2024/variant_figures/roussos_2024.childhood.GABA/rs10888415_profile_position.png",4,220,900)</f>
        <v/>
      </c>
    </row>
    <row r="249">
      <c r="A249" t="inlineStr">
        <is>
          <t>chr1</t>
        </is>
      </c>
      <c r="B249" t="n">
        <v>151611057</v>
      </c>
      <c r="C249" t="inlineStr">
        <is>
          <t>C</t>
        </is>
      </c>
      <c r="D249" t="inlineStr">
        <is>
          <t>A</t>
        </is>
      </c>
      <c r="E249" t="inlineStr">
        <is>
          <t>rs58479084</t>
        </is>
      </c>
      <c r="F249" t="n">
        <v>0.0187464162799999</v>
      </c>
      <c r="G249" t="n">
        <v>0.4270500067982817</v>
      </c>
      <c r="H249" t="n">
        <v>0.0501095517084124</v>
      </c>
      <c r="I249" t="n">
        <v>0.0017641083579355</v>
      </c>
      <c r="J249" t="n">
        <v>0.0495937257858473</v>
      </c>
      <c r="K249" t="n">
        <v>0.5117792575918513</v>
      </c>
      <c r="L249" t="b">
        <v>1</v>
      </c>
      <c r="M249" t="b">
        <v>0</v>
      </c>
      <c r="N249" t="inlineStr">
        <is>
          <t>alt</t>
        </is>
      </c>
      <c r="O249" t="n">
        <v>-65</v>
      </c>
      <c r="P249" t="n">
        <v>0.00891</v>
      </c>
      <c r="Q249" t="n">
        <v>-25</v>
      </c>
      <c r="R249" t="n">
        <v>0.2026</v>
      </c>
      <c r="S249">
        <f>IMAGE("https://mitra.stanford.edu/kundaje/oak/projects/neuro-variants/variant_position/credible/roussos_2024/variant_figures/roussos_2024.childhood.GABA/rs58479084_count_position.png",4,220,900)</f>
        <v/>
      </c>
      <c r="T249">
        <f>IMAGE("https://mitra.stanford.edu/kundaje/oak/projects/neuro-variants/variant_position/credible/roussos_2024/variant_figures/roussos_2024.childhood.GABA/rs58479084_profile_position.png",4,220,900)</f>
        <v/>
      </c>
    </row>
    <row r="250">
      <c r="A250" t="inlineStr">
        <is>
          <t>chr1</t>
        </is>
      </c>
      <c r="B250" t="n">
        <v>151637173</v>
      </c>
      <c r="C250" t="inlineStr">
        <is>
          <t>T</t>
        </is>
      </c>
      <c r="D250" t="inlineStr">
        <is>
          <t>G</t>
        </is>
      </c>
      <c r="E250" t="inlineStr">
        <is>
          <t>rs144529710</t>
        </is>
      </c>
      <c r="F250" t="n">
        <v>-0.0107536988</v>
      </c>
      <c r="G250" t="n">
        <v>0.614055934053647</v>
      </c>
      <c r="H250" t="n">
        <v>0.0380259104731755</v>
      </c>
      <c r="I250" t="n">
        <v>0.0047220065673433</v>
      </c>
      <c r="J250" t="n">
        <v>0.0175881133379405</v>
      </c>
      <c r="K250" t="n">
        <v>0.6749152110730205</v>
      </c>
      <c r="L250" t="b">
        <v>1</v>
      </c>
      <c r="M250" t="b">
        <v>0</v>
      </c>
      <c r="N250" t="inlineStr">
        <is>
          <t>ref</t>
        </is>
      </c>
      <c r="O250" t="n">
        <v>100</v>
      </c>
      <c r="P250" t="n">
        <v>0.014915</v>
      </c>
      <c r="Q250" t="n">
        <v>55</v>
      </c>
      <c r="R250" t="n">
        <v>0.03906</v>
      </c>
      <c r="S250">
        <f>IMAGE("https://mitra.stanford.edu/kundaje/oak/projects/neuro-variants/variant_position/credible/roussos_2024/variant_figures/roussos_2024.childhood.GABA/rs144529710_count_position.png",4,220,900)</f>
        <v/>
      </c>
      <c r="T250">
        <f>IMAGE("https://mitra.stanford.edu/kundaje/oak/projects/neuro-variants/variant_position/credible/roussos_2024/variant_figures/roussos_2024.childhood.GABA/rs144529710_profile_position.png",4,220,900)</f>
        <v/>
      </c>
    </row>
    <row r="251">
      <c r="A251" t="inlineStr">
        <is>
          <t>chr1</t>
        </is>
      </c>
      <c r="B251" t="n">
        <v>151657482</v>
      </c>
      <c r="C251" t="inlineStr">
        <is>
          <t>A</t>
        </is>
      </c>
      <c r="D251" t="inlineStr">
        <is>
          <t>G</t>
        </is>
      </c>
      <c r="E251" t="inlineStr">
        <is>
          <t>rs6690942</t>
        </is>
      </c>
      <c r="F251" t="n">
        <v>-0.1194158148</v>
      </c>
      <c r="G251" t="n">
        <v>0.0284781911710737</v>
      </c>
      <c r="H251" t="n">
        <v>0.0233019839288323</v>
      </c>
      <c r="I251" t="n">
        <v>0.0454896815483078</v>
      </c>
      <c r="J251" t="n">
        <v>0.0536700802077443</v>
      </c>
      <c r="K251" t="n">
        <v>0.4781528039985386</v>
      </c>
      <c r="L251" t="b">
        <v>0</v>
      </c>
      <c r="M251" t="b">
        <v>0</v>
      </c>
      <c r="N251" t="inlineStr">
        <is>
          <t>ref</t>
        </is>
      </c>
      <c r="O251" t="n">
        <v>100</v>
      </c>
      <c r="P251" t="n">
        <v>0.008630000000000001</v>
      </c>
      <c r="Q251" t="n">
        <v>55</v>
      </c>
      <c r="R251" t="n">
        <v>0.04993</v>
      </c>
      <c r="S251">
        <f>IMAGE("https://mitra.stanford.edu/kundaje/oak/projects/neuro-variants/variant_position/credible/roussos_2024/variant_figures/roussos_2024.childhood.GABA/rs6690942_count_position.png",4,220,900)</f>
        <v/>
      </c>
      <c r="T251">
        <f>IMAGE("https://mitra.stanford.edu/kundaje/oak/projects/neuro-variants/variant_position/credible/roussos_2024/variant_figures/roussos_2024.childhood.GABA/rs6690942_profile_position.png",4,220,900)</f>
        <v/>
      </c>
    </row>
    <row r="252">
      <c r="A252" t="inlineStr">
        <is>
          <t>chr1</t>
        </is>
      </c>
      <c r="B252" t="n">
        <v>151707487</v>
      </c>
      <c r="C252" t="inlineStr">
        <is>
          <t>C</t>
        </is>
      </c>
      <c r="D252" t="inlineStr">
        <is>
          <t>T</t>
        </is>
      </c>
      <c r="E252" t="inlineStr">
        <is>
          <t>rs2280473</t>
        </is>
      </c>
      <c r="F252" t="n">
        <v>-0.019137913</v>
      </c>
      <c r="G252" t="n">
        <v>0.4385651891723383</v>
      </c>
      <c r="H252" t="n">
        <v>0.0167185824548543</v>
      </c>
      <c r="I252" t="n">
        <v>0.1552750282629829</v>
      </c>
      <c r="J252" t="n">
        <v>0.5522680153295219</v>
      </c>
      <c r="K252" t="n">
        <v>0.0385711159475282</v>
      </c>
      <c r="L252" t="b">
        <v>0</v>
      </c>
      <c r="M252" t="b">
        <v>0</v>
      </c>
      <c r="N252" t="inlineStr">
        <is>
          <t>ref</t>
        </is>
      </c>
      <c r="O252" t="n">
        <v>-100</v>
      </c>
      <c r="P252" t="n">
        <v>0.01312</v>
      </c>
      <c r="Q252" t="n">
        <v>100</v>
      </c>
      <c r="R252" t="n">
        <v>0.09735000000000001</v>
      </c>
      <c r="S252">
        <f>IMAGE("https://mitra.stanford.edu/kundaje/oak/projects/neuro-variants/variant_position/credible/roussos_2024/variant_figures/roussos_2024.childhood.GABA/rs2280473_count_position.png",4,220,900)</f>
        <v/>
      </c>
      <c r="T252">
        <f>IMAGE("https://mitra.stanford.edu/kundaje/oak/projects/neuro-variants/variant_position/credible/roussos_2024/variant_figures/roussos_2024.childhood.GABA/rs2280473_profile_position.png",4,220,900)</f>
        <v/>
      </c>
    </row>
    <row r="253">
      <c r="A253" t="inlineStr">
        <is>
          <t>chr1</t>
        </is>
      </c>
      <c r="B253" t="n">
        <v>153898374</v>
      </c>
      <c r="C253" t="inlineStr">
        <is>
          <t>T</t>
        </is>
      </c>
      <c r="D253" t="inlineStr">
        <is>
          <t>C</t>
        </is>
      </c>
      <c r="E253" t="inlineStr">
        <is>
          <t>rs11800001</t>
        </is>
      </c>
      <c r="F253" t="n">
        <v>-0.0002661557459999</v>
      </c>
      <c r="G253" t="n">
        <v>0.860171921530102</v>
      </c>
      <c r="H253" t="n">
        <v>0.0186341224737187</v>
      </c>
      <c r="I253" t="n">
        <v>0.1009516971894461</v>
      </c>
      <c r="J253" t="n">
        <v>0.0068291763523276</v>
      </c>
      <c r="K253" t="n">
        <v>0.7904619393057946</v>
      </c>
      <c r="L253" t="b">
        <v>0</v>
      </c>
      <c r="M253" t="b">
        <v>0</v>
      </c>
      <c r="N253" t="inlineStr">
        <is>
          <t>ref</t>
        </is>
      </c>
      <c r="O253" t="n">
        <v>-80</v>
      </c>
      <c r="P253" t="n">
        <v>0.000977</v>
      </c>
      <c r="Q253" t="n">
        <v>-40</v>
      </c>
      <c r="R253" t="n">
        <v>0.02393</v>
      </c>
      <c r="S253">
        <f>IMAGE("https://mitra.stanford.edu/kundaje/oak/projects/neuro-variants/variant_position/credible/roussos_2024/variant_figures/roussos_2024.childhood.GABA/rs11800001_count_position.png",4,220,900)</f>
        <v/>
      </c>
      <c r="T253">
        <f>IMAGE("https://mitra.stanford.edu/kundaje/oak/projects/neuro-variants/variant_position/credible/roussos_2024/variant_figures/roussos_2024.childhood.GABA/rs11800001_profile_position.png",4,220,900)</f>
        <v/>
      </c>
    </row>
    <row r="254">
      <c r="A254" t="inlineStr">
        <is>
          <t>chr1</t>
        </is>
      </c>
      <c r="B254" t="n">
        <v>153902212</v>
      </c>
      <c r="C254" t="inlineStr">
        <is>
          <t>C</t>
        </is>
      </c>
      <c r="D254" t="inlineStr">
        <is>
          <t>T</t>
        </is>
      </c>
      <c r="E254" t="inlineStr">
        <is>
          <t>rs11264559</t>
        </is>
      </c>
      <c r="F254" t="n">
        <v>-0.0807527498</v>
      </c>
      <c r="G254" t="n">
        <v>0.0505044331929195</v>
      </c>
      <c r="H254" t="n">
        <v>0.0146942988564763</v>
      </c>
      <c r="I254" t="n">
        <v>0.2425208099220805</v>
      </c>
      <c r="J254" t="n">
        <v>0.0388002345500617</v>
      </c>
      <c r="K254" t="n">
        <v>0.5566707497386445</v>
      </c>
      <c r="L254" t="b">
        <v>0</v>
      </c>
      <c r="M254" t="b">
        <v>0</v>
      </c>
      <c r="N254" t="inlineStr">
        <is>
          <t>ref</t>
        </is>
      </c>
      <c r="O254" t="n">
        <v>100</v>
      </c>
      <c r="P254" t="n">
        <v>0.003021</v>
      </c>
      <c r="Q254" t="n">
        <v>-90</v>
      </c>
      <c r="R254" t="n">
        <v>0.01282</v>
      </c>
      <c r="S254">
        <f>IMAGE("https://mitra.stanford.edu/kundaje/oak/projects/neuro-variants/variant_position/credible/roussos_2024/variant_figures/roussos_2024.childhood.GABA/rs11264559_count_position.png",4,220,900)</f>
        <v/>
      </c>
      <c r="T254">
        <f>IMAGE("https://mitra.stanford.edu/kundaje/oak/projects/neuro-variants/variant_position/credible/roussos_2024/variant_figures/roussos_2024.childhood.GABA/rs11264559_profile_position.png",4,220,900)</f>
        <v/>
      </c>
    </row>
    <row r="255">
      <c r="A255" t="inlineStr">
        <is>
          <t>chr1</t>
        </is>
      </c>
      <c r="B255" t="n">
        <v>153907268</v>
      </c>
      <c r="C255" t="inlineStr">
        <is>
          <t>C</t>
        </is>
      </c>
      <c r="D255" t="inlineStr">
        <is>
          <t>T</t>
        </is>
      </c>
      <c r="E255" t="inlineStr">
        <is>
          <t>rs6671132</t>
        </is>
      </c>
      <c r="F255" t="n">
        <v>-0.08273201080000001</v>
      </c>
      <c r="G255" t="n">
        <v>0.0486209807047081</v>
      </c>
      <c r="H255" t="n">
        <v>0.0146541811229721</v>
      </c>
      <c r="I255" t="n">
        <v>0.2451371501987398</v>
      </c>
      <c r="J255" t="n">
        <v>0.08562229063265681</v>
      </c>
      <c r="K255" t="n">
        <v>0.3839307117873412</v>
      </c>
      <c r="L255" t="b">
        <v>0</v>
      </c>
      <c r="M255" t="b">
        <v>0</v>
      </c>
      <c r="N255" t="inlineStr">
        <is>
          <t>ref</t>
        </is>
      </c>
      <c r="O255" t="n">
        <v>-65</v>
      </c>
      <c r="P255" t="n">
        <v>0.001068</v>
      </c>
      <c r="Q255" t="n">
        <v>-70</v>
      </c>
      <c r="R255" t="n">
        <v>0.03735</v>
      </c>
      <c r="S255">
        <f>IMAGE("https://mitra.stanford.edu/kundaje/oak/projects/neuro-variants/variant_position/credible/roussos_2024/variant_figures/roussos_2024.childhood.GABA/rs6671132_count_position.png",4,220,900)</f>
        <v/>
      </c>
      <c r="T255">
        <f>IMAGE("https://mitra.stanford.edu/kundaje/oak/projects/neuro-variants/variant_position/credible/roussos_2024/variant_figures/roussos_2024.childhood.GABA/rs6671132_profile_position.png",4,220,900)</f>
        <v/>
      </c>
    </row>
    <row r="256">
      <c r="A256" t="inlineStr">
        <is>
          <t>chr1</t>
        </is>
      </c>
      <c r="B256" t="n">
        <v>153910068</v>
      </c>
      <c r="C256" t="inlineStr">
        <is>
          <t>A</t>
        </is>
      </c>
      <c r="D256" t="inlineStr">
        <is>
          <t>C</t>
        </is>
      </c>
      <c r="E256" t="inlineStr">
        <is>
          <t>rs10908525</t>
        </is>
      </c>
      <c r="F256" t="n">
        <v>0.0066226273684</v>
      </c>
      <c r="G256" t="n">
        <v>0.712080920130113</v>
      </c>
      <c r="H256" t="n">
        <v>0.0116318363721126</v>
      </c>
      <c r="I256" t="n">
        <v>0.4703842437621368</v>
      </c>
      <c r="J256" t="n">
        <v>0.0141232644342526</v>
      </c>
      <c r="K256" t="n">
        <v>0.7010612908665428</v>
      </c>
      <c r="L256" t="b">
        <v>0</v>
      </c>
      <c r="M256" t="b">
        <v>0</v>
      </c>
      <c r="N256" t="inlineStr">
        <is>
          <t>alt</t>
        </is>
      </c>
      <c r="O256" t="n">
        <v>-45</v>
      </c>
      <c r="P256" t="n">
        <v>0.004517</v>
      </c>
      <c r="Q256" t="n">
        <v>-90</v>
      </c>
      <c r="R256" t="n">
        <v>0.006226</v>
      </c>
      <c r="S256">
        <f>IMAGE("https://mitra.stanford.edu/kundaje/oak/projects/neuro-variants/variant_position/credible/roussos_2024/variant_figures/roussos_2024.childhood.GABA/rs10908525_count_position.png",4,220,900)</f>
        <v/>
      </c>
      <c r="T256">
        <f>IMAGE("https://mitra.stanford.edu/kundaje/oak/projects/neuro-variants/variant_position/credible/roussos_2024/variant_figures/roussos_2024.childhood.GABA/rs10908525_profile_position.png",4,220,900)</f>
        <v/>
      </c>
    </row>
    <row r="257">
      <c r="A257" t="inlineStr">
        <is>
          <t>chr1</t>
        </is>
      </c>
      <c r="B257" t="n">
        <v>153923736</v>
      </c>
      <c r="C257" t="inlineStr">
        <is>
          <t>A</t>
        </is>
      </c>
      <c r="D257" t="inlineStr">
        <is>
          <t>G</t>
        </is>
      </c>
      <c r="E257" t="inlineStr">
        <is>
          <t>rs4845357</t>
        </is>
      </c>
      <c r="F257" t="n">
        <v>0.12710413</v>
      </c>
      <c r="G257" t="n">
        <v>0.015540229247828</v>
      </c>
      <c r="H257" t="n">
        <v>0.0176227110561322</v>
      </c>
      <c r="I257" t="n">
        <v>0.1259263178178484</v>
      </c>
      <c r="J257" t="n">
        <v>0.7292559318129465</v>
      </c>
      <c r="K257" t="n">
        <v>0.0119721167835756</v>
      </c>
      <c r="L257" t="b">
        <v>1</v>
      </c>
      <c r="M257" t="b">
        <v>0</v>
      </c>
      <c r="N257" t="inlineStr">
        <is>
          <t>alt</t>
        </is>
      </c>
      <c r="O257" t="n">
        <v>100</v>
      </c>
      <c r="P257" t="n">
        <v>0.01455</v>
      </c>
      <c r="Q257" t="n">
        <v>-45</v>
      </c>
      <c r="R257" t="n">
        <v>0.06850000000000001</v>
      </c>
      <c r="S257">
        <f>IMAGE("https://mitra.stanford.edu/kundaje/oak/projects/neuro-variants/variant_position/credible/roussos_2024/variant_figures/roussos_2024.childhood.GABA/rs4845357_count_position.png",4,220,900)</f>
        <v/>
      </c>
      <c r="T257">
        <f>IMAGE("https://mitra.stanford.edu/kundaje/oak/projects/neuro-variants/variant_position/credible/roussos_2024/variant_figures/roussos_2024.childhood.GABA/rs4845357_profile_position.png",4,220,900)</f>
        <v/>
      </c>
    </row>
    <row r="258">
      <c r="A258" t="inlineStr">
        <is>
          <t>chr1</t>
        </is>
      </c>
      <c r="B258" t="n">
        <v>153926854</v>
      </c>
      <c r="C258" t="inlineStr">
        <is>
          <t>A</t>
        </is>
      </c>
      <c r="D258" t="inlineStr">
        <is>
          <t>C</t>
        </is>
      </c>
      <c r="E258" t="inlineStr">
        <is>
          <t>rs10796968</t>
        </is>
      </c>
      <c r="F258" t="n">
        <v>0.0299077696</v>
      </c>
      <c r="G258" t="n">
        <v>0.2930071029647215</v>
      </c>
      <c r="H258" t="n">
        <v>0.0209743875483353</v>
      </c>
      <c r="I258" t="n">
        <v>0.0731785415353524</v>
      </c>
      <c r="J258" t="n">
        <v>0.0342170844589641</v>
      </c>
      <c r="K258" t="n">
        <v>0.5839068073822913</v>
      </c>
      <c r="L258" t="b">
        <v>0</v>
      </c>
      <c r="M258" t="b">
        <v>0</v>
      </c>
      <c r="N258" t="inlineStr">
        <is>
          <t>alt</t>
        </is>
      </c>
      <c r="O258" t="n">
        <v>-100</v>
      </c>
      <c r="P258" t="n">
        <v>0.014404</v>
      </c>
      <c r="Q258" t="n">
        <v>-35</v>
      </c>
      <c r="R258" t="n">
        <v>0.01733</v>
      </c>
      <c r="S258">
        <f>IMAGE("https://mitra.stanford.edu/kundaje/oak/projects/neuro-variants/variant_position/credible/roussos_2024/variant_figures/roussos_2024.childhood.GABA/rs10796968_count_position.png",4,220,900)</f>
        <v/>
      </c>
      <c r="T258">
        <f>IMAGE("https://mitra.stanford.edu/kundaje/oak/projects/neuro-variants/variant_position/credible/roussos_2024/variant_figures/roussos_2024.childhood.GABA/rs10796968_profile_position.png",4,220,900)</f>
        <v/>
      </c>
    </row>
    <row r="259">
      <c r="A259" t="inlineStr">
        <is>
          <t>chr1</t>
        </is>
      </c>
      <c r="B259" t="n">
        <v>153928826</v>
      </c>
      <c r="C259" t="inlineStr">
        <is>
          <t>A</t>
        </is>
      </c>
      <c r="D259" t="inlineStr">
        <is>
          <t>G</t>
        </is>
      </c>
      <c r="E259" t="inlineStr">
        <is>
          <t>rs3748848</t>
        </is>
      </c>
      <c r="F259" t="n">
        <v>-0.165248116</v>
      </c>
      <c r="G259" t="n">
        <v>0.008630710351587301</v>
      </c>
      <c r="H259" t="n">
        <v>0.0321778245140813</v>
      </c>
      <c r="I259" t="n">
        <v>0.0123426210609664</v>
      </c>
      <c r="J259" t="n">
        <v>0.2951037674603672</v>
      </c>
      <c r="K259" t="n">
        <v>0.1391057853358913</v>
      </c>
      <c r="L259" t="b">
        <v>1</v>
      </c>
      <c r="M259" t="b">
        <v>1</v>
      </c>
      <c r="N259" t="inlineStr">
        <is>
          <t>ref</t>
        </is>
      </c>
      <c r="O259" t="n">
        <v>60</v>
      </c>
      <c r="P259" t="n">
        <v>0.001068</v>
      </c>
      <c r="Q259" t="n">
        <v>-70</v>
      </c>
      <c r="R259" t="n">
        <v>0.06067</v>
      </c>
      <c r="S259">
        <f>IMAGE("https://mitra.stanford.edu/kundaje/oak/projects/neuro-variants/variant_position/credible/roussos_2024/variant_figures/roussos_2024.childhood.GABA/rs3748848_count_position.png",4,220,900)</f>
        <v/>
      </c>
      <c r="T259">
        <f>IMAGE("https://mitra.stanford.edu/kundaje/oak/projects/neuro-variants/variant_position/credible/roussos_2024/variant_figures/roussos_2024.childhood.GABA/rs3748848_profile_position.png",4,220,900)</f>
        <v/>
      </c>
    </row>
    <row r="260">
      <c r="A260" t="inlineStr">
        <is>
          <t>chr1</t>
        </is>
      </c>
      <c r="B260" t="n">
        <v>153931738</v>
      </c>
      <c r="C260" t="inlineStr">
        <is>
          <t>T</t>
        </is>
      </c>
      <c r="D260" t="inlineStr">
        <is>
          <t>C</t>
        </is>
      </c>
      <c r="E260" t="inlineStr">
        <is>
          <t>rs11586593</t>
        </is>
      </c>
      <c r="F260" t="n">
        <v>0.0390392662</v>
      </c>
      <c r="G260" t="n">
        <v>0.1949949113685764</v>
      </c>
      <c r="H260" t="n">
        <v>0.016711442499678</v>
      </c>
      <c r="I260" t="n">
        <v>0.1522990899905192</v>
      </c>
      <c r="J260" t="n">
        <v>0.133579401478503</v>
      </c>
      <c r="K260" t="n">
        <v>0.3126235043218415</v>
      </c>
      <c r="L260" t="b">
        <v>0</v>
      </c>
      <c r="M260" t="b">
        <v>0</v>
      </c>
      <c r="N260" t="inlineStr">
        <is>
          <t>alt</t>
        </is>
      </c>
      <c r="O260" t="n">
        <v>-100</v>
      </c>
      <c r="P260" t="n">
        <v>0.025</v>
      </c>
      <c r="Q260" t="n">
        <v>35</v>
      </c>
      <c r="R260" t="n">
        <v>0.03778</v>
      </c>
      <c r="S260">
        <f>IMAGE("https://mitra.stanford.edu/kundaje/oak/projects/neuro-variants/variant_position/credible/roussos_2024/variant_figures/roussos_2024.childhood.GABA/rs11586593_count_position.png",4,220,900)</f>
        <v/>
      </c>
      <c r="T260">
        <f>IMAGE("https://mitra.stanford.edu/kundaje/oak/projects/neuro-variants/variant_position/credible/roussos_2024/variant_figures/roussos_2024.childhood.GABA/rs11586593_profile_position.png",4,220,900)</f>
        <v/>
      </c>
    </row>
    <row r="261">
      <c r="A261" t="inlineStr">
        <is>
          <t>chr1</t>
        </is>
      </c>
      <c r="B261" t="n">
        <v>153947280</v>
      </c>
      <c r="C261" t="inlineStr">
        <is>
          <t>T</t>
        </is>
      </c>
      <c r="D261" t="inlineStr">
        <is>
          <t>G</t>
        </is>
      </c>
      <c r="E261" t="inlineStr">
        <is>
          <t>rs946682</t>
        </is>
      </c>
      <c r="F261" t="n">
        <v>0.0291099022</v>
      </c>
      <c r="G261" t="n">
        <v>0.2899852921805904</v>
      </c>
      <c r="H261" t="n">
        <v>0.0106300486820768</v>
      </c>
      <c r="I261" t="n">
        <v>0.5456291374441643</v>
      </c>
      <c r="J261" t="n">
        <v>0.4910242717430001</v>
      </c>
      <c r="K261" t="n">
        <v>0.0544249780172544</v>
      </c>
      <c r="L261" t="b">
        <v>0</v>
      </c>
      <c r="M261" t="b">
        <v>0</v>
      </c>
      <c r="N261" t="inlineStr">
        <is>
          <t>alt</t>
        </is>
      </c>
      <c r="O261" t="n">
        <v>80</v>
      </c>
      <c r="P261" t="n">
        <v>0.00415</v>
      </c>
      <c r="Q261" t="n">
        <v>-100</v>
      </c>
      <c r="R261" t="n">
        <v>0.07104000000000001</v>
      </c>
      <c r="S261">
        <f>IMAGE("https://mitra.stanford.edu/kundaje/oak/projects/neuro-variants/variant_position/credible/roussos_2024/variant_figures/roussos_2024.childhood.GABA/rs946682_count_position.png",4,220,900)</f>
        <v/>
      </c>
      <c r="T261">
        <f>IMAGE("https://mitra.stanford.edu/kundaje/oak/projects/neuro-variants/variant_position/credible/roussos_2024/variant_figures/roussos_2024.childhood.GABA/rs946682_profile_position.png",4,220,900)</f>
        <v/>
      </c>
    </row>
    <row r="262">
      <c r="A262" t="inlineStr">
        <is>
          <t>chr1</t>
        </is>
      </c>
      <c r="B262" t="n">
        <v>163732741</v>
      </c>
      <c r="C262" t="inlineStr">
        <is>
          <t>G</t>
        </is>
      </c>
      <c r="D262" t="inlineStr">
        <is>
          <t>C</t>
        </is>
      </c>
      <c r="E262" t="inlineStr">
        <is>
          <t>rs10737494</t>
        </is>
      </c>
      <c r="F262" t="n">
        <v>0.0300411007999999</v>
      </c>
      <c r="G262" t="n">
        <v>0.282056327752527</v>
      </c>
      <c r="H262" t="n">
        <v>0.0169057334073449</v>
      </c>
      <c r="I262" t="n">
        <v>0.1496738516635949</v>
      </c>
      <c r="J262" t="n">
        <v>0.0003947561307616</v>
      </c>
      <c r="K262" t="n">
        <v>0.9491642904278584</v>
      </c>
      <c r="L262" t="b">
        <v>0</v>
      </c>
      <c r="M262" t="b">
        <v>0</v>
      </c>
      <c r="N262" t="inlineStr">
        <is>
          <t>alt</t>
        </is>
      </c>
      <c r="O262" t="n">
        <v>-75</v>
      </c>
      <c r="P262" t="n">
        <v>0.001495</v>
      </c>
      <c r="Q262" t="n">
        <v>-65</v>
      </c>
      <c r="R262" t="n">
        <v>0.06710000000000001</v>
      </c>
      <c r="S262">
        <f>IMAGE("https://mitra.stanford.edu/kundaje/oak/projects/neuro-variants/variant_position/credible/roussos_2024/variant_figures/roussos_2024.childhood.GABA/rs10737494_count_position.png",4,220,900)</f>
        <v/>
      </c>
      <c r="T262">
        <f>IMAGE("https://mitra.stanford.edu/kundaje/oak/projects/neuro-variants/variant_position/credible/roussos_2024/variant_figures/roussos_2024.childhood.GABA/rs10737494_profile_position.png",4,220,900)</f>
        <v/>
      </c>
    </row>
    <row r="263">
      <c r="A263" t="inlineStr">
        <is>
          <t>chr1</t>
        </is>
      </c>
      <c r="B263" t="n">
        <v>163739753</v>
      </c>
      <c r="C263" t="inlineStr">
        <is>
          <t>C</t>
        </is>
      </c>
      <c r="D263" t="inlineStr">
        <is>
          <t>T</t>
        </is>
      </c>
      <c r="E263" t="inlineStr">
        <is>
          <t>rs3963479</t>
        </is>
      </c>
      <c r="F263" t="n">
        <v>-0.0522005656</v>
      </c>
      <c r="G263" t="n">
        <v>0.1489554705624637</v>
      </c>
      <c r="H263" t="n">
        <v>0.025983756997637</v>
      </c>
      <c r="I263" t="n">
        <v>0.0257628161180865</v>
      </c>
      <c r="J263" t="n">
        <v>0.0051087935331196</v>
      </c>
      <c r="K263" t="n">
        <v>0.8086497718195564</v>
      </c>
      <c r="L263" t="b">
        <v>0</v>
      </c>
      <c r="M263" t="b">
        <v>0</v>
      </c>
      <c r="N263" t="inlineStr">
        <is>
          <t>ref</t>
        </is>
      </c>
      <c r="O263" t="n">
        <v>-50</v>
      </c>
      <c r="P263" t="n">
        <v>0.005302</v>
      </c>
      <c r="Q263" t="n">
        <v>-100</v>
      </c>
      <c r="R263" t="n">
        <v>0.04123</v>
      </c>
      <c r="S263">
        <f>IMAGE("https://mitra.stanford.edu/kundaje/oak/projects/neuro-variants/variant_position/credible/roussos_2024/variant_figures/roussos_2024.childhood.GABA/rs3963479_count_position.png",4,220,900)</f>
        <v/>
      </c>
      <c r="T263">
        <f>IMAGE("https://mitra.stanford.edu/kundaje/oak/projects/neuro-variants/variant_position/credible/roussos_2024/variant_figures/roussos_2024.childhood.GABA/rs3963479_profile_position.png",4,220,900)</f>
        <v/>
      </c>
    </row>
    <row r="264">
      <c r="A264" t="inlineStr">
        <is>
          <t>chr1</t>
        </is>
      </c>
      <c r="B264" t="n">
        <v>163745482</v>
      </c>
      <c r="C264" t="inlineStr">
        <is>
          <t>A</t>
        </is>
      </c>
      <c r="D264" t="inlineStr">
        <is>
          <t>G</t>
        </is>
      </c>
      <c r="E264" t="inlineStr">
        <is>
          <t>rs1932355</t>
        </is>
      </c>
      <c r="F264" t="n">
        <v>0.0902164442</v>
      </c>
      <c r="G264" t="n">
        <v>0.0426002498601275</v>
      </c>
      <c r="H264" t="n">
        <v>0.0253526968630429</v>
      </c>
      <c r="I264" t="n">
        <v>0.0268516966851345</v>
      </c>
      <c r="J264" t="n">
        <v>0.1358547464974555</v>
      </c>
      <c r="K264" t="n">
        <v>0.3005570520738709</v>
      </c>
      <c r="L264" t="b">
        <v>0</v>
      </c>
      <c r="M264" t="b">
        <v>0</v>
      </c>
      <c r="N264" t="inlineStr">
        <is>
          <t>alt</t>
        </is>
      </c>
      <c r="O264" t="n">
        <v>-90</v>
      </c>
      <c r="P264" t="n">
        <v>0.007626</v>
      </c>
      <c r="Q264" t="n">
        <v>45</v>
      </c>
      <c r="R264" t="n">
        <v>0.05225</v>
      </c>
      <c r="S264">
        <f>IMAGE("https://mitra.stanford.edu/kundaje/oak/projects/neuro-variants/variant_position/credible/roussos_2024/variant_figures/roussos_2024.childhood.GABA/rs1932355_count_position.png",4,220,900)</f>
        <v/>
      </c>
      <c r="T264">
        <f>IMAGE("https://mitra.stanford.edu/kundaje/oak/projects/neuro-variants/variant_position/credible/roussos_2024/variant_figures/roussos_2024.childhood.GABA/rs1932355_profile_position.png",4,220,900)</f>
        <v/>
      </c>
    </row>
    <row r="265">
      <c r="A265" t="inlineStr">
        <is>
          <t>chr1</t>
        </is>
      </c>
      <c r="B265" t="n">
        <v>163752441</v>
      </c>
      <c r="C265" t="inlineStr">
        <is>
          <t>T</t>
        </is>
      </c>
      <c r="D265" t="inlineStr">
        <is>
          <t>G</t>
        </is>
      </c>
      <c r="E265" t="inlineStr">
        <is>
          <t>rs6683086</t>
        </is>
      </c>
      <c r="F265" t="n">
        <v>0.011667522452</v>
      </c>
      <c r="G265" t="n">
        <v>0.5956400953763713</v>
      </c>
      <c r="H265" t="n">
        <v>0.0231125370053776</v>
      </c>
      <c r="I265" t="n">
        <v>0.040195885154863</v>
      </c>
      <c r="J265" t="n">
        <v>0.0056312956796716</v>
      </c>
      <c r="K265" t="n">
        <v>0.8051244480355746</v>
      </c>
      <c r="L265" t="b">
        <v>0</v>
      </c>
      <c r="M265" t="b">
        <v>0</v>
      </c>
      <c r="N265" t="inlineStr">
        <is>
          <t>alt</t>
        </is>
      </c>
      <c r="O265" t="n">
        <v>85</v>
      </c>
      <c r="P265" t="n">
        <v>0.0134</v>
      </c>
      <c r="Q265" t="n">
        <v>85</v>
      </c>
      <c r="R265" t="n">
        <v>0.00966</v>
      </c>
      <c r="S265">
        <f>IMAGE("https://mitra.stanford.edu/kundaje/oak/projects/neuro-variants/variant_position/credible/roussos_2024/variant_figures/roussos_2024.childhood.GABA/rs6683086_count_position.png",4,220,900)</f>
        <v/>
      </c>
      <c r="T265">
        <f>IMAGE("https://mitra.stanford.edu/kundaje/oak/projects/neuro-variants/variant_position/credible/roussos_2024/variant_figures/roussos_2024.childhood.GABA/rs6683086_profile_position.png",4,220,900)</f>
        <v/>
      </c>
    </row>
    <row r="266">
      <c r="A266" t="inlineStr">
        <is>
          <t>chr1</t>
        </is>
      </c>
      <c r="B266" t="n">
        <v>163764480</v>
      </c>
      <c r="C266" t="inlineStr">
        <is>
          <t>T</t>
        </is>
      </c>
      <c r="D266" t="inlineStr">
        <is>
          <t>A</t>
        </is>
      </c>
      <c r="E266" t="inlineStr">
        <is>
          <t>rs1934230</t>
        </is>
      </c>
      <c r="F266" t="n">
        <v>-0.0078923775199999</v>
      </c>
      <c r="G266" t="n">
        <v>0.7084042122411334</v>
      </c>
      <c r="H266" t="n">
        <v>0.02166925751379</v>
      </c>
      <c r="I266" t="n">
        <v>0.0538842187868238</v>
      </c>
      <c r="J266" t="n">
        <v>0.06933572071789069</v>
      </c>
      <c r="K266" t="n">
        <v>0.4263690010192829</v>
      </c>
      <c r="L266" t="b">
        <v>0</v>
      </c>
      <c r="M266" t="b">
        <v>0</v>
      </c>
      <c r="N266" t="inlineStr">
        <is>
          <t>ref</t>
        </is>
      </c>
      <c r="O266" t="n">
        <v>85</v>
      </c>
      <c r="P266" t="n">
        <v>0.0152</v>
      </c>
      <c r="Q266" t="n">
        <v>85</v>
      </c>
      <c r="R266" t="n">
        <v>0.2001</v>
      </c>
      <c r="S266">
        <f>IMAGE("https://mitra.stanford.edu/kundaje/oak/projects/neuro-variants/variant_position/credible/roussos_2024/variant_figures/roussos_2024.childhood.GABA/rs1934230_count_position.png",4,220,900)</f>
        <v/>
      </c>
      <c r="T266">
        <f>IMAGE("https://mitra.stanford.edu/kundaje/oak/projects/neuro-variants/variant_position/credible/roussos_2024/variant_figures/roussos_2024.childhood.GABA/rs1934230_profile_position.png",4,220,900)</f>
        <v/>
      </c>
    </row>
    <row r="267">
      <c r="A267" t="inlineStr">
        <is>
          <t>chr1</t>
        </is>
      </c>
      <c r="B267" t="n">
        <v>163775601</v>
      </c>
      <c r="C267" t="inlineStr">
        <is>
          <t>A</t>
        </is>
      </c>
      <c r="D267" t="inlineStr">
        <is>
          <t>G</t>
        </is>
      </c>
      <c r="E267" t="inlineStr">
        <is>
          <t>rs10799961</t>
        </is>
      </c>
      <c r="F267" t="n">
        <v>0.0895991522</v>
      </c>
      <c r="G267" t="n">
        <v>0.041156206472757</v>
      </c>
      <c r="H267" t="n">
        <v>0.0128818212113316</v>
      </c>
      <c r="I267" t="n">
        <v>0.3676580022188807</v>
      </c>
      <c r="J267" t="n">
        <v>0.1082144876547087</v>
      </c>
      <c r="K267" t="n">
        <v>0.3484550689132952</v>
      </c>
      <c r="L267" t="b">
        <v>0</v>
      </c>
      <c r="M267" t="b">
        <v>0</v>
      </c>
      <c r="N267" t="inlineStr">
        <is>
          <t>alt</t>
        </is>
      </c>
      <c r="O267" t="n">
        <v>-20</v>
      </c>
      <c r="P267" t="n">
        <v>0.001495</v>
      </c>
      <c r="Q267" t="n">
        <v>-25</v>
      </c>
      <c r="R267" t="n">
        <v>0.05176</v>
      </c>
      <c r="S267">
        <f>IMAGE("https://mitra.stanford.edu/kundaje/oak/projects/neuro-variants/variant_position/credible/roussos_2024/variant_figures/roussos_2024.childhood.GABA/rs10799961_count_position.png",4,220,900)</f>
        <v/>
      </c>
      <c r="T267">
        <f>IMAGE("https://mitra.stanford.edu/kundaje/oak/projects/neuro-variants/variant_position/credible/roussos_2024/variant_figures/roussos_2024.childhood.GABA/rs10799961_profile_position.png",4,220,900)</f>
        <v/>
      </c>
    </row>
    <row r="268">
      <c r="A268" t="inlineStr">
        <is>
          <t>chr1</t>
        </is>
      </c>
      <c r="B268" t="n">
        <v>163777858</v>
      </c>
      <c r="C268" t="inlineStr">
        <is>
          <t>A</t>
        </is>
      </c>
      <c r="D268" t="inlineStr">
        <is>
          <t>G</t>
        </is>
      </c>
      <c r="E268" t="inlineStr">
        <is>
          <t>rs3856207</t>
        </is>
      </c>
      <c r="F268" t="n">
        <v>-0.0122138226</v>
      </c>
      <c r="G268" t="n">
        <v>0.578705889950188</v>
      </c>
      <c r="H268" t="n">
        <v>0.0238760020450029</v>
      </c>
      <c r="I268" t="n">
        <v>0.0346768348625982</v>
      </c>
      <c r="J268" t="n">
        <v>0.0358317103306736</v>
      </c>
      <c r="K268" t="n">
        <v>0.5513986992912642</v>
      </c>
      <c r="L268" t="b">
        <v>0</v>
      </c>
      <c r="M268" t="b">
        <v>0</v>
      </c>
      <c r="N268" t="inlineStr">
        <is>
          <t>ref</t>
        </is>
      </c>
      <c r="O268" t="n">
        <v>80</v>
      </c>
      <c r="P268" t="n">
        <v>0.004765</v>
      </c>
      <c r="Q268" t="n">
        <v>-80</v>
      </c>
      <c r="R268" t="n">
        <v>0.01288</v>
      </c>
      <c r="S268">
        <f>IMAGE("https://mitra.stanford.edu/kundaje/oak/projects/neuro-variants/variant_position/credible/roussos_2024/variant_figures/roussos_2024.childhood.GABA/rs3856207_count_position.png",4,220,900)</f>
        <v/>
      </c>
      <c r="T268">
        <f>IMAGE("https://mitra.stanford.edu/kundaje/oak/projects/neuro-variants/variant_position/credible/roussos_2024/variant_figures/roussos_2024.childhood.GABA/rs3856207_profile_position.png",4,220,900)</f>
        <v/>
      </c>
    </row>
    <row r="269">
      <c r="A269" t="inlineStr">
        <is>
          <t>chr1</t>
        </is>
      </c>
      <c r="B269" t="n">
        <v>173645232</v>
      </c>
      <c r="C269" t="inlineStr">
        <is>
          <t>G</t>
        </is>
      </c>
      <c r="D269" t="inlineStr">
        <is>
          <t>T</t>
        </is>
      </c>
      <c r="E269" t="inlineStr">
        <is>
          <t>rs969029</t>
        </is>
      </c>
      <c r="F269" t="n">
        <v>0.0254650765199999</v>
      </c>
      <c r="G269" t="n">
        <v>0.3501962713804086</v>
      </c>
      <c r="H269" t="n">
        <v>0.0184424041033904</v>
      </c>
      <c r="I269" t="n">
        <v>0.1055462381318813</v>
      </c>
      <c r="J269" t="n">
        <v>0.00112353667986</v>
      </c>
      <c r="K269" t="n">
        <v>0.90825682012314</v>
      </c>
      <c r="L269" t="b">
        <v>0</v>
      </c>
      <c r="M269" t="b">
        <v>0</v>
      </c>
      <c r="N269" t="inlineStr">
        <is>
          <t>alt</t>
        </is>
      </c>
      <c r="O269" t="n">
        <v>-100</v>
      </c>
      <c r="P269" t="n">
        <v>0.08234</v>
      </c>
      <c r="Q269" t="n">
        <v>95</v>
      </c>
      <c r="R269" t="n">
        <v>0.0805</v>
      </c>
      <c r="S269">
        <f>IMAGE("https://mitra.stanford.edu/kundaje/oak/projects/neuro-variants/variant_position/credible/roussos_2024/variant_figures/roussos_2024.childhood.GABA/rs969029_count_position.png",4,220,900)</f>
        <v/>
      </c>
      <c r="T269">
        <f>IMAGE("https://mitra.stanford.edu/kundaje/oak/projects/neuro-variants/variant_position/credible/roussos_2024/variant_figures/roussos_2024.childhood.GABA/rs969029_profile_position.png",4,220,900)</f>
        <v/>
      </c>
    </row>
    <row r="270">
      <c r="A270" t="inlineStr">
        <is>
          <t>chr1</t>
        </is>
      </c>
      <c r="B270" t="n">
        <v>173725120</v>
      </c>
      <c r="C270" t="inlineStr">
        <is>
          <t>T</t>
        </is>
      </c>
      <c r="D270" t="inlineStr">
        <is>
          <t>G</t>
        </is>
      </c>
      <c r="E270" t="inlineStr">
        <is>
          <t>rs61826814</t>
        </is>
      </c>
      <c r="F270" t="n">
        <v>-0.01326900052</v>
      </c>
      <c r="G270" t="n">
        <v>0.4255733101772032</v>
      </c>
      <c r="H270" t="n">
        <v>0.0191650700476795</v>
      </c>
      <c r="I270" t="n">
        <v>0.0953407137758852</v>
      </c>
      <c r="J270" t="n">
        <v>0.025599463885573</v>
      </c>
      <c r="K270" t="n">
        <v>0.6057175611389203</v>
      </c>
      <c r="L270" t="b">
        <v>0</v>
      </c>
      <c r="M270" t="b">
        <v>0</v>
      </c>
      <c r="N270" t="inlineStr">
        <is>
          <t>ref</t>
        </is>
      </c>
      <c r="O270" t="n">
        <v>60</v>
      </c>
      <c r="P270" t="n">
        <v>0.002502</v>
      </c>
      <c r="Q270" t="n">
        <v>100</v>
      </c>
      <c r="R270" t="n">
        <v>0.1637</v>
      </c>
      <c r="S270">
        <f>IMAGE("https://mitra.stanford.edu/kundaje/oak/projects/neuro-variants/variant_position/credible/roussos_2024/variant_figures/roussos_2024.childhood.GABA/rs61826814_count_position.png",4,220,900)</f>
        <v/>
      </c>
      <c r="T270">
        <f>IMAGE("https://mitra.stanford.edu/kundaje/oak/projects/neuro-variants/variant_position/credible/roussos_2024/variant_figures/roussos_2024.childhood.GABA/rs61826814_profile_position.png",4,220,900)</f>
        <v/>
      </c>
    </row>
    <row r="271">
      <c r="A271" t="inlineStr">
        <is>
          <t>chr1</t>
        </is>
      </c>
      <c r="B271" t="n">
        <v>173805138</v>
      </c>
      <c r="C271" t="inlineStr">
        <is>
          <t>C</t>
        </is>
      </c>
      <c r="D271" t="inlineStr">
        <is>
          <t>A</t>
        </is>
      </c>
      <c r="E271" t="inlineStr">
        <is>
          <t>rs61827870</t>
        </is>
      </c>
      <c r="F271" t="n">
        <v>-0.0125239621599999</v>
      </c>
      <c r="G271" t="n">
        <v>0.5462254451437337</v>
      </c>
      <c r="H271" t="n">
        <v>0.0098059677093411</v>
      </c>
      <c r="I271" t="n">
        <v>0.6618993134906308</v>
      </c>
      <c r="J271" t="n">
        <v>0.0072385918619504</v>
      </c>
      <c r="K271" t="n">
        <v>0.7800914695767388</v>
      </c>
      <c r="L271" t="b">
        <v>0</v>
      </c>
      <c r="M271" t="b">
        <v>0</v>
      </c>
      <c r="N271" t="inlineStr">
        <is>
          <t>ref</t>
        </is>
      </c>
      <c r="O271" t="n">
        <v>-35</v>
      </c>
      <c r="P271" t="n">
        <v>0.001902</v>
      </c>
      <c r="Q271" t="n">
        <v>100</v>
      </c>
      <c r="R271" t="n">
        <v>0.03583</v>
      </c>
      <c r="S271">
        <f>IMAGE("https://mitra.stanford.edu/kundaje/oak/projects/neuro-variants/variant_position/credible/roussos_2024/variant_figures/roussos_2024.childhood.GABA/rs61827870_count_position.png",4,220,900)</f>
        <v/>
      </c>
      <c r="T271">
        <f>IMAGE("https://mitra.stanford.edu/kundaje/oak/projects/neuro-variants/variant_position/credible/roussos_2024/variant_figures/roussos_2024.childhood.GABA/rs61827870_profile_position.png",4,220,900)</f>
        <v/>
      </c>
    </row>
    <row r="272">
      <c r="A272" t="inlineStr">
        <is>
          <t>chr1</t>
        </is>
      </c>
      <c r="B272" t="n">
        <v>173835419</v>
      </c>
      <c r="C272" t="inlineStr">
        <is>
          <t>A</t>
        </is>
      </c>
      <c r="D272" t="inlineStr">
        <is>
          <t>C</t>
        </is>
      </c>
      <c r="E272" t="inlineStr">
        <is>
          <t>rs28804123</t>
        </is>
      </c>
      <c r="F272" t="n">
        <v>-0.1037292327999999</v>
      </c>
      <c r="G272" t="n">
        <v>0.0294766018912181</v>
      </c>
      <c r="H272" t="n">
        <v>0.0167406357400303</v>
      </c>
      <c r="I272" t="n">
        <v>0.1546060427169859</v>
      </c>
      <c r="J272" t="n">
        <v>0.0141264057297228</v>
      </c>
      <c r="K272" t="n">
        <v>0.7324992609053574</v>
      </c>
      <c r="L272" t="b">
        <v>0</v>
      </c>
      <c r="M272" t="b">
        <v>0</v>
      </c>
      <c r="N272" t="inlineStr">
        <is>
          <t>ref</t>
        </is>
      </c>
      <c r="O272" t="n">
        <v>100</v>
      </c>
      <c r="P272" t="n">
        <v>0.0607</v>
      </c>
      <c r="Q272" t="n">
        <v>-80</v>
      </c>
      <c r="R272" t="n">
        <v>0.0214</v>
      </c>
      <c r="S272">
        <f>IMAGE("https://mitra.stanford.edu/kundaje/oak/projects/neuro-variants/variant_position/credible/roussos_2024/variant_figures/roussos_2024.childhood.GABA/rs28804123_count_position.png",4,220,900)</f>
        <v/>
      </c>
      <c r="T272">
        <f>IMAGE("https://mitra.stanford.edu/kundaje/oak/projects/neuro-variants/variant_position/credible/roussos_2024/variant_figures/roussos_2024.childhood.GABA/rs28804123_profile_position.png",4,220,900)</f>
        <v/>
      </c>
    </row>
    <row r="273">
      <c r="A273" t="inlineStr">
        <is>
          <t>chr1</t>
        </is>
      </c>
      <c r="B273" t="n">
        <v>173855675</v>
      </c>
      <c r="C273" t="inlineStr">
        <is>
          <t>C</t>
        </is>
      </c>
      <c r="D273" t="inlineStr">
        <is>
          <t>T</t>
        </is>
      </c>
      <c r="E273" t="inlineStr">
        <is>
          <t>rs9425757</t>
        </is>
      </c>
      <c r="F273" t="n">
        <v>0.0041668085799999</v>
      </c>
      <c r="G273" t="n">
        <v>0.740083728803512</v>
      </c>
      <c r="H273" t="n">
        <v>0.025913230440128</v>
      </c>
      <c r="I273" t="n">
        <v>0.0240230932776686</v>
      </c>
      <c r="J273" t="n">
        <v>0.0280946995874431</v>
      </c>
      <c r="K273" t="n">
        <v>0.6155725382244148</v>
      </c>
      <c r="L273" t="b">
        <v>0</v>
      </c>
      <c r="M273" t="b">
        <v>0</v>
      </c>
      <c r="N273" t="inlineStr">
        <is>
          <t>alt</t>
        </is>
      </c>
      <c r="O273" t="n">
        <v>50</v>
      </c>
      <c r="P273" t="n">
        <v>0.0286</v>
      </c>
      <c r="Q273" t="n">
        <v>30</v>
      </c>
      <c r="R273" t="n">
        <v>0.02304</v>
      </c>
      <c r="S273">
        <f>IMAGE("https://mitra.stanford.edu/kundaje/oak/projects/neuro-variants/variant_position/credible/roussos_2024/variant_figures/roussos_2024.childhood.GABA/rs9425757_count_position.png",4,220,900)</f>
        <v/>
      </c>
      <c r="T273">
        <f>IMAGE("https://mitra.stanford.edu/kundaje/oak/projects/neuro-variants/variant_position/credible/roussos_2024/variant_figures/roussos_2024.childhood.GABA/rs9425757_profile_position.png",4,220,900)</f>
        <v/>
      </c>
    </row>
    <row r="274">
      <c r="A274" t="inlineStr">
        <is>
          <t>chr1</t>
        </is>
      </c>
      <c r="B274" t="n">
        <v>173878871</v>
      </c>
      <c r="C274" t="inlineStr">
        <is>
          <t>A</t>
        </is>
      </c>
      <c r="D274" t="inlineStr">
        <is>
          <t>G</t>
        </is>
      </c>
      <c r="E274" t="inlineStr">
        <is>
          <t>rs9425765</t>
        </is>
      </c>
      <c r="F274" t="n">
        <v>0.11051973</v>
      </c>
      <c r="G274" t="n">
        <v>0.0229604583019184</v>
      </c>
      <c r="H274" t="n">
        <v>0.0158405165673949</v>
      </c>
      <c r="I274" t="n">
        <v>0.1902482040079193</v>
      </c>
      <c r="J274" t="n">
        <v>0.0096814726393164</v>
      </c>
      <c r="K274" t="n">
        <v>0.7532735079047989</v>
      </c>
      <c r="L274" t="b">
        <v>0</v>
      </c>
      <c r="M274" t="b">
        <v>0</v>
      </c>
      <c r="N274" t="inlineStr">
        <is>
          <t>alt</t>
        </is>
      </c>
      <c r="O274" t="n">
        <v>100</v>
      </c>
      <c r="P274" t="n">
        <v>0.0644</v>
      </c>
      <c r="Q274" t="n">
        <v>65</v>
      </c>
      <c r="R274" t="n">
        <v>0.1328</v>
      </c>
      <c r="S274">
        <f>IMAGE("https://mitra.stanford.edu/kundaje/oak/projects/neuro-variants/variant_position/credible/roussos_2024/variant_figures/roussos_2024.childhood.GABA/rs9425765_count_position.png",4,220,900)</f>
        <v/>
      </c>
      <c r="T274">
        <f>IMAGE("https://mitra.stanford.edu/kundaje/oak/projects/neuro-variants/variant_position/credible/roussos_2024/variant_figures/roussos_2024.childhood.GABA/rs9425765_profile_position.png",4,220,900)</f>
        <v/>
      </c>
    </row>
    <row r="275">
      <c r="A275" t="inlineStr">
        <is>
          <t>chr1</t>
        </is>
      </c>
      <c r="B275" t="n">
        <v>173884136</v>
      </c>
      <c r="C275" t="inlineStr">
        <is>
          <t>C</t>
        </is>
      </c>
      <c r="D275" t="inlineStr">
        <is>
          <t>T</t>
        </is>
      </c>
      <c r="E275" t="inlineStr">
        <is>
          <t>rs60265316</t>
        </is>
      </c>
      <c r="F275" t="n">
        <v>-0.0149147841999999</v>
      </c>
      <c r="G275" t="n">
        <v>0.5078615295387109</v>
      </c>
      <c r="H275" t="n">
        <v>0.0157741472447002</v>
      </c>
      <c r="I275" t="n">
        <v>0.1893792755318681</v>
      </c>
      <c r="J275" t="n">
        <v>0.00087432723922</v>
      </c>
      <c r="K275" t="n">
        <v>0.91717773196218</v>
      </c>
      <c r="L275" t="b">
        <v>0</v>
      </c>
      <c r="M275" t="b">
        <v>0</v>
      </c>
      <c r="N275" t="inlineStr">
        <is>
          <t>ref</t>
        </is>
      </c>
      <c r="O275" t="n">
        <v>25</v>
      </c>
      <c r="P275" t="n">
        <v>0.0007935</v>
      </c>
      <c r="Q275" t="n">
        <v>100</v>
      </c>
      <c r="R275" t="n">
        <v>0.06370000000000001</v>
      </c>
      <c r="S275">
        <f>IMAGE("https://mitra.stanford.edu/kundaje/oak/projects/neuro-variants/variant_position/credible/roussos_2024/variant_figures/roussos_2024.childhood.GABA/rs60265316_count_position.png",4,220,900)</f>
        <v/>
      </c>
      <c r="T275">
        <f>IMAGE("https://mitra.stanford.edu/kundaje/oak/projects/neuro-variants/variant_position/credible/roussos_2024/variant_figures/roussos_2024.childhood.GABA/rs60265316_profile_position.png",4,220,900)</f>
        <v/>
      </c>
    </row>
    <row r="276">
      <c r="A276" t="inlineStr">
        <is>
          <t>chr1</t>
        </is>
      </c>
      <c r="B276" t="n">
        <v>173886160</v>
      </c>
      <c r="C276" t="inlineStr">
        <is>
          <t>A</t>
        </is>
      </c>
      <c r="D276" t="inlineStr">
        <is>
          <t>T</t>
        </is>
      </c>
      <c r="E276" t="inlineStr">
        <is>
          <t>rs1322775</t>
        </is>
      </c>
      <c r="F276" t="n">
        <v>0.005776145026</v>
      </c>
      <c r="G276" t="n">
        <v>0.5629739182202448</v>
      </c>
      <c r="H276" t="n">
        <v>0.0101709183025435</v>
      </c>
      <c r="I276" t="n">
        <v>0.6159616023254118</v>
      </c>
      <c r="J276" t="n">
        <v>0.2123829867437331</v>
      </c>
      <c r="K276" t="n">
        <v>0.2059133154070717</v>
      </c>
      <c r="L276" t="b">
        <v>0</v>
      </c>
      <c r="M276" t="b">
        <v>0</v>
      </c>
      <c r="N276" t="inlineStr">
        <is>
          <t>alt</t>
        </is>
      </c>
      <c r="O276" t="n">
        <v>65</v>
      </c>
      <c r="P276" t="n">
        <v>0.00632</v>
      </c>
      <c r="Q276" t="n">
        <v>30</v>
      </c>
      <c r="R276" t="n">
        <v>0.07495</v>
      </c>
      <c r="S276">
        <f>IMAGE("https://mitra.stanford.edu/kundaje/oak/projects/neuro-variants/variant_position/credible/roussos_2024/variant_figures/roussos_2024.childhood.GABA/rs1322775_count_position.png",4,220,900)</f>
        <v/>
      </c>
      <c r="T276">
        <f>IMAGE("https://mitra.stanford.edu/kundaje/oak/projects/neuro-variants/variant_position/credible/roussos_2024/variant_figures/roussos_2024.childhood.GABA/rs1322775_profile_position.png",4,220,900)</f>
        <v/>
      </c>
    </row>
    <row r="277">
      <c r="A277" t="inlineStr">
        <is>
          <t>chr1</t>
        </is>
      </c>
      <c r="B277" t="n">
        <v>173887899</v>
      </c>
      <c r="C277" t="inlineStr">
        <is>
          <t>C</t>
        </is>
      </c>
      <c r="D277" t="inlineStr">
        <is>
          <t>T</t>
        </is>
      </c>
      <c r="E277" t="inlineStr">
        <is>
          <t>rs7349095</t>
        </is>
      </c>
      <c r="F277" t="n">
        <v>-0.002122731552</v>
      </c>
      <c r="G277" t="n">
        <v>0.9072719835945892</v>
      </c>
      <c r="H277" t="n">
        <v>0.0236808824587363</v>
      </c>
      <c r="I277" t="n">
        <v>0.0363730400952911</v>
      </c>
      <c r="J277" t="n">
        <v>0.0116447823082238</v>
      </c>
      <c r="K277" t="n">
        <v>0.7214432485380273</v>
      </c>
      <c r="L277" t="b">
        <v>0</v>
      </c>
      <c r="M277" t="b">
        <v>0</v>
      </c>
      <c r="N277" t="inlineStr">
        <is>
          <t>ref</t>
        </is>
      </c>
      <c r="O277" t="n">
        <v>15</v>
      </c>
      <c r="P277" t="n">
        <v>0.000433</v>
      </c>
      <c r="Q277" t="n">
        <v>70</v>
      </c>
      <c r="R277" t="n">
        <v>0.0293</v>
      </c>
      <c r="S277">
        <f>IMAGE("https://mitra.stanford.edu/kundaje/oak/projects/neuro-variants/variant_position/credible/roussos_2024/variant_figures/roussos_2024.childhood.GABA/rs7349095_count_position.png",4,220,900)</f>
        <v/>
      </c>
      <c r="T277">
        <f>IMAGE("https://mitra.stanford.edu/kundaje/oak/projects/neuro-variants/variant_position/credible/roussos_2024/variant_figures/roussos_2024.childhood.GABA/rs7349095_profile_position.png",4,220,900)</f>
        <v/>
      </c>
    </row>
    <row r="278">
      <c r="A278" t="inlineStr">
        <is>
          <t>chr1</t>
        </is>
      </c>
      <c r="B278" t="n">
        <v>173896268</v>
      </c>
      <c r="C278" t="inlineStr">
        <is>
          <t>A</t>
        </is>
      </c>
      <c r="D278" t="inlineStr">
        <is>
          <t>G</t>
        </is>
      </c>
      <c r="E278" t="inlineStr">
        <is>
          <t>rs1322779</t>
        </is>
      </c>
      <c r="F278" t="n">
        <v>0.0116239765</v>
      </c>
      <c r="G278" t="n">
        <v>0.5607463633466315</v>
      </c>
      <c r="H278" t="n">
        <v>0.0220633792683101</v>
      </c>
      <c r="I278" t="n">
        <v>0.0497104553287746</v>
      </c>
      <c r="J278" t="n">
        <v>0.0046815773491654</v>
      </c>
      <c r="K278" t="n">
        <v>0.8309741437496981</v>
      </c>
      <c r="L278" t="b">
        <v>0</v>
      </c>
      <c r="M278" t="b">
        <v>0</v>
      </c>
      <c r="N278" t="inlineStr">
        <is>
          <t>alt</t>
        </is>
      </c>
      <c r="O278" t="n">
        <v>-70</v>
      </c>
      <c r="P278" t="n">
        <v>0.001358</v>
      </c>
      <c r="Q278" t="n">
        <v>80</v>
      </c>
      <c r="R278" t="n">
        <v>0.02441</v>
      </c>
      <c r="S278">
        <f>IMAGE("https://mitra.stanford.edu/kundaje/oak/projects/neuro-variants/variant_position/credible/roussos_2024/variant_figures/roussos_2024.childhood.GABA/rs1322779_count_position.png",4,220,900)</f>
        <v/>
      </c>
      <c r="T278">
        <f>IMAGE("https://mitra.stanford.edu/kundaje/oak/projects/neuro-variants/variant_position/credible/roussos_2024/variant_figures/roussos_2024.childhood.GABA/rs1322779_profile_position.png",4,220,900)</f>
        <v/>
      </c>
    </row>
    <row r="279">
      <c r="A279" t="inlineStr">
        <is>
          <t>chr1</t>
        </is>
      </c>
      <c r="B279" t="n">
        <v>173896523</v>
      </c>
      <c r="C279" t="inlineStr">
        <is>
          <t>T</t>
        </is>
      </c>
      <c r="D279" t="inlineStr">
        <is>
          <t>C</t>
        </is>
      </c>
      <c r="E279" t="inlineStr">
        <is>
          <t>rs9425434</t>
        </is>
      </c>
      <c r="F279" t="n">
        <v>0.0114259672</v>
      </c>
      <c r="G279" t="n">
        <v>0.5674041468780773</v>
      </c>
      <c r="H279" t="n">
        <v>0.0162228134471069</v>
      </c>
      <c r="I279" t="n">
        <v>0.1702813523262746</v>
      </c>
      <c r="J279" t="n">
        <v>0.00386693472388</v>
      </c>
      <c r="K279" t="n">
        <v>0.851753104613348</v>
      </c>
      <c r="L279" t="b">
        <v>0</v>
      </c>
      <c r="M279" t="b">
        <v>0</v>
      </c>
      <c r="N279" t="inlineStr">
        <is>
          <t>alt</t>
        </is>
      </c>
      <c r="O279" t="n">
        <v>-90</v>
      </c>
      <c r="P279" t="n">
        <v>0.002548</v>
      </c>
      <c r="Q279" t="n">
        <v>-70</v>
      </c>
      <c r="R279" t="n">
        <v>0.06354</v>
      </c>
      <c r="S279">
        <f>IMAGE("https://mitra.stanford.edu/kundaje/oak/projects/neuro-variants/variant_position/credible/roussos_2024/variant_figures/roussos_2024.childhood.GABA/rs9425434_count_position.png",4,220,900)</f>
        <v/>
      </c>
      <c r="T279">
        <f>IMAGE("https://mitra.stanford.edu/kundaje/oak/projects/neuro-variants/variant_position/credible/roussos_2024/variant_figures/roussos_2024.childhood.GABA/rs9425434_profile_position.png",4,220,900)</f>
        <v/>
      </c>
    </row>
    <row r="280">
      <c r="A280" t="inlineStr">
        <is>
          <t>chr1</t>
        </is>
      </c>
      <c r="B280" t="n">
        <v>173900220</v>
      </c>
      <c r="C280" t="inlineStr">
        <is>
          <t>T</t>
        </is>
      </c>
      <c r="D280" t="inlineStr">
        <is>
          <t>C</t>
        </is>
      </c>
      <c r="E280" t="inlineStr">
        <is>
          <t>rs73039035</t>
        </is>
      </c>
      <c r="F280" t="n">
        <v>0.0127503361399999</v>
      </c>
      <c r="G280" t="n">
        <v>0.5468691272898453</v>
      </c>
      <c r="H280" t="n">
        <v>0.0216322501802564</v>
      </c>
      <c r="I280" t="n">
        <v>0.0555162451838809</v>
      </c>
      <c r="J280" t="n">
        <v>0.0148551862788213</v>
      </c>
      <c r="K280" t="n">
        <v>0.6944742490676132</v>
      </c>
      <c r="L280" t="b">
        <v>0</v>
      </c>
      <c r="M280" t="b">
        <v>0</v>
      </c>
      <c r="N280" t="inlineStr">
        <is>
          <t>alt</t>
        </is>
      </c>
      <c r="O280" t="n">
        <v>-90</v>
      </c>
      <c r="P280" t="n">
        <v>0.01117</v>
      </c>
      <c r="Q280" t="n">
        <v>-40</v>
      </c>
      <c r="R280" t="n">
        <v>0.11816</v>
      </c>
      <c r="S280">
        <f>IMAGE("https://mitra.stanford.edu/kundaje/oak/projects/neuro-variants/variant_position/credible/roussos_2024/variant_figures/roussos_2024.childhood.GABA/rs73039035_count_position.png",4,220,900)</f>
        <v/>
      </c>
      <c r="T280">
        <f>IMAGE("https://mitra.stanford.edu/kundaje/oak/projects/neuro-variants/variant_position/credible/roussos_2024/variant_figures/roussos_2024.childhood.GABA/rs73039035_profile_position.png",4,220,900)</f>
        <v/>
      </c>
    </row>
    <row r="281">
      <c r="A281" t="inlineStr">
        <is>
          <t>chr1</t>
        </is>
      </c>
      <c r="B281" t="n">
        <v>173912733</v>
      </c>
      <c r="C281" t="inlineStr">
        <is>
          <t>C</t>
        </is>
      </c>
      <c r="D281" t="inlineStr">
        <is>
          <t>T</t>
        </is>
      </c>
      <c r="E281" t="inlineStr">
        <is>
          <t>rs941989</t>
        </is>
      </c>
      <c r="F281" t="n">
        <v>0.01452178748</v>
      </c>
      <c r="G281" t="n">
        <v>0.4607811375118141</v>
      </c>
      <c r="H281" t="n">
        <v>0.0227400079161451</v>
      </c>
      <c r="I281" t="n">
        <v>0.0432149277152699</v>
      </c>
      <c r="J281" t="n">
        <v>0.1005099369646708</v>
      </c>
      <c r="K281" t="n">
        <v>0.3594971904809797</v>
      </c>
      <c r="L281" t="b">
        <v>0</v>
      </c>
      <c r="M281" t="b">
        <v>0</v>
      </c>
      <c r="N281" t="inlineStr">
        <is>
          <t>alt</t>
        </is>
      </c>
      <c r="O281" t="n">
        <v>30</v>
      </c>
      <c r="P281" t="n">
        <v>0.0029</v>
      </c>
      <c r="Q281" t="n">
        <v>-35</v>
      </c>
      <c r="R281" t="n">
        <v>0.02368</v>
      </c>
      <c r="S281">
        <f>IMAGE("https://mitra.stanford.edu/kundaje/oak/projects/neuro-variants/variant_position/credible/roussos_2024/variant_figures/roussos_2024.childhood.GABA/rs941989_count_position.png",4,220,900)</f>
        <v/>
      </c>
      <c r="T281">
        <f>IMAGE("https://mitra.stanford.edu/kundaje/oak/projects/neuro-variants/variant_position/credible/roussos_2024/variant_figures/roussos_2024.childhood.GABA/rs941989_profile_position.png",4,220,900)</f>
        <v/>
      </c>
    </row>
    <row r="282">
      <c r="A282" t="inlineStr">
        <is>
          <t>chr1</t>
        </is>
      </c>
      <c r="B282" t="n">
        <v>173916398</v>
      </c>
      <c r="C282" t="inlineStr">
        <is>
          <t>G</t>
        </is>
      </c>
      <c r="D282" t="inlineStr">
        <is>
          <t>T</t>
        </is>
      </c>
      <c r="E282" t="inlineStr">
        <is>
          <t>rs2227593</t>
        </is>
      </c>
      <c r="F282" t="n">
        <v>-0.0375525202</v>
      </c>
      <c r="G282" t="n">
        <v>0.2370414439696291</v>
      </c>
      <c r="H282" t="n">
        <v>0.0090513744378192</v>
      </c>
      <c r="I282" t="n">
        <v>0.7495319170192133</v>
      </c>
      <c r="J282" t="n">
        <v>0.1442294402211471</v>
      </c>
      <c r="K282" t="n">
        <v>0.2913271324023823</v>
      </c>
      <c r="L282" t="b">
        <v>0</v>
      </c>
      <c r="M282" t="b">
        <v>0</v>
      </c>
      <c r="N282" t="inlineStr">
        <is>
          <t>ref</t>
        </is>
      </c>
      <c r="O282" t="n">
        <v>-100</v>
      </c>
      <c r="P282" t="n">
        <v>0.003115</v>
      </c>
      <c r="Q282" t="n">
        <v>-50</v>
      </c>
      <c r="R282" t="n">
        <v>0.04517</v>
      </c>
      <c r="S282">
        <f>IMAGE("https://mitra.stanford.edu/kundaje/oak/projects/neuro-variants/variant_position/credible/roussos_2024/variant_figures/roussos_2024.childhood.GABA/rs2227593_count_position.png",4,220,900)</f>
        <v/>
      </c>
      <c r="T282">
        <f>IMAGE("https://mitra.stanford.edu/kundaje/oak/projects/neuro-variants/variant_position/credible/roussos_2024/variant_figures/roussos_2024.childhood.GABA/rs2227593_profile_position.png",4,220,900)</f>
        <v/>
      </c>
    </row>
    <row r="283">
      <c r="A283" t="inlineStr">
        <is>
          <t>chr1</t>
        </is>
      </c>
      <c r="B283" t="n">
        <v>173981144</v>
      </c>
      <c r="C283" t="inlineStr">
        <is>
          <t>T</t>
        </is>
      </c>
      <c r="D283" t="inlineStr">
        <is>
          <t>C</t>
        </is>
      </c>
      <c r="E283" t="inlineStr">
        <is>
          <t>rs1884994</t>
        </is>
      </c>
      <c r="F283" t="n">
        <v>0.00481132404</v>
      </c>
      <c r="G283" t="n">
        <v>0.697495166879185</v>
      </c>
      <c r="H283" t="n">
        <v>0.0228889570281946</v>
      </c>
      <c r="I283" t="n">
        <v>0.0419614299983674</v>
      </c>
      <c r="J283" t="n">
        <v>0.0295459780946995</v>
      </c>
      <c r="K283" t="n">
        <v>0.5790852029954027</v>
      </c>
      <c r="L283" t="b">
        <v>0</v>
      </c>
      <c r="M283" t="b">
        <v>0</v>
      </c>
      <c r="N283" t="inlineStr">
        <is>
          <t>alt</t>
        </is>
      </c>
      <c r="O283" t="n">
        <v>60</v>
      </c>
      <c r="P283" t="n">
        <v>0.006577</v>
      </c>
      <c r="Q283" t="n">
        <v>-75</v>
      </c>
      <c r="R283" t="n">
        <v>0.0895</v>
      </c>
      <c r="S283">
        <f>IMAGE("https://mitra.stanford.edu/kundaje/oak/projects/neuro-variants/variant_position/credible/roussos_2024/variant_figures/roussos_2024.childhood.GABA/rs1884994_count_position.png",4,220,900)</f>
        <v/>
      </c>
      <c r="T283">
        <f>IMAGE("https://mitra.stanford.edu/kundaje/oak/projects/neuro-variants/variant_position/credible/roussos_2024/variant_figures/roussos_2024.childhood.GABA/rs1884994_profile_position.png",4,220,900)</f>
        <v/>
      </c>
    </row>
    <row r="284">
      <c r="A284" t="inlineStr">
        <is>
          <t>chr1</t>
        </is>
      </c>
      <c r="B284" t="n">
        <v>174046493</v>
      </c>
      <c r="C284" t="inlineStr">
        <is>
          <t>T</t>
        </is>
      </c>
      <c r="D284" t="inlineStr">
        <is>
          <t>C</t>
        </is>
      </c>
      <c r="E284" t="inlineStr">
        <is>
          <t>rs6696163</t>
        </is>
      </c>
      <c r="F284" t="n">
        <v>0.0378437848</v>
      </c>
      <c r="G284" t="n">
        <v>0.2136108189950862</v>
      </c>
      <c r="H284" t="n">
        <v>0.0109988457362474</v>
      </c>
      <c r="I284" t="n">
        <v>0.5380578336728562</v>
      </c>
      <c r="J284" t="n">
        <v>0.0018188100772758</v>
      </c>
      <c r="K284" t="n">
        <v>0.8963265939792704</v>
      </c>
      <c r="L284" t="b">
        <v>0</v>
      </c>
      <c r="M284" t="b">
        <v>0</v>
      </c>
      <c r="N284" t="inlineStr">
        <is>
          <t>alt</t>
        </is>
      </c>
      <c r="O284" t="n">
        <v>0</v>
      </c>
      <c r="P284" t="n">
        <v>0</v>
      </c>
      <c r="Q284" t="n">
        <v>85</v>
      </c>
      <c r="R284" t="n">
        <v>0.04333</v>
      </c>
      <c r="S284">
        <f>IMAGE("https://mitra.stanford.edu/kundaje/oak/projects/neuro-variants/variant_position/credible/roussos_2024/variant_figures/roussos_2024.childhood.GABA/rs6696163_count_position.png",4,220,900)</f>
        <v/>
      </c>
      <c r="T284">
        <f>IMAGE("https://mitra.stanford.edu/kundaje/oak/projects/neuro-variants/variant_position/credible/roussos_2024/variant_figures/roussos_2024.childhood.GABA/rs6696163_profile_position.png",4,220,900)</f>
        <v/>
      </c>
    </row>
    <row r="285">
      <c r="A285" t="inlineStr">
        <is>
          <t>chr1</t>
        </is>
      </c>
      <c r="B285" t="n">
        <v>174052172</v>
      </c>
      <c r="C285" t="inlineStr">
        <is>
          <t>G</t>
        </is>
      </c>
      <c r="D285" t="inlineStr">
        <is>
          <t>C</t>
        </is>
      </c>
      <c r="E285" t="inlineStr">
        <is>
          <t>rs12092774</t>
        </is>
      </c>
      <c r="F285" t="n">
        <v>0.0948660944</v>
      </c>
      <c r="G285" t="n">
        <v>0.0332623105389938</v>
      </c>
      <c r="H285" t="n">
        <v>0.0178332889037638</v>
      </c>
      <c r="I285" t="n">
        <v>0.1209824625011001</v>
      </c>
      <c r="J285" t="n">
        <v>0.289925865426902</v>
      </c>
      <c r="K285" t="n">
        <v>0.142524218575532</v>
      </c>
      <c r="L285" t="b">
        <v>0</v>
      </c>
      <c r="M285" t="b">
        <v>0</v>
      </c>
      <c r="N285" t="inlineStr">
        <is>
          <t>alt</t>
        </is>
      </c>
      <c r="O285" t="n">
        <v>75</v>
      </c>
      <c r="P285" t="n">
        <v>0.008200000000000001</v>
      </c>
      <c r="Q285" t="n">
        <v>5</v>
      </c>
      <c r="R285" t="n">
        <v>0.00928</v>
      </c>
      <c r="S285">
        <f>IMAGE("https://mitra.stanford.edu/kundaje/oak/projects/neuro-variants/variant_position/credible/roussos_2024/variant_figures/roussos_2024.childhood.GABA/rs12092774_count_position.png",4,220,900)</f>
        <v/>
      </c>
      <c r="T285">
        <f>IMAGE("https://mitra.stanford.edu/kundaje/oak/projects/neuro-variants/variant_position/credible/roussos_2024/variant_figures/roussos_2024.childhood.GABA/rs12092774_profile_position.png",4,220,900)</f>
        <v/>
      </c>
    </row>
    <row r="286">
      <c r="A286" t="inlineStr">
        <is>
          <t>chr1</t>
        </is>
      </c>
      <c r="B286" t="n">
        <v>174055925</v>
      </c>
      <c r="C286" t="inlineStr">
        <is>
          <t>G</t>
        </is>
      </c>
      <c r="D286" t="inlineStr">
        <is>
          <t>T</t>
        </is>
      </c>
      <c r="E286" t="inlineStr">
        <is>
          <t>rs77574979</t>
        </is>
      </c>
      <c r="F286" t="n">
        <v>0.0319542486</v>
      </c>
      <c r="G286" t="n">
        <v>0.2625033800720156</v>
      </c>
      <c r="H286" t="n">
        <v>0.0124662849460581</v>
      </c>
      <c r="I286" t="n">
        <v>0.3916996828158243</v>
      </c>
      <c r="J286" t="n">
        <v>0.2835752130845427</v>
      </c>
      <c r="K286" t="n">
        <v>0.1523540791080801</v>
      </c>
      <c r="L286" t="b">
        <v>0</v>
      </c>
      <c r="M286" t="b">
        <v>0</v>
      </c>
      <c r="N286" t="inlineStr">
        <is>
          <t>alt</t>
        </is>
      </c>
      <c r="O286" t="n">
        <v>-100</v>
      </c>
      <c r="P286" t="n">
        <v>0.001639</v>
      </c>
      <c r="Q286" t="n">
        <v>-55</v>
      </c>
      <c r="R286" t="n">
        <v>0.1597</v>
      </c>
      <c r="S286">
        <f>IMAGE("https://mitra.stanford.edu/kundaje/oak/projects/neuro-variants/variant_position/credible/roussos_2024/variant_figures/roussos_2024.childhood.GABA/rs77574979_count_position.png",4,220,900)</f>
        <v/>
      </c>
      <c r="T286">
        <f>IMAGE("https://mitra.stanford.edu/kundaje/oak/projects/neuro-variants/variant_position/credible/roussos_2024/variant_figures/roussos_2024.childhood.GABA/rs77574979_profile_position.png",4,220,900)</f>
        <v/>
      </c>
    </row>
    <row r="287">
      <c r="A287" t="inlineStr">
        <is>
          <t>chr1</t>
        </is>
      </c>
      <c r="B287" t="n">
        <v>174061643</v>
      </c>
      <c r="C287" t="inlineStr">
        <is>
          <t>T</t>
        </is>
      </c>
      <c r="D287" t="inlineStr">
        <is>
          <t>A</t>
        </is>
      </c>
      <c r="E287" t="inlineStr">
        <is>
          <t>rs61228022</t>
        </is>
      </c>
      <c r="F287" t="n">
        <v>0.09730798826000001</v>
      </c>
      <c r="G287" t="n">
        <v>0.0519996828977745</v>
      </c>
      <c r="H287" t="n">
        <v>0.0226942076635327</v>
      </c>
      <c r="I287" t="n">
        <v>0.0493323850795017</v>
      </c>
      <c r="J287" t="n">
        <v>0.0381635986680906</v>
      </c>
      <c r="K287" t="n">
        <v>0.5611959424643395</v>
      </c>
      <c r="L287" t="b">
        <v>0</v>
      </c>
      <c r="M287" t="b">
        <v>0</v>
      </c>
      <c r="N287" t="inlineStr">
        <is>
          <t>alt</t>
        </is>
      </c>
      <c r="O287" t="n">
        <v>-40</v>
      </c>
      <c r="P287" t="n">
        <v>0.006207</v>
      </c>
      <c r="Q287" t="n">
        <v>-85</v>
      </c>
      <c r="R287" t="n">
        <v>0.0109</v>
      </c>
      <c r="S287">
        <f>IMAGE("https://mitra.stanford.edu/kundaje/oak/projects/neuro-variants/variant_position/credible/roussos_2024/variant_figures/roussos_2024.childhood.GABA/rs61228022_count_position.png",4,220,900)</f>
        <v/>
      </c>
      <c r="T287">
        <f>IMAGE("https://mitra.stanford.edu/kundaje/oak/projects/neuro-variants/variant_position/credible/roussos_2024/variant_figures/roussos_2024.childhood.GABA/rs61228022_profile_position.png",4,220,900)</f>
        <v/>
      </c>
    </row>
    <row r="288">
      <c r="A288" t="inlineStr">
        <is>
          <t>chr1</t>
        </is>
      </c>
      <c r="B288" t="n">
        <v>174062848</v>
      </c>
      <c r="C288" t="inlineStr">
        <is>
          <t>G</t>
        </is>
      </c>
      <c r="D288" t="inlineStr">
        <is>
          <t>T</t>
        </is>
      </c>
      <c r="E288" t="inlineStr">
        <is>
          <t>rs55988379</t>
        </is>
      </c>
      <c r="F288" t="n">
        <v>-0.197669622</v>
      </c>
      <c r="G288" t="n">
        <v>0.0046528044013263</v>
      </c>
      <c r="H288" t="n">
        <v>0.024996011016431</v>
      </c>
      <c r="I288" t="n">
        <v>0.0320417954772922</v>
      </c>
      <c r="J288" t="n">
        <v>0.0361248979078971</v>
      </c>
      <c r="K288" t="n">
        <v>0.5748043366721467</v>
      </c>
      <c r="L288" t="b">
        <v>1</v>
      </c>
      <c r="M288" t="b">
        <v>1</v>
      </c>
      <c r="N288" t="inlineStr">
        <is>
          <t>ref</t>
        </is>
      </c>
      <c r="O288" t="n">
        <v>-45</v>
      </c>
      <c r="P288" t="n">
        <v>0.009674</v>
      </c>
      <c r="Q288" t="n">
        <v>100</v>
      </c>
      <c r="R288" t="n">
        <v>0.03564</v>
      </c>
      <c r="S288">
        <f>IMAGE("https://mitra.stanford.edu/kundaje/oak/projects/neuro-variants/variant_position/credible/roussos_2024/variant_figures/roussos_2024.childhood.GABA/rs55988379_count_position.png",4,220,900)</f>
        <v/>
      </c>
      <c r="T288">
        <f>IMAGE("https://mitra.stanford.edu/kundaje/oak/projects/neuro-variants/variant_position/credible/roussos_2024/variant_figures/roussos_2024.childhood.GABA/rs55988379_profile_position.png",4,220,900)</f>
        <v/>
      </c>
    </row>
    <row r="289">
      <c r="A289" t="inlineStr">
        <is>
          <t>chr1</t>
        </is>
      </c>
      <c r="B289" t="n">
        <v>174063084</v>
      </c>
      <c r="C289" t="inlineStr">
        <is>
          <t>C</t>
        </is>
      </c>
      <c r="D289" t="inlineStr">
        <is>
          <t>A</t>
        </is>
      </c>
      <c r="E289" t="inlineStr">
        <is>
          <t>rs61826842</t>
        </is>
      </c>
      <c r="F289" t="n">
        <v>-0.0566781554</v>
      </c>
      <c r="G289" t="n">
        <v>0.1135455477169894</v>
      </c>
      <c r="H289" t="n">
        <v>0.0256399571590565</v>
      </c>
      <c r="I289" t="n">
        <v>0.0254734965306451</v>
      </c>
      <c r="J289" t="n">
        <v>0.0368044648279616</v>
      </c>
      <c r="K289" t="n">
        <v>0.5654715780548688</v>
      </c>
      <c r="L289" t="b">
        <v>0</v>
      </c>
      <c r="M289" t="b">
        <v>0</v>
      </c>
      <c r="N289" t="inlineStr">
        <is>
          <t>ref</t>
        </is>
      </c>
      <c r="O289" t="n">
        <v>-40</v>
      </c>
      <c r="P289" t="n">
        <v>0.00586</v>
      </c>
      <c r="Q289" t="n">
        <v>30</v>
      </c>
      <c r="R289" t="n">
        <v>0.0322</v>
      </c>
      <c r="S289">
        <f>IMAGE("https://mitra.stanford.edu/kundaje/oak/projects/neuro-variants/variant_position/credible/roussos_2024/variant_figures/roussos_2024.childhood.GABA/rs61826842_count_position.png",4,220,900)</f>
        <v/>
      </c>
      <c r="T289">
        <f>IMAGE("https://mitra.stanford.edu/kundaje/oak/projects/neuro-variants/variant_position/credible/roussos_2024/variant_figures/roussos_2024.childhood.GABA/rs61826842_profile_position.png",4,220,900)</f>
        <v/>
      </c>
    </row>
    <row r="290">
      <c r="A290" t="inlineStr">
        <is>
          <t>chr1</t>
        </is>
      </c>
      <c r="B290" t="n">
        <v>174106636</v>
      </c>
      <c r="C290" t="inlineStr">
        <is>
          <t>C</t>
        </is>
      </c>
      <c r="D290" t="inlineStr">
        <is>
          <t>T</t>
        </is>
      </c>
      <c r="E290" t="inlineStr">
        <is>
          <t>rs13376011</t>
        </is>
      </c>
      <c r="F290" t="n">
        <v>0.01787303</v>
      </c>
      <c r="G290" t="n">
        <v>0.4353652954842729</v>
      </c>
      <c r="H290" t="n">
        <v>0.040475700396707</v>
      </c>
      <c r="I290" t="n">
        <v>0.0038608886563827</v>
      </c>
      <c r="J290" t="n">
        <v>0.0048470189105986</v>
      </c>
      <c r="K290" t="n">
        <v>0.8160710925226943</v>
      </c>
      <c r="L290" t="b">
        <v>0</v>
      </c>
      <c r="M290" t="b">
        <v>0</v>
      </c>
      <c r="N290" t="inlineStr">
        <is>
          <t>alt</t>
        </is>
      </c>
      <c r="O290" t="n">
        <v>-5</v>
      </c>
      <c r="P290" t="n">
        <v>0.0004272</v>
      </c>
      <c r="Q290" t="n">
        <v>-60</v>
      </c>
      <c r="R290" t="n">
        <v>0.03528</v>
      </c>
      <c r="S290">
        <f>IMAGE("https://mitra.stanford.edu/kundaje/oak/projects/neuro-variants/variant_position/credible/roussos_2024/variant_figures/roussos_2024.childhood.GABA/rs13376011_count_position.png",4,220,900)</f>
        <v/>
      </c>
      <c r="T290">
        <f>IMAGE("https://mitra.stanford.edu/kundaje/oak/projects/neuro-variants/variant_position/credible/roussos_2024/variant_figures/roussos_2024.childhood.GABA/rs13376011_profile_position.png",4,220,900)</f>
        <v/>
      </c>
    </row>
    <row r="291">
      <c r="A291" t="inlineStr">
        <is>
          <t>chr1</t>
        </is>
      </c>
      <c r="B291" t="n">
        <v>174133461</v>
      </c>
      <c r="C291" t="inlineStr">
        <is>
          <t>G</t>
        </is>
      </c>
      <c r="D291" t="inlineStr">
        <is>
          <t>A</t>
        </is>
      </c>
      <c r="E291" t="inlineStr">
        <is>
          <t>rs6425273</t>
        </is>
      </c>
      <c r="F291" t="n">
        <v>-0.1409616387999999</v>
      </c>
      <c r="G291" t="n">
        <v>0.0133239396699222</v>
      </c>
      <c r="H291" t="n">
        <v>0.017397882438171</v>
      </c>
      <c r="I291" t="n">
        <v>0.1397728320565713</v>
      </c>
      <c r="J291" t="n">
        <v>0.0301658604008292</v>
      </c>
      <c r="K291" t="n">
        <v>0.5925072258932703</v>
      </c>
      <c r="L291" t="b">
        <v>1</v>
      </c>
      <c r="M291" t="b">
        <v>0</v>
      </c>
      <c r="N291" t="inlineStr">
        <is>
          <t>ref</t>
        </is>
      </c>
      <c r="O291" t="n">
        <v>95</v>
      </c>
      <c r="P291" t="n">
        <v>0.00643</v>
      </c>
      <c r="Q291" t="n">
        <v>-15</v>
      </c>
      <c r="R291" t="n">
        <v>0.009766</v>
      </c>
      <c r="S291">
        <f>IMAGE("https://mitra.stanford.edu/kundaje/oak/projects/neuro-variants/variant_position/credible/roussos_2024/variant_figures/roussos_2024.childhood.GABA/rs6425273_count_position.png",4,220,900)</f>
        <v/>
      </c>
      <c r="T291">
        <f>IMAGE("https://mitra.stanford.edu/kundaje/oak/projects/neuro-variants/variant_position/credible/roussos_2024/variant_figures/roussos_2024.childhood.GABA/rs6425273_profile_position.png",4,220,900)</f>
        <v/>
      </c>
    </row>
    <row r="292">
      <c r="A292" t="inlineStr">
        <is>
          <t>chr1</t>
        </is>
      </c>
      <c r="B292" t="n">
        <v>177285924</v>
      </c>
      <c r="C292" t="inlineStr">
        <is>
          <t>C</t>
        </is>
      </c>
      <c r="D292" t="inlineStr">
        <is>
          <t>T</t>
        </is>
      </c>
      <c r="E292" t="inlineStr">
        <is>
          <t>rs11587684</t>
        </is>
      </c>
      <c r="F292" t="n">
        <v>-0.06347816539999999</v>
      </c>
      <c r="G292" t="n">
        <v>0.0878105885208821</v>
      </c>
      <c r="H292" t="n">
        <v>0.0191158680089661</v>
      </c>
      <c r="I292" t="n">
        <v>0.0891239833298834</v>
      </c>
      <c r="J292" t="n">
        <v>0.0390180310359992</v>
      </c>
      <c r="K292" t="n">
        <v>0.5335875322077396</v>
      </c>
      <c r="L292" t="b">
        <v>0</v>
      </c>
      <c r="M292" t="b">
        <v>0</v>
      </c>
      <c r="N292" t="inlineStr">
        <is>
          <t>ref</t>
        </is>
      </c>
      <c r="O292" t="n">
        <v>100</v>
      </c>
      <c r="P292" t="n">
        <v>0.011505</v>
      </c>
      <c r="Q292" t="n">
        <v>85</v>
      </c>
      <c r="R292" t="n">
        <v>0.09619999999999999</v>
      </c>
      <c r="S292">
        <f>IMAGE("https://mitra.stanford.edu/kundaje/oak/projects/neuro-variants/variant_position/credible/roussos_2024/variant_figures/roussos_2024.childhood.GABA/rs11587684_count_position.png",4,220,900)</f>
        <v/>
      </c>
      <c r="T292">
        <f>IMAGE("https://mitra.stanford.edu/kundaje/oak/projects/neuro-variants/variant_position/credible/roussos_2024/variant_figures/roussos_2024.childhood.GABA/rs11587684_profile_position.png",4,220,900)</f>
        <v/>
      </c>
    </row>
    <row r="293">
      <c r="A293" t="inlineStr">
        <is>
          <t>chr1</t>
        </is>
      </c>
      <c r="B293" t="n">
        <v>177289737</v>
      </c>
      <c r="C293" t="inlineStr">
        <is>
          <t>G</t>
        </is>
      </c>
      <c r="D293" t="inlineStr">
        <is>
          <t>A</t>
        </is>
      </c>
      <c r="E293" t="inlineStr">
        <is>
          <t>rs72720790</t>
        </is>
      </c>
      <c r="F293" t="n">
        <v>-0.186794922</v>
      </c>
      <c r="G293" t="n">
        <v>0.0061325674649845</v>
      </c>
      <c r="H293" t="n">
        <v>0.0387640338059636</v>
      </c>
      <c r="I293" t="n">
        <v>0.0050039049464257</v>
      </c>
      <c r="J293" t="n">
        <v>0.2046951896295365</v>
      </c>
      <c r="K293" t="n">
        <v>0.21079534801095</v>
      </c>
      <c r="L293" t="b">
        <v>1</v>
      </c>
      <c r="M293" t="b">
        <v>1</v>
      </c>
      <c r="N293" t="inlineStr">
        <is>
          <t>ref</t>
        </is>
      </c>
      <c r="O293" t="n">
        <v>95</v>
      </c>
      <c r="P293" t="n">
        <v>0.00457</v>
      </c>
      <c r="Q293" t="n">
        <v>70</v>
      </c>
      <c r="R293" t="n">
        <v>0.1161</v>
      </c>
      <c r="S293">
        <f>IMAGE("https://mitra.stanford.edu/kundaje/oak/projects/neuro-variants/variant_position/credible/roussos_2024/variant_figures/roussos_2024.childhood.GABA/rs72720790_count_position.png",4,220,900)</f>
        <v/>
      </c>
      <c r="T293">
        <f>IMAGE("https://mitra.stanford.edu/kundaje/oak/projects/neuro-variants/variant_position/credible/roussos_2024/variant_figures/roussos_2024.childhood.GABA/rs72720790_profile_position.png",4,220,900)</f>
        <v/>
      </c>
    </row>
    <row r="294">
      <c r="A294" t="inlineStr">
        <is>
          <t>chr1</t>
        </is>
      </c>
      <c r="B294" t="n">
        <v>177291972</v>
      </c>
      <c r="C294" t="inlineStr">
        <is>
          <t>G</t>
        </is>
      </c>
      <c r="D294" t="inlineStr">
        <is>
          <t>A</t>
        </is>
      </c>
      <c r="E294" t="inlineStr">
        <is>
          <t>rs11587000</t>
        </is>
      </c>
      <c r="F294" t="n">
        <v>0.0120694681599999</v>
      </c>
      <c r="G294" t="n">
        <v>0.5486706955864415</v>
      </c>
      <c r="H294" t="n">
        <v>0.0087271168083922</v>
      </c>
      <c r="I294" t="n">
        <v>0.7754740997308045</v>
      </c>
      <c r="J294" t="n">
        <v>0.0033119725241355</v>
      </c>
      <c r="K294" t="n">
        <v>0.8598753957023415</v>
      </c>
      <c r="L294" t="b">
        <v>0</v>
      </c>
      <c r="M294" t="b">
        <v>0</v>
      </c>
      <c r="N294" t="inlineStr">
        <is>
          <t>alt</t>
        </is>
      </c>
      <c r="O294" t="n">
        <v>-90</v>
      </c>
      <c r="P294" t="n">
        <v>0.004272</v>
      </c>
      <c r="Q294" t="n">
        <v>-55</v>
      </c>
      <c r="R294" t="n">
        <v>0.0442</v>
      </c>
      <c r="S294">
        <f>IMAGE("https://mitra.stanford.edu/kundaje/oak/projects/neuro-variants/variant_position/credible/roussos_2024/variant_figures/roussos_2024.childhood.GABA/rs11587000_count_position.png",4,220,900)</f>
        <v/>
      </c>
      <c r="T294">
        <f>IMAGE("https://mitra.stanford.edu/kundaje/oak/projects/neuro-variants/variant_position/credible/roussos_2024/variant_figures/roussos_2024.childhood.GABA/rs11587000_profile_position.png",4,220,900)</f>
        <v/>
      </c>
    </row>
    <row r="295">
      <c r="A295" t="inlineStr">
        <is>
          <t>chr1</t>
        </is>
      </c>
      <c r="B295" t="n">
        <v>177591300</v>
      </c>
      <c r="C295" t="inlineStr">
        <is>
          <t>C</t>
        </is>
      </c>
      <c r="D295" t="inlineStr">
        <is>
          <t>T</t>
        </is>
      </c>
      <c r="E295" t="inlineStr">
        <is>
          <t>rs1415339</t>
        </is>
      </c>
      <c r="F295" t="n">
        <v>-0.0614959469999999</v>
      </c>
      <c r="G295" t="n">
        <v>0.1051848351016361</v>
      </c>
      <c r="H295" t="n">
        <v>0.01321810862544</v>
      </c>
      <c r="I295" t="n">
        <v>0.340532784282642</v>
      </c>
      <c r="J295" t="n">
        <v>0.53129672677012</v>
      </c>
      <c r="K295" t="n">
        <v>0.0442453472572805</v>
      </c>
      <c r="L295" t="b">
        <v>0</v>
      </c>
      <c r="M295" t="b">
        <v>0</v>
      </c>
      <c r="N295" t="inlineStr">
        <is>
          <t>ref</t>
        </is>
      </c>
      <c r="O295" t="n">
        <v>-5</v>
      </c>
      <c r="P295" t="n">
        <v>0.000351</v>
      </c>
      <c r="Q295" t="n">
        <v>-80</v>
      </c>
      <c r="R295" t="n">
        <v>0.0708</v>
      </c>
      <c r="S295">
        <f>IMAGE("https://mitra.stanford.edu/kundaje/oak/projects/neuro-variants/variant_position/credible/roussos_2024/variant_figures/roussos_2024.childhood.GABA/rs1415339_count_position.png",4,220,900)</f>
        <v/>
      </c>
      <c r="T295">
        <f>IMAGE("https://mitra.stanford.edu/kundaje/oak/projects/neuro-variants/variant_position/credible/roussos_2024/variant_figures/roussos_2024.childhood.GABA/rs1415339_profile_position.png",4,220,900)</f>
        <v/>
      </c>
    </row>
    <row r="296">
      <c r="A296" t="inlineStr">
        <is>
          <t>chr1</t>
        </is>
      </c>
      <c r="B296" t="n">
        <v>177605857</v>
      </c>
      <c r="C296" t="inlineStr">
        <is>
          <t>A</t>
        </is>
      </c>
      <c r="D296" t="inlineStr">
        <is>
          <t>G</t>
        </is>
      </c>
      <c r="E296" t="inlineStr">
        <is>
          <t>rs34929437</t>
        </is>
      </c>
      <c r="F296" t="n">
        <v>-0.0032431251599999</v>
      </c>
      <c r="G296" t="n">
        <v>0.7498159372102798</v>
      </c>
      <c r="H296" t="n">
        <v>0.0211768009962266</v>
      </c>
      <c r="I296" t="n">
        <v>0.0592567355829051</v>
      </c>
      <c r="J296" t="n">
        <v>0.0041433687252622</v>
      </c>
      <c r="K296" t="n">
        <v>0.8303871521764044</v>
      </c>
      <c r="L296" t="b">
        <v>0</v>
      </c>
      <c r="M296" t="b">
        <v>0</v>
      </c>
      <c r="N296" t="inlineStr">
        <is>
          <t>ref</t>
        </is>
      </c>
      <c r="O296" t="n">
        <v>95</v>
      </c>
      <c r="P296" t="n">
        <v>0.013695</v>
      </c>
      <c r="Q296" t="n">
        <v>-55</v>
      </c>
      <c r="R296" t="n">
        <v>0.05377</v>
      </c>
      <c r="S296">
        <f>IMAGE("https://mitra.stanford.edu/kundaje/oak/projects/neuro-variants/variant_position/credible/roussos_2024/variant_figures/roussos_2024.childhood.GABA/rs34929437_count_position.png",4,220,900)</f>
        <v/>
      </c>
      <c r="T296">
        <f>IMAGE("https://mitra.stanford.edu/kundaje/oak/projects/neuro-variants/variant_position/credible/roussos_2024/variant_figures/roussos_2024.childhood.GABA/rs34929437_profile_position.png",4,220,900)</f>
        <v/>
      </c>
    </row>
    <row r="297">
      <c r="A297" t="inlineStr">
        <is>
          <t>chr1</t>
        </is>
      </c>
      <c r="B297" t="n">
        <v>177711567</v>
      </c>
      <c r="C297" t="inlineStr">
        <is>
          <t>T</t>
        </is>
      </c>
      <c r="D297" t="inlineStr">
        <is>
          <t>A</t>
        </is>
      </c>
      <c r="E297" t="inlineStr">
        <is>
          <t>rs12143554</t>
        </is>
      </c>
      <c r="F297" t="n">
        <v>0.00235722296</v>
      </c>
      <c r="G297" t="n">
        <v>0.7827451152591584</v>
      </c>
      <c r="H297" t="n">
        <v>0.008949574817834399</v>
      </c>
      <c r="I297" t="n">
        <v>0.7633793692939934</v>
      </c>
      <c r="J297" t="n">
        <v>0.276971162907583</v>
      </c>
      <c r="K297" t="n">
        <v>0.1525257179294536</v>
      </c>
      <c r="L297" t="b">
        <v>0</v>
      </c>
      <c r="M297" t="b">
        <v>0</v>
      </c>
      <c r="N297" t="inlineStr">
        <is>
          <t>alt</t>
        </is>
      </c>
      <c r="O297" t="n">
        <v>95</v>
      </c>
      <c r="P297" t="n">
        <v>0.01289</v>
      </c>
      <c r="Q297" t="n">
        <v>-40</v>
      </c>
      <c r="R297" t="n">
        <v>0.03026</v>
      </c>
      <c r="S297">
        <f>IMAGE("https://mitra.stanford.edu/kundaje/oak/projects/neuro-variants/variant_position/credible/roussos_2024/variant_figures/roussos_2024.childhood.GABA/rs12143554_count_position.png",4,220,900)</f>
        <v/>
      </c>
      <c r="T297">
        <f>IMAGE("https://mitra.stanford.edu/kundaje/oak/projects/neuro-variants/variant_position/credible/roussos_2024/variant_figures/roussos_2024.childhood.GABA/rs12143554_profile_position.png",4,220,900)</f>
        <v/>
      </c>
    </row>
    <row r="298">
      <c r="A298" t="inlineStr">
        <is>
          <t>chr1</t>
        </is>
      </c>
      <c r="B298" t="n">
        <v>177759570</v>
      </c>
      <c r="C298" t="inlineStr">
        <is>
          <t>G</t>
        </is>
      </c>
      <c r="D298" t="inlineStr">
        <is>
          <t>A</t>
        </is>
      </c>
      <c r="E298" t="inlineStr">
        <is>
          <t>rs12138989</t>
        </is>
      </c>
      <c r="F298" t="n">
        <v>-0.0358510036</v>
      </c>
      <c r="G298" t="n">
        <v>0.2433936872990209</v>
      </c>
      <c r="H298" t="n">
        <v>0.0114899393291114</v>
      </c>
      <c r="I298" t="n">
        <v>0.4902843005714642</v>
      </c>
      <c r="J298" t="n">
        <v>0.3005811396619965</v>
      </c>
      <c r="K298" t="n">
        <v>0.1374538886410634</v>
      </c>
      <c r="L298" t="b">
        <v>0</v>
      </c>
      <c r="M298" t="b">
        <v>0</v>
      </c>
      <c r="N298" t="inlineStr">
        <is>
          <t>ref</t>
        </is>
      </c>
      <c r="O298" t="n">
        <v>-80</v>
      </c>
      <c r="P298" t="n">
        <v>0.01855</v>
      </c>
      <c r="Q298" t="n">
        <v>5</v>
      </c>
      <c r="R298" t="n">
        <v>0.01306</v>
      </c>
      <c r="S298">
        <f>IMAGE("https://mitra.stanford.edu/kundaje/oak/projects/neuro-variants/variant_position/credible/roussos_2024/variant_figures/roussos_2024.childhood.GABA/rs12138989_count_position.png",4,220,900)</f>
        <v/>
      </c>
      <c r="T298">
        <f>IMAGE("https://mitra.stanford.edu/kundaje/oak/projects/neuro-variants/variant_position/credible/roussos_2024/variant_figures/roussos_2024.childhood.GABA/rs12138989_profile_position.png",4,220,900)</f>
        <v/>
      </c>
    </row>
    <row r="299">
      <c r="A299" t="inlineStr">
        <is>
          <t>chr1</t>
        </is>
      </c>
      <c r="B299" t="n">
        <v>177759699</v>
      </c>
      <c r="C299" t="inlineStr">
        <is>
          <t>C</t>
        </is>
      </c>
      <c r="D299" t="inlineStr">
        <is>
          <t>T</t>
        </is>
      </c>
      <c r="E299" t="inlineStr">
        <is>
          <t>rs55902020</t>
        </is>
      </c>
      <c r="F299" t="n">
        <v>-0.0511255556</v>
      </c>
      <c r="G299" t="n">
        <v>0.1381990163176006</v>
      </c>
      <c r="H299" t="n">
        <v>0.0117170102781579</v>
      </c>
      <c r="I299" t="n">
        <v>0.4508324333839597</v>
      </c>
      <c r="J299" t="n">
        <v>0.3214875081150133</v>
      </c>
      <c r="K299" t="n">
        <v>0.124556301796433</v>
      </c>
      <c r="L299" t="b">
        <v>0</v>
      </c>
      <c r="M299" t="b">
        <v>0</v>
      </c>
      <c r="N299" t="inlineStr">
        <is>
          <t>ref</t>
        </is>
      </c>
      <c r="O299" t="n">
        <v>-100</v>
      </c>
      <c r="P299" t="n">
        <v>0.006954</v>
      </c>
      <c r="Q299" t="n">
        <v>-100</v>
      </c>
      <c r="R299" t="n">
        <v>0.05273</v>
      </c>
      <c r="S299">
        <f>IMAGE("https://mitra.stanford.edu/kundaje/oak/projects/neuro-variants/variant_position/credible/roussos_2024/variant_figures/roussos_2024.childhood.GABA/rs55902020_count_position.png",4,220,900)</f>
        <v/>
      </c>
      <c r="T299">
        <f>IMAGE("https://mitra.stanford.edu/kundaje/oak/projects/neuro-variants/variant_position/credible/roussos_2024/variant_figures/roussos_2024.childhood.GABA/rs55902020_profile_position.png",4,220,900)</f>
        <v/>
      </c>
    </row>
    <row r="300">
      <c r="A300" t="inlineStr">
        <is>
          <t>chr1</t>
        </is>
      </c>
      <c r="B300" t="n">
        <v>177799814</v>
      </c>
      <c r="C300" t="inlineStr">
        <is>
          <t>T</t>
        </is>
      </c>
      <c r="D300" t="inlineStr">
        <is>
          <t>G</t>
        </is>
      </c>
      <c r="E300" t="inlineStr">
        <is>
          <t>rs10913422</t>
        </is>
      </c>
      <c r="F300" t="n">
        <v>-0.05627291932</v>
      </c>
      <c r="G300" t="n">
        <v>0.1325359567309405</v>
      </c>
      <c r="H300" t="n">
        <v>0.0377594940034006</v>
      </c>
      <c r="I300" t="n">
        <v>0.0049602327904852</v>
      </c>
      <c r="J300" t="n">
        <v>0.1084406609285668</v>
      </c>
      <c r="K300" t="n">
        <v>0.3309183172064088</v>
      </c>
      <c r="L300" t="b">
        <v>1</v>
      </c>
      <c r="M300" t="b">
        <v>1</v>
      </c>
      <c r="N300" t="inlineStr">
        <is>
          <t>ref</t>
        </is>
      </c>
      <c r="O300" t="n">
        <v>30</v>
      </c>
      <c r="P300" t="n">
        <v>0.00177</v>
      </c>
      <c r="Q300" t="n">
        <v>-10</v>
      </c>
      <c r="R300" t="n">
        <v>0.0393</v>
      </c>
      <c r="S300">
        <f>IMAGE("https://mitra.stanford.edu/kundaje/oak/projects/neuro-variants/variant_position/credible/roussos_2024/variant_figures/roussos_2024.childhood.GABA/rs10913422_count_position.png",4,220,900)</f>
        <v/>
      </c>
      <c r="T300">
        <f>IMAGE("https://mitra.stanford.edu/kundaje/oak/projects/neuro-variants/variant_position/credible/roussos_2024/variant_figures/roussos_2024.childhood.GABA/rs10913422_profile_position.png",4,220,900)</f>
        <v/>
      </c>
    </row>
    <row r="301">
      <c r="A301" t="inlineStr">
        <is>
          <t>chr1</t>
        </is>
      </c>
      <c r="B301" t="n">
        <v>177803759</v>
      </c>
      <c r="C301" t="inlineStr">
        <is>
          <t>G</t>
        </is>
      </c>
      <c r="D301" t="inlineStr">
        <is>
          <t>T</t>
        </is>
      </c>
      <c r="E301" t="inlineStr">
        <is>
          <t>rs12065872</t>
        </is>
      </c>
      <c r="F301" t="n">
        <v>-0.002862743306</v>
      </c>
      <c r="G301" t="n">
        <v>0.8778245628247657</v>
      </c>
      <c r="H301" t="n">
        <v>0.0126406394671529</v>
      </c>
      <c r="I301" t="n">
        <v>0.3773013466974859</v>
      </c>
      <c r="J301" t="n">
        <v>0.0290234759481476</v>
      </c>
      <c r="K301" t="n">
        <v>0.5983665811854958</v>
      </c>
      <c r="L301" t="b">
        <v>0</v>
      </c>
      <c r="M301" t="b">
        <v>0</v>
      </c>
      <c r="N301" t="inlineStr">
        <is>
          <t>ref</t>
        </is>
      </c>
      <c r="O301" t="n">
        <v>-85</v>
      </c>
      <c r="P301" t="n">
        <v>0.004375</v>
      </c>
      <c r="Q301" t="n">
        <v>-90</v>
      </c>
      <c r="R301" t="n">
        <v>0.09229999999999999</v>
      </c>
      <c r="S301">
        <f>IMAGE("https://mitra.stanford.edu/kundaje/oak/projects/neuro-variants/variant_position/credible/roussos_2024/variant_figures/roussos_2024.childhood.GABA/rs12065872_count_position.png",4,220,900)</f>
        <v/>
      </c>
      <c r="T301">
        <f>IMAGE("https://mitra.stanford.edu/kundaje/oak/projects/neuro-variants/variant_position/credible/roussos_2024/variant_figures/roussos_2024.childhood.GABA/rs12065872_profile_position.png",4,220,900)</f>
        <v/>
      </c>
    </row>
    <row r="302">
      <c r="A302" t="inlineStr">
        <is>
          <t>chr1</t>
        </is>
      </c>
      <c r="B302" t="n">
        <v>179110055</v>
      </c>
      <c r="C302" t="inlineStr">
        <is>
          <t>T</t>
        </is>
      </c>
      <c r="D302" t="inlineStr">
        <is>
          <t>C</t>
        </is>
      </c>
      <c r="E302" t="inlineStr">
        <is>
          <t>rs3818433</t>
        </is>
      </c>
      <c r="F302" t="n">
        <v>0.067011983</v>
      </c>
      <c r="G302" t="n">
        <v>0.0771244211779761</v>
      </c>
      <c r="H302" t="n">
        <v>0.0117987015140878</v>
      </c>
      <c r="I302" t="n">
        <v>0.4570251620971782</v>
      </c>
      <c r="J302" t="n">
        <v>0.1877479005675273</v>
      </c>
      <c r="K302" t="n">
        <v>0.2391115933455104</v>
      </c>
      <c r="L302" t="b">
        <v>0</v>
      </c>
      <c r="M302" t="b">
        <v>0</v>
      </c>
      <c r="N302" t="inlineStr">
        <is>
          <t>alt</t>
        </is>
      </c>
      <c r="O302" t="n">
        <v>-100</v>
      </c>
      <c r="P302" t="n">
        <v>0.010895</v>
      </c>
      <c r="Q302" t="n">
        <v>-75</v>
      </c>
      <c r="R302" t="n">
        <v>0.03625</v>
      </c>
      <c r="S302">
        <f>IMAGE("https://mitra.stanford.edu/kundaje/oak/projects/neuro-variants/variant_position/credible/roussos_2024/variant_figures/roussos_2024.childhood.GABA/rs3818433_count_position.png",4,220,900)</f>
        <v/>
      </c>
      <c r="T302">
        <f>IMAGE("https://mitra.stanford.edu/kundaje/oak/projects/neuro-variants/variant_position/credible/roussos_2024/variant_figures/roussos_2024.childhood.GABA/rs3818433_profile_position.png",4,220,900)</f>
        <v/>
      </c>
    </row>
    <row r="303">
      <c r="A303" t="inlineStr">
        <is>
          <t>chr1</t>
        </is>
      </c>
      <c r="B303" t="n">
        <v>179260586</v>
      </c>
      <c r="C303" t="inlineStr">
        <is>
          <t>G</t>
        </is>
      </c>
      <c r="D303" t="inlineStr">
        <is>
          <t>A</t>
        </is>
      </c>
      <c r="E303" t="inlineStr">
        <is>
          <t>rs432798</t>
        </is>
      </c>
      <c r="F303" t="n">
        <v>-0.132940422</v>
      </c>
      <c r="G303" t="n">
        <v>0.0159263536944932</v>
      </c>
      <c r="H303" t="n">
        <v>0.0140043109161589</v>
      </c>
      <c r="I303" t="n">
        <v>0.2843665465650983</v>
      </c>
      <c r="J303" t="n">
        <v>0.0865029004628174</v>
      </c>
      <c r="K303" t="n">
        <v>0.3796023338871688</v>
      </c>
      <c r="L303" t="b">
        <v>1</v>
      </c>
      <c r="M303" t="b">
        <v>0</v>
      </c>
      <c r="N303" t="inlineStr">
        <is>
          <t>ref</t>
        </is>
      </c>
      <c r="O303" t="n">
        <v>-100</v>
      </c>
      <c r="P303" t="n">
        <v>0.0235</v>
      </c>
      <c r="Q303" t="n">
        <v>-25</v>
      </c>
      <c r="R303" t="n">
        <v>0.00903</v>
      </c>
      <c r="S303">
        <f>IMAGE("https://mitra.stanford.edu/kundaje/oak/projects/neuro-variants/variant_position/credible/roussos_2024/variant_figures/roussos_2024.childhood.GABA/rs432798_count_position.png",4,220,900)</f>
        <v/>
      </c>
      <c r="T303">
        <f>IMAGE("https://mitra.stanford.edu/kundaje/oak/projects/neuro-variants/variant_position/credible/roussos_2024/variant_figures/roussos_2024.childhood.GABA/rs432798_profile_position.png",4,220,900)</f>
        <v/>
      </c>
    </row>
    <row r="304">
      <c r="A304" t="inlineStr">
        <is>
          <t>chr1</t>
        </is>
      </c>
      <c r="B304" t="n">
        <v>179264910</v>
      </c>
      <c r="C304" t="inlineStr">
        <is>
          <t>A</t>
        </is>
      </c>
      <c r="D304" t="inlineStr">
        <is>
          <t>C</t>
        </is>
      </c>
      <c r="E304" t="inlineStr">
        <is>
          <t>rs3122378</t>
        </is>
      </c>
      <c r="F304" t="n">
        <v>-0.0293638874</v>
      </c>
      <c r="G304" t="n">
        <v>0.3109126319599952</v>
      </c>
      <c r="H304" t="n">
        <v>0.03006647718168</v>
      </c>
      <c r="I304" t="n">
        <v>0.012400951131552</v>
      </c>
      <c r="J304" t="n">
        <v>0.0538753115118007</v>
      </c>
      <c r="K304" t="n">
        <v>0.486604526781738</v>
      </c>
      <c r="L304" t="b">
        <v>1</v>
      </c>
      <c r="M304" t="b">
        <v>0</v>
      </c>
      <c r="N304" t="inlineStr">
        <is>
          <t>ref</t>
        </is>
      </c>
      <c r="O304" t="n">
        <v>-75</v>
      </c>
      <c r="P304" t="n">
        <v>0.001141</v>
      </c>
      <c r="Q304" t="n">
        <v>10</v>
      </c>
      <c r="R304" t="n">
        <v>0.0199</v>
      </c>
      <c r="S304">
        <f>IMAGE("https://mitra.stanford.edu/kundaje/oak/projects/neuro-variants/variant_position/credible/roussos_2024/variant_figures/roussos_2024.childhood.GABA/rs3122378_count_position.png",4,220,900)</f>
        <v/>
      </c>
      <c r="T304">
        <f>IMAGE("https://mitra.stanford.edu/kundaje/oak/projects/neuro-variants/variant_position/credible/roussos_2024/variant_figures/roussos_2024.childhood.GABA/rs3122378_profile_position.png",4,220,900)</f>
        <v/>
      </c>
    </row>
    <row r="305">
      <c r="A305" t="inlineStr">
        <is>
          <t>chr1</t>
        </is>
      </c>
      <c r="B305" t="n">
        <v>179300414</v>
      </c>
      <c r="C305" t="inlineStr">
        <is>
          <t>A</t>
        </is>
      </c>
      <c r="D305" t="inlineStr">
        <is>
          <t>T</t>
        </is>
      </c>
      <c r="E305" t="inlineStr">
        <is>
          <t>rs12049237</t>
        </is>
      </c>
      <c r="F305" t="n">
        <v>0.00937148908</v>
      </c>
      <c r="G305" t="n">
        <v>0.6358482137542258</v>
      </c>
      <c r="H305" t="n">
        <v>0.0161666748249994</v>
      </c>
      <c r="I305" t="n">
        <v>0.176356628924536</v>
      </c>
      <c r="J305" t="n">
        <v>0.0160185127013046</v>
      </c>
      <c r="K305" t="n">
        <v>0.6789711657004797</v>
      </c>
      <c r="L305" t="b">
        <v>0</v>
      </c>
      <c r="M305" t="b">
        <v>0</v>
      </c>
      <c r="N305" t="inlineStr">
        <is>
          <t>alt</t>
        </is>
      </c>
      <c r="O305" t="n">
        <v>55</v>
      </c>
      <c r="P305" t="n">
        <v>0.006546</v>
      </c>
      <c r="Q305" t="n">
        <v>55</v>
      </c>
      <c r="R305" t="n">
        <v>0.12427</v>
      </c>
      <c r="S305">
        <f>IMAGE("https://mitra.stanford.edu/kundaje/oak/projects/neuro-variants/variant_position/credible/roussos_2024/variant_figures/roussos_2024.childhood.GABA/rs12049237_count_position.png",4,220,900)</f>
        <v/>
      </c>
      <c r="T305">
        <f>IMAGE("https://mitra.stanford.edu/kundaje/oak/projects/neuro-variants/variant_position/credible/roussos_2024/variant_figures/roussos_2024.childhood.GABA/rs12049237_profile_position.png",4,220,900)</f>
        <v/>
      </c>
    </row>
    <row r="306">
      <c r="A306" t="inlineStr">
        <is>
          <t>chr1</t>
        </is>
      </c>
      <c r="B306" t="n">
        <v>179319605</v>
      </c>
      <c r="C306" t="inlineStr">
        <is>
          <t>T</t>
        </is>
      </c>
      <c r="D306" t="inlineStr">
        <is>
          <t>C</t>
        </is>
      </c>
      <c r="E306" t="inlineStr">
        <is>
          <t>rs78993991</t>
        </is>
      </c>
      <c r="F306" t="n">
        <v>-0.0106733352</v>
      </c>
      <c r="G306" t="n">
        <v>0.6334029377499094</v>
      </c>
      <c r="H306" t="n">
        <v>0.0265997761295391</v>
      </c>
      <c r="I306" t="n">
        <v>0.0218547815851115</v>
      </c>
      <c r="J306" t="n">
        <v>0.0034250591610646</v>
      </c>
      <c r="K306" t="n">
        <v>0.8454602662205266</v>
      </c>
      <c r="L306" t="b">
        <v>0</v>
      </c>
      <c r="M306" t="b">
        <v>0</v>
      </c>
      <c r="N306" t="inlineStr">
        <is>
          <t>ref</t>
        </is>
      </c>
      <c r="O306" t="n">
        <v>20</v>
      </c>
      <c r="P306" t="n">
        <v>0.001709</v>
      </c>
      <c r="Q306" t="n">
        <v>-60</v>
      </c>
      <c r="R306" t="n">
        <v>0.04773</v>
      </c>
      <c r="S306">
        <f>IMAGE("https://mitra.stanford.edu/kundaje/oak/projects/neuro-variants/variant_position/credible/roussos_2024/variant_figures/roussos_2024.childhood.GABA/rs78993991_count_position.png",4,220,900)</f>
        <v/>
      </c>
      <c r="T306">
        <f>IMAGE("https://mitra.stanford.edu/kundaje/oak/projects/neuro-variants/variant_position/credible/roussos_2024/variant_figures/roussos_2024.childhood.GABA/rs78993991_profile_position.png",4,220,900)</f>
        <v/>
      </c>
    </row>
    <row r="307">
      <c r="A307" t="inlineStr">
        <is>
          <t>chr1</t>
        </is>
      </c>
      <c r="B307" t="n">
        <v>179343424</v>
      </c>
      <c r="C307" t="inlineStr">
        <is>
          <t>A</t>
        </is>
      </c>
      <c r="D307" t="inlineStr">
        <is>
          <t>G</t>
        </is>
      </c>
      <c r="E307" t="inlineStr">
        <is>
          <t>rs13306728</t>
        </is>
      </c>
      <c r="F307" t="n">
        <v>0.08236299480000001</v>
      </c>
      <c r="G307" t="n">
        <v>0.048412977683524</v>
      </c>
      <c r="H307" t="n">
        <v>0.0155903073959179</v>
      </c>
      <c r="I307" t="n">
        <v>0.1981638333745812</v>
      </c>
      <c r="J307" t="n">
        <v>0.0077171158719188</v>
      </c>
      <c r="K307" t="n">
        <v>0.7701005889230512</v>
      </c>
      <c r="L307" t="b">
        <v>0</v>
      </c>
      <c r="M307" t="b">
        <v>0</v>
      </c>
      <c r="N307" t="inlineStr">
        <is>
          <t>alt</t>
        </is>
      </c>
      <c r="O307" t="n">
        <v>-100</v>
      </c>
      <c r="P307" t="n">
        <v>0.1669</v>
      </c>
      <c r="Q307" t="n">
        <v>-45</v>
      </c>
      <c r="R307" t="n">
        <v>0.04782</v>
      </c>
      <c r="S307">
        <f>IMAGE("https://mitra.stanford.edu/kundaje/oak/projects/neuro-variants/variant_position/credible/roussos_2024/variant_figures/roussos_2024.childhood.GABA/rs13306728_count_position.png",4,220,900)</f>
        <v/>
      </c>
      <c r="T307">
        <f>IMAGE("https://mitra.stanford.edu/kundaje/oak/projects/neuro-variants/variant_position/credible/roussos_2024/variant_figures/roussos_2024.childhood.GABA/rs13306728_profile_position.png",4,220,900)</f>
        <v/>
      </c>
    </row>
    <row r="308">
      <c r="A308" t="inlineStr">
        <is>
          <t>chr1</t>
        </is>
      </c>
      <c r="B308" t="n">
        <v>179355418</v>
      </c>
      <c r="C308" t="inlineStr">
        <is>
          <t>T</t>
        </is>
      </c>
      <c r="D308" t="inlineStr">
        <is>
          <t>G</t>
        </is>
      </c>
      <c r="E308" t="inlineStr">
        <is>
          <t>rs12141199</t>
        </is>
      </c>
      <c r="F308" t="n">
        <v>-0.02379312134</v>
      </c>
      <c r="G308" t="n">
        <v>0.3940165175991442</v>
      </c>
      <c r="H308" t="n">
        <v>0.030231980207314</v>
      </c>
      <c r="I308" t="n">
        <v>0.0122975770432184</v>
      </c>
      <c r="J308" t="n">
        <v>0.0273994261900273</v>
      </c>
      <c r="K308" t="n">
        <v>0.5947855458727702</v>
      </c>
      <c r="L308" t="b">
        <v>1</v>
      </c>
      <c r="M308" t="b">
        <v>0</v>
      </c>
      <c r="N308" t="inlineStr">
        <is>
          <t>ref</t>
        </is>
      </c>
      <c r="O308" t="n">
        <v>-15</v>
      </c>
      <c r="P308" t="n">
        <v>0.003937</v>
      </c>
      <c r="Q308" t="n">
        <v>55</v>
      </c>
      <c r="R308" t="n">
        <v>0.077</v>
      </c>
      <c r="S308">
        <f>IMAGE("https://mitra.stanford.edu/kundaje/oak/projects/neuro-variants/variant_position/credible/roussos_2024/variant_figures/roussos_2024.childhood.GABA/rs12141199_count_position.png",4,220,900)</f>
        <v/>
      </c>
      <c r="T308">
        <f>IMAGE("https://mitra.stanford.edu/kundaje/oak/projects/neuro-variants/variant_position/credible/roussos_2024/variant_figures/roussos_2024.childhood.GABA/rs12141199_profile_position.png",4,220,900)</f>
        <v/>
      </c>
    </row>
    <row r="309">
      <c r="A309" t="inlineStr">
        <is>
          <t>chr1</t>
        </is>
      </c>
      <c r="B309" t="n">
        <v>179358456</v>
      </c>
      <c r="C309" t="inlineStr">
        <is>
          <t>A</t>
        </is>
      </c>
      <c r="D309" t="inlineStr">
        <is>
          <t>T</t>
        </is>
      </c>
      <c r="E309" t="inlineStr">
        <is>
          <t>rs12047160</t>
        </is>
      </c>
      <c r="F309" t="n">
        <v>0.0356159264</v>
      </c>
      <c r="G309" t="n">
        <v>0.2416458689782645</v>
      </c>
      <c r="H309" t="n">
        <v>0.0114463356908109</v>
      </c>
      <c r="I309" t="n">
        <v>0.4324249454732166</v>
      </c>
      <c r="J309" t="n">
        <v>0.0161944252476387</v>
      </c>
      <c r="K309" t="n">
        <v>0.6897510634225632</v>
      </c>
      <c r="L309" t="b">
        <v>0</v>
      </c>
      <c r="M309" t="b">
        <v>0</v>
      </c>
      <c r="N309" t="inlineStr">
        <is>
          <t>alt</t>
        </is>
      </c>
      <c r="O309" t="n">
        <v>-90</v>
      </c>
      <c r="P309" t="n">
        <v>0.001114</v>
      </c>
      <c r="Q309" t="n">
        <v>70</v>
      </c>
      <c r="R309" t="n">
        <v>0.04236</v>
      </c>
      <c r="S309">
        <f>IMAGE("https://mitra.stanford.edu/kundaje/oak/projects/neuro-variants/variant_position/credible/roussos_2024/variant_figures/roussos_2024.childhood.GABA/rs12047160_count_position.png",4,220,900)</f>
        <v/>
      </c>
      <c r="T309">
        <f>IMAGE("https://mitra.stanford.edu/kundaje/oak/projects/neuro-variants/variant_position/credible/roussos_2024/variant_figures/roussos_2024.childhood.GABA/rs12047160_profile_position.png",4,220,900)</f>
        <v/>
      </c>
    </row>
    <row r="310">
      <c r="A310" t="inlineStr">
        <is>
          <t>chr1</t>
        </is>
      </c>
      <c r="B310" t="n">
        <v>179359110</v>
      </c>
      <c r="C310" t="inlineStr">
        <is>
          <t>T</t>
        </is>
      </c>
      <c r="D310" t="inlineStr">
        <is>
          <t>C</t>
        </is>
      </c>
      <c r="E310" t="inlineStr">
        <is>
          <t>rs12144580</t>
        </is>
      </c>
      <c r="F310" t="n">
        <v>-0.0074618395999999</v>
      </c>
      <c r="G310" t="n">
        <v>0.6991739520071516</v>
      </c>
      <c r="H310" t="n">
        <v>0.0537653307578097</v>
      </c>
      <c r="I310" t="n">
        <v>0.0014103882196239</v>
      </c>
      <c r="J310" t="n">
        <v>0.0098427258067893</v>
      </c>
      <c r="K310" t="n">
        <v>0.7509909199261174</v>
      </c>
      <c r="L310" t="b">
        <v>0</v>
      </c>
      <c r="M310" t="b">
        <v>0</v>
      </c>
      <c r="N310" t="inlineStr">
        <is>
          <t>ref</t>
        </is>
      </c>
      <c r="O310" t="n">
        <v>-45</v>
      </c>
      <c r="P310" t="n">
        <v>0.009155</v>
      </c>
      <c r="Q310" t="n">
        <v>45</v>
      </c>
      <c r="R310" t="n">
        <v>0.04672</v>
      </c>
      <c r="S310">
        <f>IMAGE("https://mitra.stanford.edu/kundaje/oak/projects/neuro-variants/variant_position/credible/roussos_2024/variant_figures/roussos_2024.childhood.GABA/rs12144580_count_position.png",4,220,900)</f>
        <v/>
      </c>
      <c r="T310">
        <f>IMAGE("https://mitra.stanford.edu/kundaje/oak/projects/neuro-variants/variant_position/credible/roussos_2024/variant_figures/roussos_2024.childhood.GABA/rs12144580_profile_position.png",4,220,900)</f>
        <v/>
      </c>
    </row>
    <row r="311">
      <c r="A311" t="inlineStr">
        <is>
          <t>chr1</t>
        </is>
      </c>
      <c r="B311" t="n">
        <v>179365117</v>
      </c>
      <c r="C311" t="inlineStr">
        <is>
          <t>G</t>
        </is>
      </c>
      <c r="D311" t="inlineStr">
        <is>
          <t>A</t>
        </is>
      </c>
      <c r="E311" t="inlineStr">
        <is>
          <t>rs6425537</t>
        </is>
      </c>
      <c r="F311" t="n">
        <v>-0.0746997653999999</v>
      </c>
      <c r="G311" t="n">
        <v>0.0605864739485571</v>
      </c>
      <c r="H311" t="n">
        <v>0.0148290763042636</v>
      </c>
      <c r="I311" t="n">
        <v>0.2369493905376475</v>
      </c>
      <c r="J311" t="n">
        <v>0.6322286444262948</v>
      </c>
      <c r="K311" t="n">
        <v>0.0230863501826348</v>
      </c>
      <c r="L311" t="b">
        <v>0</v>
      </c>
      <c r="M311" t="b">
        <v>0</v>
      </c>
      <c r="N311" t="inlineStr">
        <is>
          <t>ref</t>
        </is>
      </c>
      <c r="O311" t="n">
        <v>65</v>
      </c>
      <c r="P311" t="n">
        <v>0.01054</v>
      </c>
      <c r="Q311" t="n">
        <v>-95</v>
      </c>
      <c r="R311" t="n">
        <v>0.04614</v>
      </c>
      <c r="S311">
        <f>IMAGE("https://mitra.stanford.edu/kundaje/oak/projects/neuro-variants/variant_position/credible/roussos_2024/variant_figures/roussos_2024.childhood.GABA/rs6425537_count_position.png",4,220,900)</f>
        <v/>
      </c>
      <c r="T311">
        <f>IMAGE("https://mitra.stanford.edu/kundaje/oak/projects/neuro-variants/variant_position/credible/roussos_2024/variant_figures/roussos_2024.childhood.GABA/rs6425537_profile_position.png",4,220,900)</f>
        <v/>
      </c>
    </row>
    <row r="312">
      <c r="A312" t="inlineStr">
        <is>
          <t>chr1</t>
        </is>
      </c>
      <c r="B312" t="n">
        <v>179365577</v>
      </c>
      <c r="C312" t="inlineStr">
        <is>
          <t>G</t>
        </is>
      </c>
      <c r="D312" t="inlineStr">
        <is>
          <t>A</t>
        </is>
      </c>
      <c r="E312" t="inlineStr">
        <is>
          <t>rs56147147</t>
        </is>
      </c>
      <c r="F312" t="n">
        <v>-0.002104547316</v>
      </c>
      <c r="G312" t="n">
        <v>0.9034169619286104</v>
      </c>
      <c r="H312" t="n">
        <v>0.0124422963184227</v>
      </c>
      <c r="I312" t="n">
        <v>0.3943835861089473</v>
      </c>
      <c r="J312" t="n">
        <v>0.805036543737304</v>
      </c>
      <c r="K312" t="n">
        <v>0.0063654908231103</v>
      </c>
      <c r="L312" t="b">
        <v>0</v>
      </c>
      <c r="M312" t="b">
        <v>0</v>
      </c>
      <c r="N312" t="inlineStr">
        <is>
          <t>ref</t>
        </is>
      </c>
      <c r="O312" t="n">
        <v>85</v>
      </c>
      <c r="P312" t="n">
        <v>0.05194</v>
      </c>
      <c r="Q312" t="n">
        <v>90</v>
      </c>
      <c r="R312" t="n">
        <v>0.656</v>
      </c>
      <c r="S312">
        <f>IMAGE("https://mitra.stanford.edu/kundaje/oak/projects/neuro-variants/variant_position/credible/roussos_2024/variant_figures/roussos_2024.childhood.GABA/rs56147147_count_position.png",4,220,900)</f>
        <v/>
      </c>
      <c r="T312">
        <f>IMAGE("https://mitra.stanford.edu/kundaje/oak/projects/neuro-variants/variant_position/credible/roussos_2024/variant_figures/roussos_2024.childhood.GABA/rs56147147_profile_position.png",4,220,900)</f>
        <v/>
      </c>
    </row>
    <row r="313">
      <c r="A313" t="inlineStr">
        <is>
          <t>chr1</t>
        </is>
      </c>
      <c r="B313" t="n">
        <v>179365705</v>
      </c>
      <c r="C313" t="inlineStr">
        <is>
          <t>C</t>
        </is>
      </c>
      <c r="D313" t="inlineStr">
        <is>
          <t>T</t>
        </is>
      </c>
      <c r="E313" t="inlineStr">
        <is>
          <t>rs55986478</t>
        </is>
      </c>
      <c r="F313" t="n">
        <v>0.0043429503</v>
      </c>
      <c r="G313" t="n">
        <v>0.3344778736282757</v>
      </c>
      <c r="H313" t="n">
        <v>0.0147173551237263</v>
      </c>
      <c r="I313" t="n">
        <v>0.2368447932720977</v>
      </c>
      <c r="J313" t="n">
        <v>0.8441184477811984</v>
      </c>
      <c r="K313" t="n">
        <v>0.0041419332458091</v>
      </c>
      <c r="L313" t="b">
        <v>0</v>
      </c>
      <c r="M313" t="b">
        <v>0</v>
      </c>
      <c r="N313" t="inlineStr">
        <is>
          <t>alt</t>
        </is>
      </c>
      <c r="O313" t="n">
        <v>-40</v>
      </c>
      <c r="P313" t="n">
        <v>0.00659</v>
      </c>
      <c r="Q313" t="n">
        <v>85</v>
      </c>
      <c r="R313" t="n">
        <v>0.19</v>
      </c>
      <c r="S313">
        <f>IMAGE("https://mitra.stanford.edu/kundaje/oak/projects/neuro-variants/variant_position/credible/roussos_2024/variant_figures/roussos_2024.childhood.GABA/rs55986478_count_position.png",4,220,900)</f>
        <v/>
      </c>
      <c r="T313">
        <f>IMAGE("https://mitra.stanford.edu/kundaje/oak/projects/neuro-variants/variant_position/credible/roussos_2024/variant_figures/roussos_2024.childhood.GABA/rs55986478_profile_position.png",4,220,900)</f>
        <v/>
      </c>
    </row>
    <row r="314">
      <c r="A314" t="inlineStr">
        <is>
          <t>chr1</t>
        </is>
      </c>
      <c r="B314" t="n">
        <v>179365923</v>
      </c>
      <c r="C314" t="inlineStr">
        <is>
          <t>C</t>
        </is>
      </c>
      <c r="D314" t="inlineStr">
        <is>
          <t>T</t>
        </is>
      </c>
      <c r="E314" t="inlineStr">
        <is>
          <t>rs55906130</t>
        </is>
      </c>
      <c r="F314" t="n">
        <v>-0.0320065568</v>
      </c>
      <c r="G314" t="n">
        <v>0.2814172670679202</v>
      </c>
      <c r="H314" t="n">
        <v>0.0170578392548787</v>
      </c>
      <c r="I314" t="n">
        <v>0.1406642240474384</v>
      </c>
      <c r="J314" t="n">
        <v>0.8509957906640698</v>
      </c>
      <c r="K314" t="n">
        <v>0.0036767696282952</v>
      </c>
      <c r="L314" t="b">
        <v>0</v>
      </c>
      <c r="M314" t="b">
        <v>0</v>
      </c>
      <c r="N314" t="inlineStr">
        <is>
          <t>ref</t>
        </is>
      </c>
      <c r="O314" t="n">
        <v>-80</v>
      </c>
      <c r="P314" t="n">
        <v>0.05606</v>
      </c>
      <c r="Q314" t="n">
        <v>-80</v>
      </c>
      <c r="R314" t="n">
        <v>0.501</v>
      </c>
      <c r="S314">
        <f>IMAGE("https://mitra.stanford.edu/kundaje/oak/projects/neuro-variants/variant_position/credible/roussos_2024/variant_figures/roussos_2024.childhood.GABA/rs55906130_count_position.png",4,220,900)</f>
        <v/>
      </c>
      <c r="T314">
        <f>IMAGE("https://mitra.stanford.edu/kundaje/oak/projects/neuro-variants/variant_position/credible/roussos_2024/variant_figures/roussos_2024.childhood.GABA/rs55906130_profile_position.png",4,220,900)</f>
        <v/>
      </c>
    </row>
    <row r="315">
      <c r="A315" t="inlineStr">
        <is>
          <t>chr1</t>
        </is>
      </c>
      <c r="B315" t="n">
        <v>179366027</v>
      </c>
      <c r="C315" t="inlineStr">
        <is>
          <t>G</t>
        </is>
      </c>
      <c r="D315" t="inlineStr">
        <is>
          <t>C</t>
        </is>
      </c>
      <c r="E315" t="inlineStr">
        <is>
          <t>rs11577489</t>
        </is>
      </c>
      <c r="F315" t="n">
        <v>0.0923109792</v>
      </c>
      <c r="G315" t="n">
        <v>0.0401811318795001</v>
      </c>
      <c r="H315" t="n">
        <v>0.0227334231620937</v>
      </c>
      <c r="I315" t="n">
        <v>0.0452930154795832</v>
      </c>
      <c r="J315" t="n">
        <v>0.8515538941592846</v>
      </c>
      <c r="K315" t="n">
        <v>0.0035623959604964</v>
      </c>
      <c r="L315" t="b">
        <v>0</v>
      </c>
      <c r="M315" t="b">
        <v>0</v>
      </c>
      <c r="N315" t="inlineStr">
        <is>
          <t>alt</t>
        </is>
      </c>
      <c r="O315" t="n">
        <v>-100</v>
      </c>
      <c r="P315" t="n">
        <v>0.002045</v>
      </c>
      <c r="Q315" t="n">
        <v>-15</v>
      </c>
      <c r="R315" t="n">
        <v>0.0349</v>
      </c>
      <c r="S315">
        <f>IMAGE("https://mitra.stanford.edu/kundaje/oak/projects/neuro-variants/variant_position/credible/roussos_2024/variant_figures/roussos_2024.childhood.GABA/rs11577489_count_position.png",4,220,900)</f>
        <v/>
      </c>
      <c r="T315">
        <f>IMAGE("https://mitra.stanford.edu/kundaje/oak/projects/neuro-variants/variant_position/credible/roussos_2024/variant_figures/roussos_2024.childhood.GABA/rs11577489_profile_position.png",4,220,900)</f>
        <v/>
      </c>
    </row>
    <row r="316">
      <c r="A316" t="inlineStr">
        <is>
          <t>chr1</t>
        </is>
      </c>
      <c r="B316" t="n">
        <v>179401787</v>
      </c>
      <c r="C316" t="inlineStr">
        <is>
          <t>G</t>
        </is>
      </c>
      <c r="D316" t="inlineStr">
        <is>
          <t>A</t>
        </is>
      </c>
      <c r="E316" t="inlineStr">
        <is>
          <t>rs12135111</t>
        </is>
      </c>
      <c r="F316" t="n">
        <v>0.050392247</v>
      </c>
      <c r="G316" t="n">
        <v>0.1453447884840264</v>
      </c>
      <c r="H316" t="n">
        <v>0.010174464461293</v>
      </c>
      <c r="I316" t="n">
        <v>0.5797817831641452</v>
      </c>
      <c r="J316" t="n">
        <v>0.0591704885761554</v>
      </c>
      <c r="K316" t="n">
        <v>0.478031508410174</v>
      </c>
      <c r="L316" t="b">
        <v>0</v>
      </c>
      <c r="M316" t="b">
        <v>0</v>
      </c>
      <c r="N316" t="inlineStr">
        <is>
          <t>alt</t>
        </is>
      </c>
      <c r="O316" t="n">
        <v>100</v>
      </c>
      <c r="P316" t="n">
        <v>0.003006</v>
      </c>
      <c r="Q316" t="n">
        <v>-20</v>
      </c>
      <c r="R316" t="n">
        <v>0.05573</v>
      </c>
      <c r="S316">
        <f>IMAGE("https://mitra.stanford.edu/kundaje/oak/projects/neuro-variants/variant_position/credible/roussos_2024/variant_figures/roussos_2024.childhood.GABA/rs12135111_count_position.png",4,220,900)</f>
        <v/>
      </c>
      <c r="T316">
        <f>IMAGE("https://mitra.stanford.edu/kundaje/oak/projects/neuro-variants/variant_position/credible/roussos_2024/variant_figures/roussos_2024.childhood.GABA/rs12135111_profile_position.png",4,220,900)</f>
        <v/>
      </c>
    </row>
    <row r="317">
      <c r="A317" t="inlineStr">
        <is>
          <t>chr1</t>
        </is>
      </c>
      <c r="B317" t="n">
        <v>179410866</v>
      </c>
      <c r="C317" t="inlineStr">
        <is>
          <t>A</t>
        </is>
      </c>
      <c r="D317" t="inlineStr">
        <is>
          <t>G</t>
        </is>
      </c>
      <c r="E317" t="inlineStr">
        <is>
          <t>rs6674331</t>
        </is>
      </c>
      <c r="F317" t="n">
        <v>-0.00764006392</v>
      </c>
      <c r="G317" t="n">
        <v>0.6973765063700397</v>
      </c>
      <c r="H317" t="n">
        <v>0.0186779820944218</v>
      </c>
      <c r="I317" t="n">
        <v>0.0989194741522559</v>
      </c>
      <c r="J317" t="n">
        <v>5.130782601410342e-05</v>
      </c>
      <c r="K317" t="n">
        <v>0.9883531138503708</v>
      </c>
      <c r="L317" t="b">
        <v>0</v>
      </c>
      <c r="M317" t="b">
        <v>0</v>
      </c>
      <c r="N317" t="inlineStr">
        <is>
          <t>ref</t>
        </is>
      </c>
      <c r="O317" t="n">
        <v>85</v>
      </c>
      <c r="P317" t="n">
        <v>0.01936</v>
      </c>
      <c r="Q317" t="n">
        <v>95</v>
      </c>
      <c r="R317" t="n">
        <v>0.01721</v>
      </c>
      <c r="S317">
        <f>IMAGE("https://mitra.stanford.edu/kundaje/oak/projects/neuro-variants/variant_position/credible/roussos_2024/variant_figures/roussos_2024.childhood.GABA/rs6674331_count_position.png",4,220,900)</f>
        <v/>
      </c>
      <c r="T317">
        <f>IMAGE("https://mitra.stanford.edu/kundaje/oak/projects/neuro-variants/variant_position/credible/roussos_2024/variant_figures/roussos_2024.childhood.GABA/rs6674331_profile_position.png",4,220,900)</f>
        <v/>
      </c>
    </row>
    <row r="318">
      <c r="A318" t="inlineStr">
        <is>
          <t>chr1</t>
        </is>
      </c>
      <c r="B318" t="n">
        <v>179418596</v>
      </c>
      <c r="C318" t="inlineStr">
        <is>
          <t>G</t>
        </is>
      </c>
      <c r="D318" t="inlineStr">
        <is>
          <t>A</t>
        </is>
      </c>
      <c r="E318" t="inlineStr">
        <is>
          <t>rs202196017</t>
        </is>
      </c>
      <c r="F318" t="n">
        <v>-0.0028467493</v>
      </c>
      <c r="G318" t="n">
        <v>0.7809564267598631</v>
      </c>
      <c r="H318" t="n">
        <v>0.038399804637867</v>
      </c>
      <c r="I318" t="n">
        <v>0.004569271060311</v>
      </c>
      <c r="J318" t="n">
        <v>0.3553014596552951</v>
      </c>
      <c r="K318" t="n">
        <v>0.1053963212387396</v>
      </c>
      <c r="L318" t="b">
        <v>1</v>
      </c>
      <c r="M318" t="b">
        <v>1</v>
      </c>
      <c r="N318" t="inlineStr">
        <is>
          <t>ref</t>
        </is>
      </c>
      <c r="O318" t="n">
        <v>35</v>
      </c>
      <c r="P318" t="n">
        <v>0.01538</v>
      </c>
      <c r="Q318" t="n">
        <v>100</v>
      </c>
      <c r="R318" t="n">
        <v>0.05597</v>
      </c>
      <c r="S318">
        <f>IMAGE("https://mitra.stanford.edu/kundaje/oak/projects/neuro-variants/variant_position/credible/roussos_2024/variant_figures/roussos_2024.childhood.GABA/rs202196017_count_position.png",4,220,900)</f>
        <v/>
      </c>
      <c r="T318">
        <f>IMAGE("https://mitra.stanford.edu/kundaje/oak/projects/neuro-variants/variant_position/credible/roussos_2024/variant_figures/roussos_2024.childhood.GABA/rs202196017_profile_position.png",4,220,900)</f>
        <v/>
      </c>
    </row>
    <row r="319">
      <c r="A319" t="inlineStr">
        <is>
          <t>chr1</t>
        </is>
      </c>
      <c r="B319" t="n">
        <v>179431748</v>
      </c>
      <c r="C319" t="inlineStr">
        <is>
          <t>G</t>
        </is>
      </c>
      <c r="D319" t="inlineStr">
        <is>
          <t>A</t>
        </is>
      </c>
      <c r="E319" t="inlineStr">
        <is>
          <t>rs12120123</t>
        </is>
      </c>
      <c r="F319" t="n">
        <v>-0.0080373751199999</v>
      </c>
      <c r="G319" t="n">
        <v>0.6223163135566976</v>
      </c>
      <c r="H319" t="n">
        <v>0.009160262210682901</v>
      </c>
      <c r="I319" t="n">
        <v>0.7300976068736298</v>
      </c>
      <c r="J319" t="n">
        <v>0.0438681912420681</v>
      </c>
      <c r="K319" t="n">
        <v>0.5095734738826539</v>
      </c>
      <c r="L319" t="b">
        <v>0</v>
      </c>
      <c r="M319" t="b">
        <v>0</v>
      </c>
      <c r="N319" t="inlineStr">
        <is>
          <t>ref</t>
        </is>
      </c>
      <c r="O319" t="n">
        <v>-65</v>
      </c>
      <c r="P319" t="n">
        <v>0.0362</v>
      </c>
      <c r="Q319" t="n">
        <v>80</v>
      </c>
      <c r="R319" t="n">
        <v>0.1818</v>
      </c>
      <c r="S319">
        <f>IMAGE("https://mitra.stanford.edu/kundaje/oak/projects/neuro-variants/variant_position/credible/roussos_2024/variant_figures/roussos_2024.childhood.GABA/rs12120123_count_position.png",4,220,900)</f>
        <v/>
      </c>
      <c r="T319">
        <f>IMAGE("https://mitra.stanford.edu/kundaje/oak/projects/neuro-variants/variant_position/credible/roussos_2024/variant_figures/roussos_2024.childhood.GABA/rs12120123_profile_position.png",4,220,900)</f>
        <v/>
      </c>
    </row>
    <row r="320">
      <c r="A320" t="inlineStr">
        <is>
          <t>chr1</t>
        </is>
      </c>
      <c r="B320" t="n">
        <v>179432368</v>
      </c>
      <c r="C320" t="inlineStr">
        <is>
          <t>G</t>
        </is>
      </c>
      <c r="D320" t="inlineStr">
        <is>
          <t>A</t>
        </is>
      </c>
      <c r="E320" t="inlineStr">
        <is>
          <t>rs12097041</t>
        </is>
      </c>
      <c r="F320" t="n">
        <v>-0.0313372682</v>
      </c>
      <c r="G320" t="n">
        <v>0.2966978112253906</v>
      </c>
      <c r="H320" t="n">
        <v>0.0109128399944013</v>
      </c>
      <c r="I320" t="n">
        <v>0.5226648738653427</v>
      </c>
      <c r="J320" t="n">
        <v>0.0224319909530689</v>
      </c>
      <c r="K320" t="n">
        <v>0.6266835120095116</v>
      </c>
      <c r="L320" t="b">
        <v>0</v>
      </c>
      <c r="M320" t="b">
        <v>0</v>
      </c>
      <c r="N320" t="inlineStr">
        <is>
          <t>ref</t>
        </is>
      </c>
      <c r="O320" t="n">
        <v>0</v>
      </c>
      <c r="P320" t="n">
        <v>0</v>
      </c>
      <c r="Q320" t="n">
        <v>-15</v>
      </c>
      <c r="R320" t="n">
        <v>0.00783</v>
      </c>
      <c r="S320">
        <f>IMAGE("https://mitra.stanford.edu/kundaje/oak/projects/neuro-variants/variant_position/credible/roussos_2024/variant_figures/roussos_2024.childhood.GABA/rs12097041_count_position.png",4,220,900)</f>
        <v/>
      </c>
      <c r="T320">
        <f>IMAGE("https://mitra.stanford.edu/kundaje/oak/projects/neuro-variants/variant_position/credible/roussos_2024/variant_figures/roussos_2024.childhood.GABA/rs12097041_profile_position.png",4,220,900)</f>
        <v/>
      </c>
    </row>
    <row r="321">
      <c r="A321" t="inlineStr">
        <is>
          <t>chr1</t>
        </is>
      </c>
      <c r="B321" t="n">
        <v>179438855</v>
      </c>
      <c r="C321" t="inlineStr">
        <is>
          <t>A</t>
        </is>
      </c>
      <c r="D321" t="inlineStr">
        <is>
          <t>G</t>
        </is>
      </c>
      <c r="E321" t="inlineStr">
        <is>
          <t>rs12118625</t>
        </is>
      </c>
      <c r="F321" t="n">
        <v>0.061290869</v>
      </c>
      <c r="G321" t="n">
        <v>0.09310710287925759</v>
      </c>
      <c r="H321" t="n">
        <v>0.0135011744698362</v>
      </c>
      <c r="I321" t="n">
        <v>0.3161600218926744</v>
      </c>
      <c r="J321" t="n">
        <v>0.3512743188624322</v>
      </c>
      <c r="K321" t="n">
        <v>0.108060639676456</v>
      </c>
      <c r="L321" t="b">
        <v>0</v>
      </c>
      <c r="M321" t="b">
        <v>0</v>
      </c>
      <c r="N321" t="inlineStr">
        <is>
          <t>alt</t>
        </is>
      </c>
      <c r="O321" t="n">
        <v>85</v>
      </c>
      <c r="P321" t="n">
        <v>0.01114</v>
      </c>
      <c r="Q321" t="n">
        <v>65</v>
      </c>
      <c r="R321" t="n">
        <v>0.2056</v>
      </c>
      <c r="S321">
        <f>IMAGE("https://mitra.stanford.edu/kundaje/oak/projects/neuro-variants/variant_position/credible/roussos_2024/variant_figures/roussos_2024.childhood.GABA/rs12118625_count_position.png",4,220,900)</f>
        <v/>
      </c>
      <c r="T321">
        <f>IMAGE("https://mitra.stanford.edu/kundaje/oak/projects/neuro-variants/variant_position/credible/roussos_2024/variant_figures/roussos_2024.childhood.GABA/rs12118625_profile_position.png",4,220,900)</f>
        <v/>
      </c>
    </row>
    <row r="322">
      <c r="A322" t="inlineStr">
        <is>
          <t>chr1</t>
        </is>
      </c>
      <c r="B322" t="n">
        <v>179441828</v>
      </c>
      <c r="C322" t="inlineStr">
        <is>
          <t>T</t>
        </is>
      </c>
      <c r="D322" t="inlineStr">
        <is>
          <t>C</t>
        </is>
      </c>
      <c r="E322" t="inlineStr">
        <is>
          <t>rs10913758</t>
        </is>
      </c>
      <c r="F322" t="n">
        <v>0.0322506488</v>
      </c>
      <c r="G322" t="n">
        <v>0.2705055474787241</v>
      </c>
      <c r="H322" t="n">
        <v>0.0132817255806338</v>
      </c>
      <c r="I322" t="n">
        <v>0.3314701931123658</v>
      </c>
      <c r="J322" t="n">
        <v>0.3795229419279177</v>
      </c>
      <c r="K322" t="n">
        <v>0.0942983125046002</v>
      </c>
      <c r="L322" t="b">
        <v>0</v>
      </c>
      <c r="M322" t="b">
        <v>0</v>
      </c>
      <c r="N322" t="inlineStr">
        <is>
          <t>alt</t>
        </is>
      </c>
      <c r="O322" t="n">
        <v>65</v>
      </c>
      <c r="P322" t="n">
        <v>0.00402</v>
      </c>
      <c r="Q322" t="n">
        <v>-25</v>
      </c>
      <c r="R322" t="n">
        <v>0.02576</v>
      </c>
      <c r="S322">
        <f>IMAGE("https://mitra.stanford.edu/kundaje/oak/projects/neuro-variants/variant_position/credible/roussos_2024/variant_figures/roussos_2024.childhood.GABA/rs10913758_count_position.png",4,220,900)</f>
        <v/>
      </c>
      <c r="T322">
        <f>IMAGE("https://mitra.stanford.edu/kundaje/oak/projects/neuro-variants/variant_position/credible/roussos_2024/variant_figures/roussos_2024.childhood.GABA/rs10913758_profile_position.png",4,220,900)</f>
        <v/>
      </c>
    </row>
    <row r="323">
      <c r="A323" t="inlineStr">
        <is>
          <t>chr1</t>
        </is>
      </c>
      <c r="B323" t="n">
        <v>179460507</v>
      </c>
      <c r="C323" t="inlineStr">
        <is>
          <t>C</t>
        </is>
      </c>
      <c r="D323" t="inlineStr">
        <is>
          <t>T</t>
        </is>
      </c>
      <c r="E323" t="inlineStr">
        <is>
          <t>rs36144856</t>
        </is>
      </c>
      <c r="F323" t="n">
        <v>-0.0301948369999999</v>
      </c>
      <c r="G323" t="n">
        <v>0.2854371457852011</v>
      </c>
      <c r="H323" t="n">
        <v>0.0129734600985816</v>
      </c>
      <c r="I323" t="n">
        <v>0.3545200453125139</v>
      </c>
      <c r="J323" t="n">
        <v>0.0007643818977612</v>
      </c>
      <c r="K323" t="n">
        <v>0.9354704770397404</v>
      </c>
      <c r="L323" t="b">
        <v>0</v>
      </c>
      <c r="M323" t="b">
        <v>0</v>
      </c>
      <c r="N323" t="inlineStr">
        <is>
          <t>ref</t>
        </is>
      </c>
      <c r="O323" t="n">
        <v>35</v>
      </c>
      <c r="P323" t="n">
        <v>0.000572</v>
      </c>
      <c r="Q323" t="n">
        <v>0</v>
      </c>
      <c r="R323" t="n">
        <v>0</v>
      </c>
      <c r="S323">
        <f>IMAGE("https://mitra.stanford.edu/kundaje/oak/projects/neuro-variants/variant_position/credible/roussos_2024/variant_figures/roussos_2024.childhood.GABA/rs36144856_count_position.png",4,220,900)</f>
        <v/>
      </c>
      <c r="T323">
        <f>IMAGE("https://mitra.stanford.edu/kundaje/oak/projects/neuro-variants/variant_position/credible/roussos_2024/variant_figures/roussos_2024.childhood.GABA/rs36144856_profile_position.png",4,220,900)</f>
        <v/>
      </c>
    </row>
    <row r="324">
      <c r="A324" t="inlineStr">
        <is>
          <t>chr1</t>
        </is>
      </c>
      <c r="B324" t="n">
        <v>179467153</v>
      </c>
      <c r="C324" t="inlineStr">
        <is>
          <t>A</t>
        </is>
      </c>
      <c r="D324" t="inlineStr">
        <is>
          <t>G</t>
        </is>
      </c>
      <c r="E324" t="inlineStr">
        <is>
          <t>rs12131475</t>
        </is>
      </c>
      <c r="F324" t="n">
        <v>0.0454766309999999</v>
      </c>
      <c r="G324" t="n">
        <v>0.1663533893199415</v>
      </c>
      <c r="H324" t="n">
        <v>0.0173798762098522</v>
      </c>
      <c r="I324" t="n">
        <v>0.1314525379682263</v>
      </c>
      <c r="J324" t="n">
        <v>0.0077422462356808</v>
      </c>
      <c r="K324" t="n">
        <v>0.7700583637566984</v>
      </c>
      <c r="L324" t="b">
        <v>0</v>
      </c>
      <c r="M324" t="b">
        <v>0</v>
      </c>
      <c r="N324" t="inlineStr">
        <is>
          <t>alt</t>
        </is>
      </c>
      <c r="O324" t="n">
        <v>15</v>
      </c>
      <c r="P324" t="n">
        <v>0.002075</v>
      </c>
      <c r="Q324" t="n">
        <v>100</v>
      </c>
      <c r="R324" t="n">
        <v>0.01791</v>
      </c>
      <c r="S324">
        <f>IMAGE("https://mitra.stanford.edu/kundaje/oak/projects/neuro-variants/variant_position/credible/roussos_2024/variant_figures/roussos_2024.childhood.GABA/rs12131475_count_position.png",4,220,900)</f>
        <v/>
      </c>
      <c r="T324">
        <f>IMAGE("https://mitra.stanford.edu/kundaje/oak/projects/neuro-variants/variant_position/credible/roussos_2024/variant_figures/roussos_2024.childhood.GABA/rs12131475_profile_position.png",4,220,900)</f>
        <v/>
      </c>
    </row>
    <row r="325">
      <c r="A325" t="inlineStr">
        <is>
          <t>chr1</t>
        </is>
      </c>
      <c r="B325" t="n">
        <v>179469373</v>
      </c>
      <c r="C325" t="inlineStr">
        <is>
          <t>C</t>
        </is>
      </c>
      <c r="D325" t="inlineStr">
        <is>
          <t>T</t>
        </is>
      </c>
      <c r="E325" t="inlineStr">
        <is>
          <t>rs1928006</t>
        </is>
      </c>
      <c r="F325" t="n">
        <v>0.182311078</v>
      </c>
      <c r="G325" t="n">
        <v>0.006200181573593</v>
      </c>
      <c r="H325" t="n">
        <v>0.0311457550649811</v>
      </c>
      <c r="I325" t="n">
        <v>0.011467786206808</v>
      </c>
      <c r="J325" t="n">
        <v>0.0243858767355657</v>
      </c>
      <c r="K325" t="n">
        <v>0.6187822992005966</v>
      </c>
      <c r="L325" t="b">
        <v>1</v>
      </c>
      <c r="M325" t="b">
        <v>1</v>
      </c>
      <c r="N325" t="inlineStr">
        <is>
          <t>alt</t>
        </is>
      </c>
      <c r="O325" t="n">
        <v>-35</v>
      </c>
      <c r="P325" t="n">
        <v>0.002945</v>
      </c>
      <c r="Q325" t="n">
        <v>95</v>
      </c>
      <c r="R325" t="n">
        <v>0.1508</v>
      </c>
      <c r="S325">
        <f>IMAGE("https://mitra.stanford.edu/kundaje/oak/projects/neuro-variants/variant_position/credible/roussos_2024/variant_figures/roussos_2024.childhood.GABA/rs1928006_count_position.png",4,220,900)</f>
        <v/>
      </c>
      <c r="T325">
        <f>IMAGE("https://mitra.stanford.edu/kundaje/oak/projects/neuro-variants/variant_position/credible/roussos_2024/variant_figures/roussos_2024.childhood.GABA/rs1928006_profile_position.png",4,220,900)</f>
        <v/>
      </c>
    </row>
    <row r="326">
      <c r="A326" t="inlineStr">
        <is>
          <t>chr1</t>
        </is>
      </c>
      <c r="B326" t="n">
        <v>179474904</v>
      </c>
      <c r="C326" t="inlineStr">
        <is>
          <t>G</t>
        </is>
      </c>
      <c r="D326" t="inlineStr">
        <is>
          <t>A</t>
        </is>
      </c>
      <c r="E326" t="inlineStr">
        <is>
          <t>rs36100834</t>
        </is>
      </c>
      <c r="F326" t="n">
        <v>0.03925019936</v>
      </c>
      <c r="G326" t="n">
        <v>0.2174298743892234</v>
      </c>
      <c r="H326" t="n">
        <v>0.0092015197087653</v>
      </c>
      <c r="I326" t="n">
        <v>0.7220508285038433</v>
      </c>
      <c r="J326" t="n">
        <v>0.0621966032124981</v>
      </c>
      <c r="K326" t="n">
        <v>0.4588492082293429</v>
      </c>
      <c r="L326" t="b">
        <v>0</v>
      </c>
      <c r="M326" t="b">
        <v>0</v>
      </c>
      <c r="N326" t="inlineStr">
        <is>
          <t>alt</t>
        </is>
      </c>
      <c r="O326" t="n">
        <v>-100</v>
      </c>
      <c r="P326" t="n">
        <v>0.02867</v>
      </c>
      <c r="Q326" t="n">
        <v>-40</v>
      </c>
      <c r="R326" t="n">
        <v>0.11523</v>
      </c>
      <c r="S326">
        <f>IMAGE("https://mitra.stanford.edu/kundaje/oak/projects/neuro-variants/variant_position/credible/roussos_2024/variant_figures/roussos_2024.childhood.GABA/rs36100834_count_position.png",4,220,900)</f>
        <v/>
      </c>
      <c r="T326">
        <f>IMAGE("https://mitra.stanford.edu/kundaje/oak/projects/neuro-variants/variant_position/credible/roussos_2024/variant_figures/roussos_2024.childhood.GABA/rs36100834_profile_position.png",4,220,900)</f>
        <v/>
      </c>
    </row>
    <row r="327">
      <c r="A327" t="inlineStr">
        <is>
          <t>chr1</t>
        </is>
      </c>
      <c r="B327" t="n">
        <v>179475676</v>
      </c>
      <c r="C327" t="inlineStr">
        <is>
          <t>A</t>
        </is>
      </c>
      <c r="D327" t="inlineStr">
        <is>
          <t>G</t>
        </is>
      </c>
      <c r="E327" t="inlineStr">
        <is>
          <t>rs61826032</t>
        </is>
      </c>
      <c r="F327" t="n">
        <v>-0.0429545192</v>
      </c>
      <c r="G327" t="n">
        <v>0.1996635247211648</v>
      </c>
      <c r="H327" t="n">
        <v>0.0270901332230171</v>
      </c>
      <c r="I327" t="n">
        <v>0.019709943416567</v>
      </c>
      <c r="J327" t="n">
        <v>0.0170697995853489</v>
      </c>
      <c r="K327" t="n">
        <v>0.6923313463269465</v>
      </c>
      <c r="L327" t="b">
        <v>1</v>
      </c>
      <c r="M327" t="b">
        <v>0</v>
      </c>
      <c r="N327" t="inlineStr">
        <is>
          <t>ref</t>
        </is>
      </c>
      <c r="O327" t="n">
        <v>-100</v>
      </c>
      <c r="P327" t="n">
        <v>0.00116</v>
      </c>
      <c r="Q327" t="n">
        <v>75</v>
      </c>
      <c r="R327" t="n">
        <v>0.0543</v>
      </c>
      <c r="S327">
        <f>IMAGE("https://mitra.stanford.edu/kundaje/oak/projects/neuro-variants/variant_position/credible/roussos_2024/variant_figures/roussos_2024.childhood.GABA/rs61826032_count_position.png",4,220,900)</f>
        <v/>
      </c>
      <c r="T327">
        <f>IMAGE("https://mitra.stanford.edu/kundaje/oak/projects/neuro-variants/variant_position/credible/roussos_2024/variant_figures/roussos_2024.childhood.GABA/rs61826032_profile_position.png",4,220,900)</f>
        <v/>
      </c>
    </row>
    <row r="328">
      <c r="A328" t="inlineStr">
        <is>
          <t>chr1</t>
        </is>
      </c>
      <c r="B328" t="n">
        <v>179484912</v>
      </c>
      <c r="C328" t="inlineStr">
        <is>
          <t>C</t>
        </is>
      </c>
      <c r="D328" t="inlineStr">
        <is>
          <t>A</t>
        </is>
      </c>
      <c r="E328" t="inlineStr">
        <is>
          <t>rs35954891</t>
        </is>
      </c>
      <c r="F328" t="n">
        <v>0.0243157614</v>
      </c>
      <c r="G328" t="n">
        <v>0.3575449055896554</v>
      </c>
      <c r="H328" t="n">
        <v>0.0186500880028863</v>
      </c>
      <c r="I328" t="n">
        <v>0.1031120326608032</v>
      </c>
      <c r="J328" t="n">
        <v>0.1569851940273501</v>
      </c>
      <c r="K328" t="n">
        <v>0.2870302575488422</v>
      </c>
      <c r="L328" t="b">
        <v>0</v>
      </c>
      <c r="M328" t="b">
        <v>0</v>
      </c>
      <c r="N328" t="inlineStr">
        <is>
          <t>alt</t>
        </is>
      </c>
      <c r="O328" t="n">
        <v>-10</v>
      </c>
      <c r="P328" t="n">
        <v>0.001518</v>
      </c>
      <c r="Q328" t="n">
        <v>85</v>
      </c>
      <c r="R328" t="n">
        <v>0.02602</v>
      </c>
      <c r="S328">
        <f>IMAGE("https://mitra.stanford.edu/kundaje/oak/projects/neuro-variants/variant_position/credible/roussos_2024/variant_figures/roussos_2024.childhood.GABA/rs35954891_count_position.png",4,220,900)</f>
        <v/>
      </c>
      <c r="T328">
        <f>IMAGE("https://mitra.stanford.edu/kundaje/oak/projects/neuro-variants/variant_position/credible/roussos_2024/variant_figures/roussos_2024.childhood.GABA/rs35954891_profile_position.png",4,220,900)</f>
        <v/>
      </c>
    </row>
    <row r="329">
      <c r="A329" t="inlineStr">
        <is>
          <t>chr1</t>
        </is>
      </c>
      <c r="B329" t="n">
        <v>179515686</v>
      </c>
      <c r="C329" t="inlineStr">
        <is>
          <t>C</t>
        </is>
      </c>
      <c r="D329" t="inlineStr">
        <is>
          <t>A</t>
        </is>
      </c>
      <c r="E329" t="inlineStr">
        <is>
          <t>rs10913808</t>
        </is>
      </c>
      <c r="F329" t="n">
        <v>0.00021616708</v>
      </c>
      <c r="G329" t="n">
        <v>0.8361921501635196</v>
      </c>
      <c r="H329" t="n">
        <v>0.0201368024355112</v>
      </c>
      <c r="I329" t="n">
        <v>0.0726958167590613</v>
      </c>
      <c r="J329" t="n">
        <v>0.0123589034784611</v>
      </c>
      <c r="K329" t="n">
        <v>0.7188559681197857</v>
      </c>
      <c r="L329" t="b">
        <v>0</v>
      </c>
      <c r="M329" t="b">
        <v>0</v>
      </c>
      <c r="N329" t="inlineStr">
        <is>
          <t>alt</t>
        </is>
      </c>
      <c r="O329" t="n">
        <v>90</v>
      </c>
      <c r="P329" t="n">
        <v>0.002838</v>
      </c>
      <c r="Q329" t="n">
        <v>55</v>
      </c>
      <c r="R329" t="n">
        <v>0.05927</v>
      </c>
      <c r="S329">
        <f>IMAGE("https://mitra.stanford.edu/kundaje/oak/projects/neuro-variants/variant_position/credible/roussos_2024/variant_figures/roussos_2024.childhood.GABA/rs10913808_count_position.png",4,220,900)</f>
        <v/>
      </c>
      <c r="T329">
        <f>IMAGE("https://mitra.stanford.edu/kundaje/oak/projects/neuro-variants/variant_position/credible/roussos_2024/variant_figures/roussos_2024.childhood.GABA/rs10913808_profile_position.png",4,220,900)</f>
        <v/>
      </c>
    </row>
    <row r="330">
      <c r="A330" t="inlineStr">
        <is>
          <t>chr1</t>
        </is>
      </c>
      <c r="B330" t="n">
        <v>179542905</v>
      </c>
      <c r="C330" t="inlineStr">
        <is>
          <t>G</t>
        </is>
      </c>
      <c r="D330" t="inlineStr">
        <is>
          <t>A</t>
        </is>
      </c>
      <c r="E330" t="inlineStr">
        <is>
          <t>rs12135209</t>
        </is>
      </c>
      <c r="F330" t="n">
        <v>-0.1246590959999999</v>
      </c>
      <c r="G330" t="n">
        <v>0.0168748724551772</v>
      </c>
      <c r="H330" t="n">
        <v>0.0184198977569611</v>
      </c>
      <c r="I330" t="n">
        <v>0.1055138090231926</v>
      </c>
      <c r="J330" t="n">
        <v>0.0691765617473979</v>
      </c>
      <c r="K330" t="n">
        <v>0.443670236409611</v>
      </c>
      <c r="L330" t="b">
        <v>1</v>
      </c>
      <c r="M330" t="b">
        <v>0</v>
      </c>
      <c r="N330" t="inlineStr">
        <is>
          <t>ref</t>
        </is>
      </c>
      <c r="O330" t="n">
        <v>75</v>
      </c>
      <c r="P330" t="n">
        <v>0.002659</v>
      </c>
      <c r="Q330" t="n">
        <v>-60</v>
      </c>
      <c r="R330" t="n">
        <v>0.0646</v>
      </c>
      <c r="S330">
        <f>IMAGE("https://mitra.stanford.edu/kundaje/oak/projects/neuro-variants/variant_position/credible/roussos_2024/variant_figures/roussos_2024.childhood.GABA/rs12135209_count_position.png",4,220,900)</f>
        <v/>
      </c>
      <c r="T330">
        <f>IMAGE("https://mitra.stanford.edu/kundaje/oak/projects/neuro-variants/variant_position/credible/roussos_2024/variant_figures/roussos_2024.childhood.GABA/rs12135209_profile_position.png",4,220,900)</f>
        <v/>
      </c>
    </row>
    <row r="331">
      <c r="A331" t="inlineStr">
        <is>
          <t>chr1</t>
        </is>
      </c>
      <c r="B331" t="n">
        <v>200895854</v>
      </c>
      <c r="C331" t="inlineStr">
        <is>
          <t>C</t>
        </is>
      </c>
      <c r="D331" t="inlineStr">
        <is>
          <t>T</t>
        </is>
      </c>
      <c r="E331" t="inlineStr">
        <is>
          <t>rs296534</t>
        </is>
      </c>
      <c r="F331" t="n">
        <v>-0.008971460339999999</v>
      </c>
      <c r="G331" t="n">
        <v>0.6658457537536843</v>
      </c>
      <c r="H331" t="n">
        <v>0.0089702707594042</v>
      </c>
      <c r="I331" t="n">
        <v>0.7567505127094414</v>
      </c>
      <c r="J331" t="n">
        <v>0.4075841343636782</v>
      </c>
      <c r="K331" t="n">
        <v>0.0824327122996304</v>
      </c>
      <c r="L331" t="b">
        <v>0</v>
      </c>
      <c r="M331" t="b">
        <v>0</v>
      </c>
      <c r="N331" t="inlineStr">
        <is>
          <t>ref</t>
        </is>
      </c>
      <c r="O331" t="n">
        <v>50</v>
      </c>
      <c r="P331" t="n">
        <v>0.000952</v>
      </c>
      <c r="Q331" t="n">
        <v>-65</v>
      </c>
      <c r="R331" t="n">
        <v>0.095</v>
      </c>
      <c r="S331">
        <f>IMAGE("https://mitra.stanford.edu/kundaje/oak/projects/neuro-variants/variant_position/credible/roussos_2024/variant_figures/roussos_2024.childhood.GABA/rs296534_count_position.png",4,220,900)</f>
        <v/>
      </c>
      <c r="T331">
        <f>IMAGE("https://mitra.stanford.edu/kundaje/oak/projects/neuro-variants/variant_position/credible/roussos_2024/variant_figures/roussos_2024.childhood.GABA/rs296534_profile_position.png",4,220,900)</f>
        <v/>
      </c>
    </row>
    <row r="332">
      <c r="A332" t="inlineStr">
        <is>
          <t>chr1</t>
        </is>
      </c>
      <c r="B332" t="n">
        <v>200951234</v>
      </c>
      <c r="C332" t="inlineStr">
        <is>
          <t>G</t>
        </is>
      </c>
      <c r="D332" t="inlineStr">
        <is>
          <t>A</t>
        </is>
      </c>
      <c r="E332" t="inlineStr">
        <is>
          <t>rs11579874</t>
        </is>
      </c>
      <c r="F332" t="n">
        <v>0.0035533699599999</v>
      </c>
      <c r="G332" t="n">
        <v>0.7841216400843504</v>
      </c>
      <c r="H332" t="n">
        <v>0.0084910206704213</v>
      </c>
      <c r="I332" t="n">
        <v>0.7998747831607789</v>
      </c>
      <c r="J332" t="n">
        <v>0.0208121295889091</v>
      </c>
      <c r="K332" t="n">
        <v>0.6387168745864115</v>
      </c>
      <c r="L332" t="b">
        <v>0</v>
      </c>
      <c r="M332" t="b">
        <v>0</v>
      </c>
      <c r="N332" t="inlineStr">
        <is>
          <t>alt</t>
        </is>
      </c>
      <c r="O332" t="n">
        <v>-100</v>
      </c>
      <c r="P332" t="n">
        <v>0.01726</v>
      </c>
      <c r="Q332" t="n">
        <v>90</v>
      </c>
      <c r="R332" t="n">
        <v>0.0761</v>
      </c>
      <c r="S332">
        <f>IMAGE("https://mitra.stanford.edu/kundaje/oak/projects/neuro-variants/variant_position/credible/roussos_2024/variant_figures/roussos_2024.childhood.GABA/rs11579874_count_position.png",4,220,900)</f>
        <v/>
      </c>
      <c r="T332">
        <f>IMAGE("https://mitra.stanford.edu/kundaje/oak/projects/neuro-variants/variant_position/credible/roussos_2024/variant_figures/roussos_2024.childhood.GABA/rs11579874_profile_position.png",4,220,900)</f>
        <v/>
      </c>
    </row>
    <row r="333">
      <c r="A333" t="inlineStr">
        <is>
          <t>chr1</t>
        </is>
      </c>
      <c r="B333" t="n">
        <v>200965304</v>
      </c>
      <c r="C333" t="inlineStr">
        <is>
          <t>C</t>
        </is>
      </c>
      <c r="D333" t="inlineStr">
        <is>
          <t>T</t>
        </is>
      </c>
      <c r="E333" t="inlineStr">
        <is>
          <t>rs4915471</t>
        </is>
      </c>
      <c r="F333" t="n">
        <v>0.028268027</v>
      </c>
      <c r="G333" t="n">
        <v>0.3080219866903448</v>
      </c>
      <c r="H333" t="n">
        <v>0.0192364123499016</v>
      </c>
      <c r="I333" t="n">
        <v>0.08949909521658481</v>
      </c>
      <c r="J333" t="n">
        <v>0.1641515360934849</v>
      </c>
      <c r="K333" t="n">
        <v>0.2674246381261608</v>
      </c>
      <c r="L333" t="b">
        <v>0</v>
      </c>
      <c r="M333" t="b">
        <v>0</v>
      </c>
      <c r="N333" t="inlineStr">
        <is>
          <t>alt</t>
        </is>
      </c>
      <c r="O333" t="n">
        <v>5</v>
      </c>
      <c r="P333" t="n">
        <v>5.72e-05</v>
      </c>
      <c r="Q333" t="n">
        <v>70</v>
      </c>
      <c r="R333" t="n">
        <v>0.0227</v>
      </c>
      <c r="S333">
        <f>IMAGE("https://mitra.stanford.edu/kundaje/oak/projects/neuro-variants/variant_position/credible/roussos_2024/variant_figures/roussos_2024.childhood.GABA/rs4915471_count_position.png",4,220,900)</f>
        <v/>
      </c>
      <c r="T333">
        <f>IMAGE("https://mitra.stanford.edu/kundaje/oak/projects/neuro-variants/variant_position/credible/roussos_2024/variant_figures/roussos_2024.childhood.GABA/rs4915471_profile_position.png",4,220,900)</f>
        <v/>
      </c>
    </row>
    <row r="334">
      <c r="A334" t="inlineStr">
        <is>
          <t>chr1</t>
        </is>
      </c>
      <c r="B334" t="n">
        <v>200971955</v>
      </c>
      <c r="C334" t="inlineStr">
        <is>
          <t>T</t>
        </is>
      </c>
      <c r="D334" t="inlineStr">
        <is>
          <t>C</t>
        </is>
      </c>
      <c r="E334" t="inlineStr">
        <is>
          <t>rs148277892</t>
        </is>
      </c>
      <c r="F334" t="n">
        <v>0.0297547695999999</v>
      </c>
      <c r="G334" t="n">
        <v>0.2876516109546315</v>
      </c>
      <c r="H334" t="n">
        <v>0.0091446763270321</v>
      </c>
      <c r="I334" t="n">
        <v>0.7387020882555738</v>
      </c>
      <c r="J334" t="n">
        <v>0.7150572762874077</v>
      </c>
      <c r="K334" t="n">
        <v>0.0133209690166647</v>
      </c>
      <c r="L334" t="b">
        <v>0</v>
      </c>
      <c r="M334" t="b">
        <v>0</v>
      </c>
      <c r="N334" t="inlineStr">
        <is>
          <t>alt</t>
        </is>
      </c>
      <c r="O334" t="n">
        <v>95</v>
      </c>
      <c r="P334" t="n">
        <v>0.2375</v>
      </c>
      <c r="Q334" t="n">
        <v>100</v>
      </c>
      <c r="R334" t="n">
        <v>0.536</v>
      </c>
      <c r="S334">
        <f>IMAGE("https://mitra.stanford.edu/kundaje/oak/projects/neuro-variants/variant_position/credible/roussos_2024/variant_figures/roussos_2024.childhood.GABA/rs148277892_count_position.png",4,220,900)</f>
        <v/>
      </c>
      <c r="T334">
        <f>IMAGE("https://mitra.stanford.edu/kundaje/oak/projects/neuro-variants/variant_position/credible/roussos_2024/variant_figures/roussos_2024.childhood.GABA/rs148277892_profile_position.png",4,220,900)</f>
        <v/>
      </c>
    </row>
    <row r="335">
      <c r="A335" t="inlineStr">
        <is>
          <t>chr1</t>
        </is>
      </c>
      <c r="B335" t="n">
        <v>200975712</v>
      </c>
      <c r="C335" t="inlineStr">
        <is>
          <t>T</t>
        </is>
      </c>
      <c r="D335" t="inlineStr">
        <is>
          <t>G</t>
        </is>
      </c>
      <c r="E335" t="inlineStr">
        <is>
          <t>rs296563</t>
        </is>
      </c>
      <c r="F335" t="n">
        <v>0.0661111502</v>
      </c>
      <c r="G335" t="n">
        <v>0.084022768684717</v>
      </c>
      <c r="H335" t="n">
        <v>0.0119512216205092</v>
      </c>
      <c r="I335" t="n">
        <v>0.4338618248662332</v>
      </c>
      <c r="J335" t="n">
        <v>0.4074438231660069</v>
      </c>
      <c r="K335" t="n">
        <v>0.0820854952649635</v>
      </c>
      <c r="L335" t="b">
        <v>0</v>
      </c>
      <c r="M335" t="b">
        <v>0</v>
      </c>
      <c r="N335" t="inlineStr">
        <is>
          <t>alt</t>
        </is>
      </c>
      <c r="O335" t="n">
        <v>-40</v>
      </c>
      <c r="P335" t="n">
        <v>0.001923</v>
      </c>
      <c r="Q335" t="n">
        <v>-40</v>
      </c>
      <c r="R335" t="n">
        <v>0.01428</v>
      </c>
      <c r="S335">
        <f>IMAGE("https://mitra.stanford.edu/kundaje/oak/projects/neuro-variants/variant_position/credible/roussos_2024/variant_figures/roussos_2024.childhood.GABA/rs296563_count_position.png",4,220,900)</f>
        <v/>
      </c>
      <c r="T335">
        <f>IMAGE("https://mitra.stanford.edu/kundaje/oak/projects/neuro-variants/variant_position/credible/roussos_2024/variant_figures/roussos_2024.childhood.GABA/rs296563_profile_position.png",4,220,900)</f>
        <v/>
      </c>
    </row>
    <row r="336">
      <c r="A336" t="inlineStr">
        <is>
          <t>chr1</t>
        </is>
      </c>
      <c r="B336" t="n">
        <v>200991179</v>
      </c>
      <c r="C336" t="inlineStr">
        <is>
          <t>G</t>
        </is>
      </c>
      <c r="D336" t="inlineStr">
        <is>
          <t>A</t>
        </is>
      </c>
      <c r="E336" t="inlineStr">
        <is>
          <t>rs2297909</t>
        </is>
      </c>
      <c r="F336" t="n">
        <v>-0.0319446398</v>
      </c>
      <c r="G336" t="n">
        <v>0.2808614001910809</v>
      </c>
      <c r="H336" t="n">
        <v>0.0124482713409912</v>
      </c>
      <c r="I336" t="n">
        <v>0.3874373384369008</v>
      </c>
      <c r="J336" t="n">
        <v>0.4779125044501685</v>
      </c>
      <c r="K336" t="n">
        <v>0.0574979069422963</v>
      </c>
      <c r="L336" t="b">
        <v>0</v>
      </c>
      <c r="M336" t="b">
        <v>0</v>
      </c>
      <c r="N336" t="inlineStr">
        <is>
          <t>ref</t>
        </is>
      </c>
      <c r="O336" t="n">
        <v>100</v>
      </c>
      <c r="P336" t="n">
        <v>0.00596</v>
      </c>
      <c r="Q336" t="n">
        <v>50</v>
      </c>
      <c r="R336" t="n">
        <v>0.04462</v>
      </c>
      <c r="S336">
        <f>IMAGE("https://mitra.stanford.edu/kundaje/oak/projects/neuro-variants/variant_position/credible/roussos_2024/variant_figures/roussos_2024.childhood.GABA/rs2297909_count_position.png",4,220,900)</f>
        <v/>
      </c>
      <c r="T336">
        <f>IMAGE("https://mitra.stanford.edu/kundaje/oak/projects/neuro-variants/variant_position/credible/roussos_2024/variant_figures/roussos_2024.childhood.GABA/rs2297909_profile_position.png",4,220,900)</f>
        <v/>
      </c>
    </row>
    <row r="337">
      <c r="A337" t="inlineStr">
        <is>
          <t>chr1</t>
        </is>
      </c>
      <c r="B337" t="n">
        <v>200992755</v>
      </c>
      <c r="C337" t="inlineStr">
        <is>
          <t>T</t>
        </is>
      </c>
      <c r="D337" t="inlineStr">
        <is>
          <t>G</t>
        </is>
      </c>
      <c r="E337" t="inlineStr">
        <is>
          <t>rs59682551</t>
        </is>
      </c>
      <c r="F337" t="n">
        <v>0.020831081</v>
      </c>
      <c r="G337" t="n">
        <v>0.4013597172689802</v>
      </c>
      <c r="H337" t="n">
        <v>0.016498461205715</v>
      </c>
      <c r="I337" t="n">
        <v>0.1592984861710423</v>
      </c>
      <c r="J337" t="n">
        <v>0.3057663713848925</v>
      </c>
      <c r="K337" t="n">
        <v>0.133633884726476</v>
      </c>
      <c r="L337" t="b">
        <v>0</v>
      </c>
      <c r="M337" t="b">
        <v>0</v>
      </c>
      <c r="N337" t="inlineStr">
        <is>
          <t>alt</t>
        </is>
      </c>
      <c r="O337" t="n">
        <v>95</v>
      </c>
      <c r="P337" t="n">
        <v>0.01242</v>
      </c>
      <c r="Q337" t="n">
        <v>-95</v>
      </c>
      <c r="R337" t="n">
        <v>0.06024</v>
      </c>
      <c r="S337">
        <f>IMAGE("https://mitra.stanford.edu/kundaje/oak/projects/neuro-variants/variant_position/credible/roussos_2024/variant_figures/roussos_2024.childhood.GABA/rs59682551_count_position.png",4,220,900)</f>
        <v/>
      </c>
      <c r="T337">
        <f>IMAGE("https://mitra.stanford.edu/kundaje/oak/projects/neuro-variants/variant_position/credible/roussos_2024/variant_figures/roussos_2024.childhood.GABA/rs59682551_profile_position.png",4,220,900)</f>
        <v/>
      </c>
    </row>
    <row r="338">
      <c r="A338" t="inlineStr">
        <is>
          <t>chr1</t>
        </is>
      </c>
      <c r="B338" t="n">
        <v>200993159</v>
      </c>
      <c r="C338" t="inlineStr">
        <is>
          <t>G</t>
        </is>
      </c>
      <c r="D338" t="inlineStr">
        <is>
          <t>A</t>
        </is>
      </c>
      <c r="E338" t="inlineStr">
        <is>
          <t>rs12140420</t>
        </is>
      </c>
      <c r="F338" t="n">
        <v>-0.0583619534</v>
      </c>
      <c r="G338" t="n">
        <v>0.1062253002588142</v>
      </c>
      <c r="H338" t="n">
        <v>0.0123829696127896</v>
      </c>
      <c r="I338" t="n">
        <v>0.407238946306145</v>
      </c>
      <c r="J338" t="n">
        <v>0.1862296077569056</v>
      </c>
      <c r="K338" t="n">
        <v>0.2348649276376445</v>
      </c>
      <c r="L338" t="b">
        <v>0</v>
      </c>
      <c r="M338" t="b">
        <v>0</v>
      </c>
      <c r="N338" t="inlineStr">
        <is>
          <t>ref</t>
        </is>
      </c>
      <c r="O338" t="n">
        <v>-100</v>
      </c>
      <c r="P338" t="n">
        <v>0.00963</v>
      </c>
      <c r="Q338" t="n">
        <v>-25</v>
      </c>
      <c r="R338" t="n">
        <v>0.065</v>
      </c>
      <c r="S338">
        <f>IMAGE("https://mitra.stanford.edu/kundaje/oak/projects/neuro-variants/variant_position/credible/roussos_2024/variant_figures/roussos_2024.childhood.GABA/rs12140420_count_position.png",4,220,900)</f>
        <v/>
      </c>
      <c r="T338">
        <f>IMAGE("https://mitra.stanford.edu/kundaje/oak/projects/neuro-variants/variant_position/credible/roussos_2024/variant_figures/roussos_2024.childhood.GABA/rs12140420_profile_position.png",4,220,900)</f>
        <v/>
      </c>
    </row>
    <row r="339">
      <c r="A339" t="inlineStr">
        <is>
          <t>chr1</t>
        </is>
      </c>
      <c r="B339" t="n">
        <v>200993667</v>
      </c>
      <c r="C339" t="inlineStr">
        <is>
          <t>T</t>
        </is>
      </c>
      <c r="D339" t="inlineStr">
        <is>
          <t>G</t>
        </is>
      </c>
      <c r="E339" t="inlineStr">
        <is>
          <t>rs10920084</t>
        </is>
      </c>
      <c r="F339" t="n">
        <v>0.1141556961999999</v>
      </c>
      <c r="G339" t="n">
        <v>0.0241932261905281</v>
      </c>
      <c r="H339" t="n">
        <v>0.021651615833036</v>
      </c>
      <c r="I339" t="n">
        <v>0.0550862275248187</v>
      </c>
      <c r="J339" t="n">
        <v>0.1788821176519863</v>
      </c>
      <c r="K339" t="n">
        <v>0.2503925874670407</v>
      </c>
      <c r="L339" t="b">
        <v>0</v>
      </c>
      <c r="M339" t="b">
        <v>0</v>
      </c>
      <c r="N339" t="inlineStr">
        <is>
          <t>alt</t>
        </is>
      </c>
      <c r="O339" t="n">
        <v>30</v>
      </c>
      <c r="P339" t="n">
        <v>0.003174</v>
      </c>
      <c r="Q339" t="n">
        <v>75</v>
      </c>
      <c r="R339" t="n">
        <v>0.1101</v>
      </c>
      <c r="S339">
        <f>IMAGE("https://mitra.stanford.edu/kundaje/oak/projects/neuro-variants/variant_position/credible/roussos_2024/variant_figures/roussos_2024.childhood.GABA/rs10920084_count_position.png",4,220,900)</f>
        <v/>
      </c>
      <c r="T339">
        <f>IMAGE("https://mitra.stanford.edu/kundaje/oak/projects/neuro-variants/variant_position/credible/roussos_2024/variant_figures/roussos_2024.childhood.GABA/rs10920084_profile_position.png",4,220,900)</f>
        <v/>
      </c>
    </row>
    <row r="340">
      <c r="A340" t="inlineStr">
        <is>
          <t>chr1</t>
        </is>
      </c>
      <c r="B340" t="n">
        <v>200997848</v>
      </c>
      <c r="C340" t="inlineStr">
        <is>
          <t>C</t>
        </is>
      </c>
      <c r="D340" t="inlineStr">
        <is>
          <t>T</t>
        </is>
      </c>
      <c r="E340" t="inlineStr">
        <is>
          <t>rs55757739</t>
        </is>
      </c>
      <c r="F340" t="n">
        <v>-0.0215261627999999</v>
      </c>
      <c r="G340" t="n">
        <v>0.4000709217757848</v>
      </c>
      <c r="H340" t="n">
        <v>0.0067579711650699</v>
      </c>
      <c r="I340" t="n">
        <v>0.9552477097215528</v>
      </c>
      <c r="J340" t="n">
        <v>0.1818454063789239</v>
      </c>
      <c r="K340" t="n">
        <v>0.2396761429760949</v>
      </c>
      <c r="L340" t="b">
        <v>0</v>
      </c>
      <c r="M340" t="b">
        <v>0</v>
      </c>
      <c r="N340" t="inlineStr">
        <is>
          <t>ref</t>
        </is>
      </c>
      <c r="O340" t="n">
        <v>-100</v>
      </c>
      <c r="P340" t="n">
        <v>0.00266</v>
      </c>
      <c r="Q340" t="n">
        <v>-75</v>
      </c>
      <c r="R340" t="n">
        <v>0.0772</v>
      </c>
      <c r="S340">
        <f>IMAGE("https://mitra.stanford.edu/kundaje/oak/projects/neuro-variants/variant_position/credible/roussos_2024/variant_figures/roussos_2024.childhood.GABA/rs55757739_count_position.png",4,220,900)</f>
        <v/>
      </c>
      <c r="T340">
        <f>IMAGE("https://mitra.stanford.edu/kundaje/oak/projects/neuro-variants/variant_position/credible/roussos_2024/variant_figures/roussos_2024.childhood.GABA/rs55757739_profile_position.png",4,220,900)</f>
        <v/>
      </c>
    </row>
    <row r="341">
      <c r="A341" t="inlineStr">
        <is>
          <t>chr1</t>
        </is>
      </c>
      <c r="B341" t="n">
        <v>201015352</v>
      </c>
      <c r="C341" t="inlineStr">
        <is>
          <t>G</t>
        </is>
      </c>
      <c r="D341" t="inlineStr">
        <is>
          <t>A</t>
        </is>
      </c>
      <c r="E341" t="inlineStr">
        <is>
          <t>rs12122721</t>
        </is>
      </c>
      <c r="F341" t="n">
        <v>-0.1033457288</v>
      </c>
      <c r="G341" t="n">
        <v>0.0274777807670006</v>
      </c>
      <c r="H341" t="n">
        <v>0.0225729862659275</v>
      </c>
      <c r="I341" t="n">
        <v>0.0446447092468788</v>
      </c>
      <c r="J341" t="n">
        <v>0.2805962178802538</v>
      </c>
      <c r="K341" t="n">
        <v>0.1492250492526404</v>
      </c>
      <c r="L341" t="b">
        <v>0</v>
      </c>
      <c r="M341" t="b">
        <v>0</v>
      </c>
      <c r="N341" t="inlineStr">
        <is>
          <t>ref</t>
        </is>
      </c>
      <c r="O341" t="n">
        <v>100</v>
      </c>
      <c r="P341" t="n">
        <v>0.002407</v>
      </c>
      <c r="Q341" t="n">
        <v>20</v>
      </c>
      <c r="R341" t="n">
        <v>0.01755</v>
      </c>
      <c r="S341">
        <f>IMAGE("https://mitra.stanford.edu/kundaje/oak/projects/neuro-variants/variant_position/credible/roussos_2024/variant_figures/roussos_2024.childhood.GABA/rs12122721_count_position.png",4,220,900)</f>
        <v/>
      </c>
      <c r="T341">
        <f>IMAGE("https://mitra.stanford.edu/kundaje/oak/projects/neuro-variants/variant_position/credible/roussos_2024/variant_figures/roussos_2024.childhood.GABA/rs12122721_profile_position.png",4,220,900)</f>
        <v/>
      </c>
    </row>
    <row r="342">
      <c r="A342" t="inlineStr">
        <is>
          <t>chr1</t>
        </is>
      </c>
      <c r="B342" t="n">
        <v>201038700</v>
      </c>
      <c r="C342" t="inlineStr">
        <is>
          <t>G</t>
        </is>
      </c>
      <c r="D342" t="inlineStr">
        <is>
          <t>A</t>
        </is>
      </c>
      <c r="E342" t="inlineStr">
        <is>
          <t>rs6701496</t>
        </is>
      </c>
      <c r="F342" t="n">
        <v>0.245495574</v>
      </c>
      <c r="G342" t="n">
        <v>0.0028080717045567</v>
      </c>
      <c r="H342" t="n">
        <v>0.037601167196966</v>
      </c>
      <c r="I342" t="n">
        <v>0.005436045381195</v>
      </c>
      <c r="J342" t="n">
        <v>0.7196194844087035</v>
      </c>
      <c r="K342" t="n">
        <v>0.0129068569115897</v>
      </c>
      <c r="L342" t="b">
        <v>1</v>
      </c>
      <c r="M342" t="b">
        <v>1</v>
      </c>
      <c r="N342" t="inlineStr">
        <is>
          <t>alt</t>
        </is>
      </c>
      <c r="O342" t="n">
        <v>100</v>
      </c>
      <c r="P342" t="n">
        <v>0.005676</v>
      </c>
      <c r="Q342" t="n">
        <v>25</v>
      </c>
      <c r="R342" t="n">
        <v>0.0166</v>
      </c>
      <c r="S342">
        <f>IMAGE("https://mitra.stanford.edu/kundaje/oak/projects/neuro-variants/variant_position/credible/roussos_2024/variant_figures/roussos_2024.childhood.GABA/rs6701496_count_position.png",4,220,900)</f>
        <v/>
      </c>
      <c r="T342">
        <f>IMAGE("https://mitra.stanford.edu/kundaje/oak/projects/neuro-variants/variant_position/credible/roussos_2024/variant_figures/roussos_2024.childhood.GABA/rs6701496_profile_position.png",4,220,900)</f>
        <v/>
      </c>
    </row>
    <row r="343">
      <c r="A343" t="inlineStr">
        <is>
          <t>chr1</t>
        </is>
      </c>
      <c r="B343" t="n">
        <v>207053793</v>
      </c>
      <c r="C343" t="inlineStr">
        <is>
          <t>A</t>
        </is>
      </c>
      <c r="D343" t="inlineStr">
        <is>
          <t>T</t>
        </is>
      </c>
      <c r="E343" t="inlineStr">
        <is>
          <t>rs4844565</t>
        </is>
      </c>
      <c r="F343" t="n">
        <v>0.08587311459999999</v>
      </c>
      <c r="G343" t="n">
        <v>0.0421645456803559</v>
      </c>
      <c r="H343" t="n">
        <v>0.0180431269294705</v>
      </c>
      <c r="I343" t="n">
        <v>0.115731540489776</v>
      </c>
      <c r="J343" t="n">
        <v>0.7039035831710331</v>
      </c>
      <c r="K343" t="n">
        <v>0.0144502574547342</v>
      </c>
      <c r="L343" t="b">
        <v>0</v>
      </c>
      <c r="M343" t="b">
        <v>0</v>
      </c>
      <c r="N343" t="inlineStr">
        <is>
          <t>alt</t>
        </is>
      </c>
      <c r="O343" t="n">
        <v>5</v>
      </c>
      <c r="P343" t="n">
        <v>0.0004578</v>
      </c>
      <c r="Q343" t="n">
        <v>40</v>
      </c>
      <c r="R343" t="n">
        <v>0.0876</v>
      </c>
      <c r="S343">
        <f>IMAGE("https://mitra.stanford.edu/kundaje/oak/projects/neuro-variants/variant_position/credible/roussos_2024/variant_figures/roussos_2024.childhood.GABA/rs4844565_count_position.png",4,220,900)</f>
        <v/>
      </c>
      <c r="T343">
        <f>IMAGE("https://mitra.stanford.edu/kundaje/oak/projects/neuro-variants/variant_position/credible/roussos_2024/variant_figures/roussos_2024.childhood.GABA/rs4844565_profile_position.png",4,220,900)</f>
        <v/>
      </c>
    </row>
    <row r="344">
      <c r="A344" t="inlineStr">
        <is>
          <t>chr1</t>
        </is>
      </c>
      <c r="B344" t="n">
        <v>207065830</v>
      </c>
      <c r="C344" t="inlineStr">
        <is>
          <t>C</t>
        </is>
      </c>
      <c r="D344" t="inlineStr">
        <is>
          <t>G</t>
        </is>
      </c>
      <c r="E344" t="inlineStr">
        <is>
          <t>rs2075864</t>
        </is>
      </c>
      <c r="F344" t="n">
        <v>0.106690458</v>
      </c>
      <c r="G344" t="n">
        <v>0.0280776897415182</v>
      </c>
      <c r="H344" t="n">
        <v>0.0247137383674969</v>
      </c>
      <c r="I344" t="n">
        <v>0.0342699167718206</v>
      </c>
      <c r="J344" t="n">
        <v>0.1558637515444702</v>
      </c>
      <c r="K344" t="n">
        <v>0.2646344004759093</v>
      </c>
      <c r="L344" t="b">
        <v>0</v>
      </c>
      <c r="M344" t="b">
        <v>0</v>
      </c>
      <c r="N344" t="inlineStr">
        <is>
          <t>alt</t>
        </is>
      </c>
      <c r="O344" t="n">
        <v>-100</v>
      </c>
      <c r="P344" t="n">
        <v>0.005802</v>
      </c>
      <c r="Q344" t="n">
        <v>-65</v>
      </c>
      <c r="R344" t="n">
        <v>0.0762</v>
      </c>
      <c r="S344">
        <f>IMAGE("https://mitra.stanford.edu/kundaje/oak/projects/neuro-variants/variant_position/credible/roussos_2024/variant_figures/roussos_2024.childhood.GABA/rs2075864_count_position.png",4,220,900)</f>
        <v/>
      </c>
      <c r="T344">
        <f>IMAGE("https://mitra.stanford.edu/kundaje/oak/projects/neuro-variants/variant_position/credible/roussos_2024/variant_figures/roussos_2024.childhood.GABA/rs2075864_profile_position.png",4,220,900)</f>
        <v/>
      </c>
    </row>
    <row r="345">
      <c r="A345" t="inlineStr">
        <is>
          <t>chr1</t>
        </is>
      </c>
      <c r="B345" t="n">
        <v>207065831</v>
      </c>
      <c r="C345" t="inlineStr">
        <is>
          <t>C</t>
        </is>
      </c>
      <c r="D345" t="inlineStr">
        <is>
          <t>A</t>
        </is>
      </c>
      <c r="E345" t="inlineStr">
        <is>
          <t>rs2075865</t>
        </is>
      </c>
      <c r="F345" t="n">
        <v>0.0435507576</v>
      </c>
      <c r="G345" t="n">
        <v>0.18210403552304</v>
      </c>
      <c r="H345" t="n">
        <v>0.0181486355026154</v>
      </c>
      <c r="I345" t="n">
        <v>0.1161602232249434</v>
      </c>
      <c r="J345" t="n">
        <v>0.1360411300286904</v>
      </c>
      <c r="K345" t="n">
        <v>0.2921308327052171</v>
      </c>
      <c r="L345" t="b">
        <v>0</v>
      </c>
      <c r="M345" t="b">
        <v>0</v>
      </c>
      <c r="N345" t="inlineStr">
        <is>
          <t>alt</t>
        </is>
      </c>
      <c r="O345" t="n">
        <v>-100</v>
      </c>
      <c r="P345" t="n">
        <v>0.0073</v>
      </c>
      <c r="Q345" t="n">
        <v>-65</v>
      </c>
      <c r="R345" t="n">
        <v>0.09014999999999999</v>
      </c>
      <c r="S345">
        <f>IMAGE("https://mitra.stanford.edu/kundaje/oak/projects/neuro-variants/variant_position/credible/roussos_2024/variant_figures/roussos_2024.childhood.GABA/rs2075865_count_position.png",4,220,900)</f>
        <v/>
      </c>
      <c r="T345">
        <f>IMAGE("https://mitra.stanford.edu/kundaje/oak/projects/neuro-variants/variant_position/credible/roussos_2024/variant_figures/roussos_2024.childhood.GABA/rs2075865_profile_position.png",4,220,900)</f>
        <v/>
      </c>
    </row>
    <row r="346">
      <c r="A346" t="inlineStr">
        <is>
          <t>chr1</t>
        </is>
      </c>
      <c r="B346" t="n">
        <v>208129244</v>
      </c>
      <c r="C346" t="inlineStr">
        <is>
          <t>C</t>
        </is>
      </c>
      <c r="D346" t="inlineStr">
        <is>
          <t>T</t>
        </is>
      </c>
      <c r="E346" t="inlineStr">
        <is>
          <t>rs895239</t>
        </is>
      </c>
      <c r="F346" t="n">
        <v>-0.0858562034</v>
      </c>
      <c r="G346" t="n">
        <v>0.0468428741008185</v>
      </c>
      <c r="H346" t="n">
        <v>0.0114300532802531</v>
      </c>
      <c r="I346" t="n">
        <v>0.4904859599774244</v>
      </c>
      <c r="J346" t="n">
        <v>0.1037056815564071</v>
      </c>
      <c r="K346" t="n">
        <v>0.3538186094066902</v>
      </c>
      <c r="L346" t="b">
        <v>0</v>
      </c>
      <c r="M346" t="b">
        <v>0</v>
      </c>
      <c r="N346" t="inlineStr">
        <is>
          <t>ref</t>
        </is>
      </c>
      <c r="O346" t="n">
        <v>80</v>
      </c>
      <c r="P346" t="n">
        <v>0.001799</v>
      </c>
      <c r="Q346" t="n">
        <v>85</v>
      </c>
      <c r="R346" t="n">
        <v>0.08309999999999999</v>
      </c>
      <c r="S346">
        <f>IMAGE("https://mitra.stanford.edu/kundaje/oak/projects/neuro-variants/variant_position/credible/roussos_2024/variant_figures/roussos_2024.childhood.GABA/rs895239_count_position.png",4,220,900)</f>
        <v/>
      </c>
      <c r="T346">
        <f>IMAGE("https://mitra.stanford.edu/kundaje/oak/projects/neuro-variants/variant_position/credible/roussos_2024/variant_figures/roussos_2024.childhood.GABA/rs895239_profile_position.png",4,220,900)</f>
        <v/>
      </c>
    </row>
    <row r="347">
      <c r="A347" t="inlineStr">
        <is>
          <t>chr1</t>
        </is>
      </c>
      <c r="B347" t="n">
        <v>208129256</v>
      </c>
      <c r="C347" t="inlineStr">
        <is>
          <t>C</t>
        </is>
      </c>
      <c r="D347" t="inlineStr">
        <is>
          <t>T</t>
        </is>
      </c>
      <c r="E347" t="inlineStr">
        <is>
          <t>rs895240</t>
        </is>
      </c>
      <c r="F347" t="n">
        <v>0.011528202212</v>
      </c>
      <c r="G347" t="n">
        <v>0.3756620227425031</v>
      </c>
      <c r="H347" t="n">
        <v>0.0140919296368611</v>
      </c>
      <c r="I347" t="n">
        <v>0.2774942216358619</v>
      </c>
      <c r="J347" t="n">
        <v>0.1072888525894745</v>
      </c>
      <c r="K347" t="n">
        <v>0.3484748631226296</v>
      </c>
      <c r="L347" t="b">
        <v>0</v>
      </c>
      <c r="M347" t="b">
        <v>0</v>
      </c>
      <c r="N347" t="inlineStr">
        <is>
          <t>alt</t>
        </is>
      </c>
      <c r="O347" t="n">
        <v>80</v>
      </c>
      <c r="P347" t="n">
        <v>0.002628</v>
      </c>
      <c r="Q347" t="n">
        <v>70</v>
      </c>
      <c r="R347" t="n">
        <v>0.0764</v>
      </c>
      <c r="S347">
        <f>IMAGE("https://mitra.stanford.edu/kundaje/oak/projects/neuro-variants/variant_position/credible/roussos_2024/variant_figures/roussos_2024.childhood.GABA/rs895240_count_position.png",4,220,900)</f>
        <v/>
      </c>
      <c r="T347">
        <f>IMAGE("https://mitra.stanford.edu/kundaje/oak/projects/neuro-variants/variant_position/credible/roussos_2024/variant_figures/roussos_2024.childhood.GABA/rs895240_profile_position.png",4,220,900)</f>
        <v/>
      </c>
    </row>
    <row r="348">
      <c r="A348" t="inlineStr">
        <is>
          <t>chr1</t>
        </is>
      </c>
      <c r="B348" t="n">
        <v>208151856</v>
      </c>
      <c r="C348" t="inlineStr">
        <is>
          <t>A</t>
        </is>
      </c>
      <c r="D348" t="inlineStr">
        <is>
          <t>G</t>
        </is>
      </c>
      <c r="E348" t="inlineStr">
        <is>
          <t>rs600396</t>
        </is>
      </c>
      <c r="F348" t="n">
        <v>0.0827269816</v>
      </c>
      <c r="G348" t="n">
        <v>0.0481960760694853</v>
      </c>
      <c r="H348" t="n">
        <v>0.0184209935181874</v>
      </c>
      <c r="I348" t="n">
        <v>0.1062965420109331</v>
      </c>
      <c r="J348" t="n">
        <v>0.1780004607233356</v>
      </c>
      <c r="K348" t="n">
        <v>0.2369479016146399</v>
      </c>
      <c r="L348" t="b">
        <v>0</v>
      </c>
      <c r="M348" t="b">
        <v>0</v>
      </c>
      <c r="N348" t="inlineStr">
        <is>
          <t>alt</t>
        </is>
      </c>
      <c r="O348" t="n">
        <v>-55</v>
      </c>
      <c r="P348" t="n">
        <v>0.000825</v>
      </c>
      <c r="Q348" t="n">
        <v>45</v>
      </c>
      <c r="R348" t="n">
        <v>0.02515</v>
      </c>
      <c r="S348">
        <f>IMAGE("https://mitra.stanford.edu/kundaje/oak/projects/neuro-variants/variant_position/credible/roussos_2024/variant_figures/roussos_2024.childhood.GABA/rs600396_count_position.png",4,220,900)</f>
        <v/>
      </c>
      <c r="T348">
        <f>IMAGE("https://mitra.stanford.edu/kundaje/oak/projects/neuro-variants/variant_position/credible/roussos_2024/variant_figures/roussos_2024.childhood.GABA/rs600396_profile_position.png",4,220,900)</f>
        <v/>
      </c>
    </row>
    <row r="349">
      <c r="A349" t="inlineStr">
        <is>
          <t>chr1</t>
        </is>
      </c>
      <c r="B349" t="n">
        <v>230096333</v>
      </c>
      <c r="C349" t="inlineStr">
        <is>
          <t>A</t>
        </is>
      </c>
      <c r="D349" t="inlineStr">
        <is>
          <t>G</t>
        </is>
      </c>
      <c r="E349" t="inlineStr">
        <is>
          <t>rs7529009</t>
        </is>
      </c>
      <c r="F349" t="n">
        <v>-0.0151303000599999</v>
      </c>
      <c r="G349" t="n">
        <v>0.3316218583738724</v>
      </c>
      <c r="H349" t="n">
        <v>0.0186695236602574</v>
      </c>
      <c r="I349" t="n">
        <v>0.1016941530034524</v>
      </c>
      <c r="J349" t="n">
        <v>0.2002659630164812</v>
      </c>
      <c r="K349" t="n">
        <v>0.221781573585045</v>
      </c>
      <c r="L349" t="b">
        <v>0</v>
      </c>
      <c r="M349" t="b">
        <v>0</v>
      </c>
      <c r="N349" t="inlineStr">
        <is>
          <t>ref</t>
        </is>
      </c>
      <c r="O349" t="n">
        <v>-100</v>
      </c>
      <c r="P349" t="n">
        <v>0.001547</v>
      </c>
      <c r="Q349" t="n">
        <v>35</v>
      </c>
      <c r="R349" t="n">
        <v>0.07829999999999999</v>
      </c>
      <c r="S349">
        <f>IMAGE("https://mitra.stanford.edu/kundaje/oak/projects/neuro-variants/variant_position/credible/roussos_2024/variant_figures/roussos_2024.childhood.GABA/rs7529009_count_position.png",4,220,900)</f>
        <v/>
      </c>
      <c r="T349">
        <f>IMAGE("https://mitra.stanford.edu/kundaje/oak/projects/neuro-variants/variant_position/credible/roussos_2024/variant_figures/roussos_2024.childhood.GABA/rs7529009_profile_position.png",4,220,900)</f>
        <v/>
      </c>
    </row>
    <row r="350">
      <c r="A350" t="inlineStr">
        <is>
          <t>chr1</t>
        </is>
      </c>
      <c r="B350" t="n">
        <v>230098337</v>
      </c>
      <c r="C350" t="inlineStr">
        <is>
          <t>C</t>
        </is>
      </c>
      <c r="D350" t="inlineStr">
        <is>
          <t>T</t>
        </is>
      </c>
      <c r="E350" t="inlineStr">
        <is>
          <t>rs7530960</t>
        </is>
      </c>
      <c r="F350" t="n">
        <v>0.0009642158512</v>
      </c>
      <c r="G350" t="n">
        <v>0.6998043449040707</v>
      </c>
      <c r="H350" t="n">
        <v>0.0236464579444629</v>
      </c>
      <c r="I350" t="n">
        <v>0.0361631826542843</v>
      </c>
      <c r="J350" t="n">
        <v>0.2048491131075788</v>
      </c>
      <c r="K350" t="n">
        <v>0.2116149193724225</v>
      </c>
      <c r="L350" t="b">
        <v>0</v>
      </c>
      <c r="M350" t="b">
        <v>0</v>
      </c>
      <c r="N350" t="inlineStr">
        <is>
          <t>alt</t>
        </is>
      </c>
      <c r="O350" t="n">
        <v>50</v>
      </c>
      <c r="P350" t="n">
        <v>0.006626</v>
      </c>
      <c r="Q350" t="n">
        <v>100</v>
      </c>
      <c r="R350" t="n">
        <v>0.1809</v>
      </c>
      <c r="S350">
        <f>IMAGE("https://mitra.stanford.edu/kundaje/oak/projects/neuro-variants/variant_position/credible/roussos_2024/variant_figures/roussos_2024.childhood.GABA/rs7530960_count_position.png",4,220,900)</f>
        <v/>
      </c>
      <c r="T350">
        <f>IMAGE("https://mitra.stanford.edu/kundaje/oak/projects/neuro-variants/variant_position/credible/roussos_2024/variant_figures/roussos_2024.childhood.GABA/rs7530960_profile_position.png",4,220,900)</f>
        <v/>
      </c>
    </row>
    <row r="351">
      <c r="A351" t="inlineStr">
        <is>
          <t>chr1</t>
        </is>
      </c>
      <c r="B351" t="n">
        <v>230103512</v>
      </c>
      <c r="C351" t="inlineStr">
        <is>
          <t>T</t>
        </is>
      </c>
      <c r="D351" t="inlineStr">
        <is>
          <t>C</t>
        </is>
      </c>
      <c r="E351" t="inlineStr">
        <is>
          <t>rs3811489</t>
        </is>
      </c>
      <c r="F351" t="n">
        <v>0.048208074</v>
      </c>
      <c r="G351" t="n">
        <v>0.144339016435657</v>
      </c>
      <c r="H351" t="n">
        <v>0.0124530017657533</v>
      </c>
      <c r="I351" t="n">
        <v>0.3888287467931978</v>
      </c>
      <c r="J351" t="n">
        <v>0.2821626772214194</v>
      </c>
      <c r="K351" t="n">
        <v>0.1491675055828196</v>
      </c>
      <c r="L351" t="b">
        <v>0</v>
      </c>
      <c r="M351" t="b">
        <v>0</v>
      </c>
      <c r="N351" t="inlineStr">
        <is>
          <t>alt</t>
        </is>
      </c>
      <c r="O351" t="n">
        <v>95</v>
      </c>
      <c r="P351" t="n">
        <v>0.09619999999999999</v>
      </c>
      <c r="Q351" t="n">
        <v>40</v>
      </c>
      <c r="R351" t="n">
        <v>0.1118</v>
      </c>
      <c r="S351">
        <f>IMAGE("https://mitra.stanford.edu/kundaje/oak/projects/neuro-variants/variant_position/credible/roussos_2024/variant_figures/roussos_2024.childhood.GABA/rs3811489_count_position.png",4,220,900)</f>
        <v/>
      </c>
      <c r="T351">
        <f>IMAGE("https://mitra.stanford.edu/kundaje/oak/projects/neuro-variants/variant_position/credible/roussos_2024/variant_figures/roussos_2024.childhood.GABA/rs3811489_profile_position.png",4,220,900)</f>
        <v/>
      </c>
    </row>
    <row r="352">
      <c r="A352" t="inlineStr">
        <is>
          <t>chr1</t>
        </is>
      </c>
      <c r="B352" t="n">
        <v>230107008</v>
      </c>
      <c r="C352" t="inlineStr">
        <is>
          <t>G</t>
        </is>
      </c>
      <c r="D352" t="inlineStr">
        <is>
          <t>A</t>
        </is>
      </c>
      <c r="E352" t="inlineStr">
        <is>
          <t>rs4412597</t>
        </is>
      </c>
      <c r="F352" t="n">
        <v>-0.0393667663999999</v>
      </c>
      <c r="G352" t="n">
        <v>0.2109372143191525</v>
      </c>
      <c r="H352" t="n">
        <v>0.013736293121657</v>
      </c>
      <c r="I352" t="n">
        <v>0.3030366655021466</v>
      </c>
      <c r="J352" t="n">
        <v>0.3219911624887436</v>
      </c>
      <c r="K352" t="n">
        <v>0.1229680679166444</v>
      </c>
      <c r="L352" t="b">
        <v>0</v>
      </c>
      <c r="M352" t="b">
        <v>0</v>
      </c>
      <c r="N352" t="inlineStr">
        <is>
          <t>ref</t>
        </is>
      </c>
      <c r="O352" t="n">
        <v>30</v>
      </c>
      <c r="P352" t="n">
        <v>0.001785</v>
      </c>
      <c r="Q352" t="n">
        <v>-15</v>
      </c>
      <c r="R352" t="n">
        <v>0.02856</v>
      </c>
      <c r="S352">
        <f>IMAGE("https://mitra.stanford.edu/kundaje/oak/projects/neuro-variants/variant_position/credible/roussos_2024/variant_figures/roussos_2024.childhood.GABA/rs4412597_count_position.png",4,220,900)</f>
        <v/>
      </c>
      <c r="T352">
        <f>IMAGE("https://mitra.stanford.edu/kundaje/oak/projects/neuro-variants/variant_position/credible/roussos_2024/variant_figures/roussos_2024.childhood.GABA/rs4412597_profile_position.png",4,220,900)</f>
        <v/>
      </c>
    </row>
    <row r="353">
      <c r="A353" t="inlineStr">
        <is>
          <t>chr1</t>
        </is>
      </c>
      <c r="B353" t="n">
        <v>230107215</v>
      </c>
      <c r="C353" t="inlineStr">
        <is>
          <t>C</t>
        </is>
      </c>
      <c r="D353" t="inlineStr">
        <is>
          <t>T</t>
        </is>
      </c>
      <c r="E353" t="inlineStr">
        <is>
          <t>rs2078219</t>
        </is>
      </c>
      <c r="F353" t="n">
        <v>0.0954101824</v>
      </c>
      <c r="G353" t="n">
        <v>0.0404324366172006</v>
      </c>
      <c r="H353" t="n">
        <v>0.0291096892402162</v>
      </c>
      <c r="I353" t="n">
        <v>0.0150079872005614</v>
      </c>
      <c r="J353" t="n">
        <v>0.284052689996021</v>
      </c>
      <c r="K353" t="n">
        <v>0.1458020373761729</v>
      </c>
      <c r="L353" t="b">
        <v>1</v>
      </c>
      <c r="M353" t="b">
        <v>0</v>
      </c>
      <c r="N353" t="inlineStr">
        <is>
          <t>alt</t>
        </is>
      </c>
      <c r="O353" t="n">
        <v>-60</v>
      </c>
      <c r="P353" t="n">
        <v>0.002724</v>
      </c>
      <c r="Q353" t="n">
        <v>-60</v>
      </c>
      <c r="R353" t="n">
        <v>0.1589</v>
      </c>
      <c r="S353">
        <f>IMAGE("https://mitra.stanford.edu/kundaje/oak/projects/neuro-variants/variant_position/credible/roussos_2024/variant_figures/roussos_2024.childhood.GABA/rs2078219_count_position.png",4,220,900)</f>
        <v/>
      </c>
      <c r="T353">
        <f>IMAGE("https://mitra.stanford.edu/kundaje/oak/projects/neuro-variants/variant_position/credible/roussos_2024/variant_figures/roussos_2024.childhood.GABA/rs2078219_profile_position.png",4,220,900)</f>
        <v/>
      </c>
    </row>
    <row r="354">
      <c r="A354" t="inlineStr">
        <is>
          <t>chr1</t>
        </is>
      </c>
      <c r="B354" t="n">
        <v>230111139</v>
      </c>
      <c r="C354" t="inlineStr">
        <is>
          <t>G</t>
        </is>
      </c>
      <c r="D354" t="inlineStr">
        <is>
          <t>A</t>
        </is>
      </c>
      <c r="E354" t="inlineStr">
        <is>
          <t>rs880329</t>
        </is>
      </c>
      <c r="F354" t="n">
        <v>-0.072584238</v>
      </c>
      <c r="G354" t="n">
        <v>0.0824783846332513</v>
      </c>
      <c r="H354" t="n">
        <v>0.02029732310175</v>
      </c>
      <c r="I354" t="n">
        <v>0.0702807110638715</v>
      </c>
      <c r="J354" t="n">
        <v>0.1777522983811857</v>
      </c>
      <c r="K354" t="n">
        <v>0.2418855304307578</v>
      </c>
      <c r="L354" t="b">
        <v>0</v>
      </c>
      <c r="M354" t="b">
        <v>0</v>
      </c>
      <c r="N354" t="inlineStr">
        <is>
          <t>ref</t>
        </is>
      </c>
      <c r="O354" t="n">
        <v>-100</v>
      </c>
      <c r="P354" t="n">
        <v>0.005905</v>
      </c>
      <c r="Q354" t="n">
        <v>0</v>
      </c>
      <c r="R354" t="n">
        <v>0</v>
      </c>
      <c r="S354">
        <f>IMAGE("https://mitra.stanford.edu/kundaje/oak/projects/neuro-variants/variant_position/credible/roussos_2024/variant_figures/roussos_2024.childhood.GABA/rs880329_count_position.png",4,220,900)</f>
        <v/>
      </c>
      <c r="T354">
        <f>IMAGE("https://mitra.stanford.edu/kundaje/oak/projects/neuro-variants/variant_position/credible/roussos_2024/variant_figures/roussos_2024.childhood.GABA/rs880329_profile_position.png",4,220,900)</f>
        <v/>
      </c>
    </row>
    <row r="355">
      <c r="A355" t="inlineStr">
        <is>
          <t>chr1</t>
        </is>
      </c>
      <c r="B355" t="n">
        <v>230117287</v>
      </c>
      <c r="C355" t="inlineStr">
        <is>
          <t>C</t>
        </is>
      </c>
      <c r="D355" t="inlineStr">
        <is>
          <t>T</t>
        </is>
      </c>
      <c r="E355" t="inlineStr">
        <is>
          <t>rs12083455</t>
        </is>
      </c>
      <c r="F355" t="n">
        <v>0.0811791922</v>
      </c>
      <c r="G355" t="n">
        <v>0.0507080698089779</v>
      </c>
      <c r="H355" t="n">
        <v>0.028342330254783</v>
      </c>
      <c r="I355" t="n">
        <v>0.0167573497168261</v>
      </c>
      <c r="J355" t="n">
        <v>0.2188844212686644</v>
      </c>
      <c r="K355" t="n">
        <v>0.1975290992048991</v>
      </c>
      <c r="L355" t="b">
        <v>1</v>
      </c>
      <c r="M355" t="b">
        <v>0</v>
      </c>
      <c r="N355" t="inlineStr">
        <is>
          <t>alt</t>
        </is>
      </c>
      <c r="O355" t="n">
        <v>100</v>
      </c>
      <c r="P355" t="n">
        <v>0.003153</v>
      </c>
      <c r="Q355" t="n">
        <v>0</v>
      </c>
      <c r="R355" t="n">
        <v>0</v>
      </c>
      <c r="S355">
        <f>IMAGE("https://mitra.stanford.edu/kundaje/oak/projects/neuro-variants/variant_position/credible/roussos_2024/variant_figures/roussos_2024.childhood.GABA/rs12083455_count_position.png",4,220,900)</f>
        <v/>
      </c>
      <c r="T355">
        <f>IMAGE("https://mitra.stanford.edu/kundaje/oak/projects/neuro-variants/variant_position/credible/roussos_2024/variant_figures/roussos_2024.childhood.GABA/rs12083455_profile_position.png",4,220,900)</f>
        <v/>
      </c>
    </row>
    <row r="356">
      <c r="A356" t="inlineStr">
        <is>
          <t>chr1</t>
        </is>
      </c>
      <c r="B356" t="n">
        <v>230117500</v>
      </c>
      <c r="C356" t="inlineStr">
        <is>
          <t>C</t>
        </is>
      </c>
      <c r="D356" t="inlineStr">
        <is>
          <t>T</t>
        </is>
      </c>
      <c r="E356" t="inlineStr">
        <is>
          <t>rs7512794</t>
        </is>
      </c>
      <c r="F356" t="n">
        <v>0.0279133231599999</v>
      </c>
      <c r="G356" t="n">
        <v>0.3191465518779745</v>
      </c>
      <c r="H356" t="n">
        <v>0.0117369732964213</v>
      </c>
      <c r="I356" t="n">
        <v>0.4382229017953094</v>
      </c>
      <c r="J356" t="n">
        <v>0.1433781491487089</v>
      </c>
      <c r="K356" t="n">
        <v>0.2845486836257857</v>
      </c>
      <c r="L356" t="b">
        <v>0</v>
      </c>
      <c r="M356" t="b">
        <v>0</v>
      </c>
      <c r="N356" t="inlineStr">
        <is>
          <t>alt</t>
        </is>
      </c>
      <c r="O356" t="n">
        <v>10</v>
      </c>
      <c r="P356" t="n">
        <v>0.0001259</v>
      </c>
      <c r="Q356" t="n">
        <v>30</v>
      </c>
      <c r="R356" t="n">
        <v>0.0054</v>
      </c>
      <c r="S356">
        <f>IMAGE("https://mitra.stanford.edu/kundaje/oak/projects/neuro-variants/variant_position/credible/roussos_2024/variant_figures/roussos_2024.childhood.GABA/rs7512794_count_position.png",4,220,900)</f>
        <v/>
      </c>
      <c r="T356">
        <f>IMAGE("https://mitra.stanford.edu/kundaje/oak/projects/neuro-variants/variant_position/credible/roussos_2024/variant_figures/roussos_2024.childhood.GABA/rs7512794_profile_position.png",4,220,900)</f>
        <v/>
      </c>
    </row>
    <row r="357">
      <c r="A357" t="inlineStr">
        <is>
          <t>chr1</t>
        </is>
      </c>
      <c r="B357" t="n">
        <v>230117553</v>
      </c>
      <c r="C357" t="inlineStr">
        <is>
          <t>T</t>
        </is>
      </c>
      <c r="D357" t="inlineStr">
        <is>
          <t>A</t>
        </is>
      </c>
      <c r="E357" t="inlineStr">
        <is>
          <t>rs7520068</t>
        </is>
      </c>
      <c r="F357" t="n">
        <v>0.0721958134</v>
      </c>
      <c r="G357" t="n">
        <v>0.0712233846827254</v>
      </c>
      <c r="H357" t="n">
        <v>0.0119092008656827</v>
      </c>
      <c r="I357" t="n">
        <v>0.4344817003434802</v>
      </c>
      <c r="J357" t="n">
        <v>0.1459906598814684</v>
      </c>
      <c r="K357" t="n">
        <v>0.2828460812685494</v>
      </c>
      <c r="L357" t="b">
        <v>0</v>
      </c>
      <c r="M357" t="b">
        <v>0</v>
      </c>
      <c r="N357" t="inlineStr">
        <is>
          <t>alt</t>
        </is>
      </c>
      <c r="O357" t="n">
        <v>-60</v>
      </c>
      <c r="P357" t="n">
        <v>0.006775</v>
      </c>
      <c r="Q357" t="n">
        <v>-70</v>
      </c>
      <c r="R357" t="n">
        <v>0.0553</v>
      </c>
      <c r="S357">
        <f>IMAGE("https://mitra.stanford.edu/kundaje/oak/projects/neuro-variants/variant_position/credible/roussos_2024/variant_figures/roussos_2024.childhood.GABA/rs7520068_count_position.png",4,220,900)</f>
        <v/>
      </c>
      <c r="T357">
        <f>IMAGE("https://mitra.stanford.edu/kundaje/oak/projects/neuro-variants/variant_position/credible/roussos_2024/variant_figures/roussos_2024.childhood.GABA/rs7520068_profile_position.png",4,220,900)</f>
        <v/>
      </c>
    </row>
    <row r="358">
      <c r="A358" t="inlineStr">
        <is>
          <t>chr1</t>
        </is>
      </c>
      <c r="B358" t="n">
        <v>230228204</v>
      </c>
      <c r="C358" t="inlineStr">
        <is>
          <t>A</t>
        </is>
      </c>
      <c r="D358" t="inlineStr">
        <is>
          <t>G</t>
        </is>
      </c>
      <c r="E358" t="inlineStr">
        <is>
          <t>rs7531956</t>
        </is>
      </c>
      <c r="F358" t="n">
        <v>0.0556326299999999</v>
      </c>
      <c r="G358" t="n">
        <v>0.115797100331523</v>
      </c>
      <c r="H358" t="n">
        <v>0.0189105770804116</v>
      </c>
      <c r="I358" t="n">
        <v>0.0937910940890552</v>
      </c>
      <c r="J358" t="n">
        <v>0.0541643106950639</v>
      </c>
      <c r="K358" t="n">
        <v>0.4758651507873063</v>
      </c>
      <c r="L358" t="b">
        <v>0</v>
      </c>
      <c r="M358" t="b">
        <v>0</v>
      </c>
      <c r="N358" t="inlineStr">
        <is>
          <t>alt</t>
        </is>
      </c>
      <c r="O358" t="n">
        <v>-25</v>
      </c>
      <c r="P358" t="n">
        <v>0.001862</v>
      </c>
      <c r="Q358" t="n">
        <v>-30</v>
      </c>
      <c r="R358" t="n">
        <v>0.07630000000000001</v>
      </c>
      <c r="S358">
        <f>IMAGE("https://mitra.stanford.edu/kundaje/oak/projects/neuro-variants/variant_position/credible/roussos_2024/variant_figures/roussos_2024.childhood.GABA/rs7531956_count_position.png",4,220,900)</f>
        <v/>
      </c>
      <c r="T358">
        <f>IMAGE("https://mitra.stanford.edu/kundaje/oak/projects/neuro-variants/variant_position/credible/roussos_2024/variant_figures/roussos_2024.childhood.GABA/rs7531956_profile_position.png",4,220,900)</f>
        <v/>
      </c>
    </row>
    <row r="359">
      <c r="A359" t="inlineStr">
        <is>
          <t>chr1</t>
        </is>
      </c>
      <c r="B359" t="n">
        <v>239002470</v>
      </c>
      <c r="C359" t="inlineStr">
        <is>
          <t>T</t>
        </is>
      </c>
      <c r="D359" t="inlineStr">
        <is>
          <t>G</t>
        </is>
      </c>
      <c r="E359" t="inlineStr">
        <is>
          <t>rs9428451</t>
        </is>
      </c>
      <c r="F359" t="n">
        <v>-0.0016115101999999</v>
      </c>
      <c r="G359" t="n">
        <v>0.8135366417424493</v>
      </c>
      <c r="H359" t="n">
        <v>0.0258838376111422</v>
      </c>
      <c r="I359" t="n">
        <v>0.0243586811302447</v>
      </c>
      <c r="J359" t="n">
        <v>2.931875772235136e-05</v>
      </c>
      <c r="K359" t="n">
        <v>0.9935294743505706</v>
      </c>
      <c r="L359" t="b">
        <v>0</v>
      </c>
      <c r="M359" t="b">
        <v>0</v>
      </c>
      <c r="N359" t="inlineStr">
        <is>
          <t>ref</t>
        </is>
      </c>
      <c r="O359" t="n">
        <v>-35</v>
      </c>
      <c r="P359" t="n">
        <v>0.00443</v>
      </c>
      <c r="Q359" t="n">
        <v>-15</v>
      </c>
      <c r="R359" t="n">
        <v>0.004555</v>
      </c>
      <c r="S359">
        <f>IMAGE("https://mitra.stanford.edu/kundaje/oak/projects/neuro-variants/variant_position/credible/roussos_2024/variant_figures/roussos_2024.childhood.GABA/rs9428451_count_position.png",4,220,900)</f>
        <v/>
      </c>
      <c r="T359">
        <f>IMAGE("https://mitra.stanford.edu/kundaje/oak/projects/neuro-variants/variant_position/credible/roussos_2024/variant_figures/roussos_2024.childhood.GABA/rs9428451_profile_position.png",4,220,900)</f>
        <v/>
      </c>
    </row>
    <row r="360">
      <c r="A360" t="inlineStr">
        <is>
          <t>chr1</t>
        </is>
      </c>
      <c r="B360" t="n">
        <v>243264850</v>
      </c>
      <c r="C360" t="inlineStr">
        <is>
          <t>T</t>
        </is>
      </c>
      <c r="D360" t="inlineStr">
        <is>
          <t>G</t>
        </is>
      </c>
      <c r="E360" t="inlineStr">
        <is>
          <t>rs12741781</t>
        </is>
      </c>
      <c r="F360" t="n">
        <v>0.0148278489999999</v>
      </c>
      <c r="G360" t="n">
        <v>0.4951095574604436</v>
      </c>
      <c r="H360" t="n">
        <v>0.0102541376083019</v>
      </c>
      <c r="I360" t="n">
        <v>0.6064746264169496</v>
      </c>
      <c r="J360" t="n">
        <v>0.0502900462817532</v>
      </c>
      <c r="K360" t="n">
        <v>0.4893289476370841</v>
      </c>
      <c r="L360" t="b">
        <v>0</v>
      </c>
      <c r="M360" t="b">
        <v>0</v>
      </c>
      <c r="N360" t="inlineStr">
        <is>
          <t>alt</t>
        </is>
      </c>
      <c r="O360" t="n">
        <v>-100</v>
      </c>
      <c r="P360" t="n">
        <v>0.01859</v>
      </c>
      <c r="Q360" t="n">
        <v>100</v>
      </c>
      <c r="R360" t="n">
        <v>0.02997</v>
      </c>
      <c r="S360">
        <f>IMAGE("https://mitra.stanford.edu/kundaje/oak/projects/neuro-variants/variant_position/credible/roussos_2024/variant_figures/roussos_2024.childhood.GABA/rs12741781_count_position.png",4,220,900)</f>
        <v/>
      </c>
      <c r="T360">
        <f>IMAGE("https://mitra.stanford.edu/kundaje/oak/projects/neuro-variants/variant_position/credible/roussos_2024/variant_figures/roussos_2024.childhood.GABA/rs12741781_profile_position.png",4,220,900)</f>
        <v/>
      </c>
    </row>
    <row r="361">
      <c r="A361" t="inlineStr">
        <is>
          <t>chr1</t>
        </is>
      </c>
      <c r="B361" t="n">
        <v>243270352</v>
      </c>
      <c r="C361" t="inlineStr">
        <is>
          <t>A</t>
        </is>
      </c>
      <c r="D361" t="inlineStr">
        <is>
          <t>G</t>
        </is>
      </c>
      <c r="E361" t="inlineStr">
        <is>
          <t>rs2275154</t>
        </is>
      </c>
      <c r="F361" t="n">
        <v>0.0972490903999999</v>
      </c>
      <c r="G361" t="n">
        <v>0.0331474995122898</v>
      </c>
      <c r="H361" t="n">
        <v>0.0187215197540869</v>
      </c>
      <c r="I361" t="n">
        <v>0.097847982214393</v>
      </c>
      <c r="J361" t="n">
        <v>0.1719670792234717</v>
      </c>
      <c r="K361" t="n">
        <v>0.240018734344361</v>
      </c>
      <c r="L361" t="b">
        <v>0</v>
      </c>
      <c r="M361" t="b">
        <v>0</v>
      </c>
      <c r="N361" t="inlineStr">
        <is>
          <t>alt</t>
        </is>
      </c>
      <c r="O361" t="n">
        <v>-75</v>
      </c>
      <c r="P361" t="n">
        <v>0.002365</v>
      </c>
      <c r="Q361" t="n">
        <v>-75</v>
      </c>
      <c r="R361" t="n">
        <v>0.095</v>
      </c>
      <c r="S361">
        <f>IMAGE("https://mitra.stanford.edu/kundaje/oak/projects/neuro-variants/variant_position/credible/roussos_2024/variant_figures/roussos_2024.childhood.GABA/rs2275154_count_position.png",4,220,900)</f>
        <v/>
      </c>
      <c r="T361">
        <f>IMAGE("https://mitra.stanford.edu/kundaje/oak/projects/neuro-variants/variant_position/credible/roussos_2024/variant_figures/roussos_2024.childhood.GABA/rs2275154_profile_position.png",4,220,900)</f>
        <v/>
      </c>
    </row>
    <row r="362">
      <c r="A362" t="inlineStr">
        <is>
          <t>chr1</t>
        </is>
      </c>
      <c r="B362" t="n">
        <v>243490976</v>
      </c>
      <c r="C362" t="inlineStr">
        <is>
          <t>A</t>
        </is>
      </c>
      <c r="D362" t="inlineStr">
        <is>
          <t>G</t>
        </is>
      </c>
      <c r="E362" t="inlineStr">
        <is>
          <t>rs884328</t>
        </is>
      </c>
      <c r="F362" t="n">
        <v>0.0387107076</v>
      </c>
      <c r="G362" t="n">
        <v>0.2112155147568745</v>
      </c>
      <c r="H362" t="n">
        <v>0.0110616441466749</v>
      </c>
      <c r="I362" t="n">
        <v>0.5328532872338894</v>
      </c>
      <c r="J362" t="n">
        <v>0.3549192687064145</v>
      </c>
      <c r="K362" t="n">
        <v>0.1064472708615217</v>
      </c>
      <c r="L362" t="b">
        <v>0</v>
      </c>
      <c r="M362" t="b">
        <v>0</v>
      </c>
      <c r="N362" t="inlineStr">
        <is>
          <t>alt</t>
        </is>
      </c>
      <c r="O362" t="n">
        <v>40</v>
      </c>
      <c r="P362" t="n">
        <v>0.003153</v>
      </c>
      <c r="Q362" t="n">
        <v>-100</v>
      </c>
      <c r="R362" t="n">
        <v>0.04108</v>
      </c>
      <c r="S362">
        <f>IMAGE("https://mitra.stanford.edu/kundaje/oak/projects/neuro-variants/variant_position/credible/roussos_2024/variant_figures/roussos_2024.childhood.GABA/rs884328_count_position.png",4,220,900)</f>
        <v/>
      </c>
      <c r="T362">
        <f>IMAGE("https://mitra.stanford.edu/kundaje/oak/projects/neuro-variants/variant_position/credible/roussos_2024/variant_figures/roussos_2024.childhood.GABA/rs884328_profile_position.png",4,220,900)</f>
        <v/>
      </c>
    </row>
    <row r="363">
      <c r="A363" t="inlineStr">
        <is>
          <t>chr1</t>
        </is>
      </c>
      <c r="B363" t="n">
        <v>243554380</v>
      </c>
      <c r="C363" t="inlineStr">
        <is>
          <t>A</t>
        </is>
      </c>
      <c r="D363" t="inlineStr">
        <is>
          <t>G</t>
        </is>
      </c>
      <c r="E363" t="inlineStr">
        <is>
          <t>rs1352162</t>
        </is>
      </c>
      <c r="F363" t="n">
        <v>0.1243820524</v>
      </c>
      <c r="G363" t="n">
        <v>0.020905725352506</v>
      </c>
      <c r="H363" t="n">
        <v>0.0236650662343538</v>
      </c>
      <c r="I363" t="n">
        <v>0.0412801319748114</v>
      </c>
      <c r="J363" t="n">
        <v>0.0284130175284286</v>
      </c>
      <c r="K363" t="n">
        <v>0.5883178479955681</v>
      </c>
      <c r="L363" t="b">
        <v>0</v>
      </c>
      <c r="M363" t="b">
        <v>0</v>
      </c>
      <c r="N363" t="inlineStr">
        <is>
          <t>alt</t>
        </is>
      </c>
      <c r="O363" t="n">
        <v>20</v>
      </c>
      <c r="P363" t="n">
        <v>0.003143</v>
      </c>
      <c r="Q363" t="n">
        <v>50</v>
      </c>
      <c r="R363" t="n">
        <v>0.0741</v>
      </c>
      <c r="S363">
        <f>IMAGE("https://mitra.stanford.edu/kundaje/oak/projects/neuro-variants/variant_position/credible/roussos_2024/variant_figures/roussos_2024.childhood.GABA/rs1352162_count_position.png",4,220,900)</f>
        <v/>
      </c>
      <c r="T363">
        <f>IMAGE("https://mitra.stanford.edu/kundaje/oak/projects/neuro-variants/variant_position/credible/roussos_2024/variant_figures/roussos_2024.childhood.GABA/rs1352162_profile_position.png",4,220,900)</f>
        <v/>
      </c>
    </row>
    <row r="364">
      <c r="A364" t="inlineStr">
        <is>
          <t>chr1</t>
        </is>
      </c>
      <c r="B364" t="n">
        <v>243629710</v>
      </c>
      <c r="C364" t="inlineStr">
        <is>
          <t>T</t>
        </is>
      </c>
      <c r="D364" t="inlineStr">
        <is>
          <t>C</t>
        </is>
      </c>
      <c r="E364" t="inlineStr">
        <is>
          <t>rs145071536</t>
        </is>
      </c>
      <c r="F364" t="n">
        <v>0.07457863219999999</v>
      </c>
      <c r="G364" t="n">
        <v>0.0586749526538291</v>
      </c>
      <c r="H364" t="n">
        <v>0.0144142440804631</v>
      </c>
      <c r="I364" t="n">
        <v>0.26213055226916</v>
      </c>
      <c r="J364" t="n">
        <v>0.0963749450273292</v>
      </c>
      <c r="K364" t="n">
        <v>0.373788349573166</v>
      </c>
      <c r="L364" t="b">
        <v>0</v>
      </c>
      <c r="M364" t="b">
        <v>0</v>
      </c>
      <c r="N364" t="inlineStr">
        <is>
          <t>alt</t>
        </is>
      </c>
      <c r="O364" t="n">
        <v>5</v>
      </c>
      <c r="P364" t="n">
        <v>0.0001526</v>
      </c>
      <c r="Q364" t="n">
        <v>100</v>
      </c>
      <c r="R364" t="n">
        <v>0.1616</v>
      </c>
      <c r="S364">
        <f>IMAGE("https://mitra.stanford.edu/kundaje/oak/projects/neuro-variants/variant_position/credible/roussos_2024/variant_figures/roussos_2024.childhood.GABA/rs145071536_count_position.png",4,220,900)</f>
        <v/>
      </c>
      <c r="T364">
        <f>IMAGE("https://mitra.stanford.edu/kundaje/oak/projects/neuro-variants/variant_position/credible/roussos_2024/variant_figures/roussos_2024.childhood.GABA/rs145071536_profile_position.png",4,220,900)</f>
        <v/>
      </c>
    </row>
    <row r="365">
      <c r="A365" t="inlineStr">
        <is>
          <t>chr1</t>
        </is>
      </c>
      <c r="B365" t="n">
        <v>243746765</v>
      </c>
      <c r="C365" t="inlineStr">
        <is>
          <t>C</t>
        </is>
      </c>
      <c r="D365" t="inlineStr">
        <is>
          <t>T</t>
        </is>
      </c>
      <c r="E365" t="inlineStr">
        <is>
          <t>rs11586029</t>
        </is>
      </c>
      <c r="F365" t="n">
        <v>0.00707925802</v>
      </c>
      <c r="G365" t="n">
        <v>0.6154014301784663</v>
      </c>
      <c r="H365" t="n">
        <v>0.0244116995032498</v>
      </c>
      <c r="I365" t="n">
        <v>0.0315274923499198</v>
      </c>
      <c r="J365" t="n">
        <v>0.0128478984733303</v>
      </c>
      <c r="K365" t="n">
        <v>0.7065468042194136</v>
      </c>
      <c r="L365" t="b">
        <v>0</v>
      </c>
      <c r="M365" t="b">
        <v>0</v>
      </c>
      <c r="N365" t="inlineStr">
        <is>
          <t>alt</t>
        </is>
      </c>
      <c r="O365" t="n">
        <v>-95</v>
      </c>
      <c r="P365" t="n">
        <v>0.00927</v>
      </c>
      <c r="Q365" t="n">
        <v>95</v>
      </c>
      <c r="R365" t="n">
        <v>0.2306</v>
      </c>
      <c r="S365">
        <f>IMAGE("https://mitra.stanford.edu/kundaje/oak/projects/neuro-variants/variant_position/credible/roussos_2024/variant_figures/roussos_2024.childhood.GABA/rs11586029_count_position.png",4,220,900)</f>
        <v/>
      </c>
      <c r="T365">
        <f>IMAGE("https://mitra.stanford.edu/kundaje/oak/projects/neuro-variants/variant_position/credible/roussos_2024/variant_figures/roussos_2024.childhood.GABA/rs11586029_profile_position.png",4,220,900)</f>
        <v/>
      </c>
    </row>
    <row r="366">
      <c r="A366" t="inlineStr">
        <is>
          <t>chr1</t>
        </is>
      </c>
      <c r="B366" t="n">
        <v>243847139</v>
      </c>
      <c r="C366" t="inlineStr">
        <is>
          <t>T</t>
        </is>
      </c>
      <c r="D366" t="inlineStr">
        <is>
          <t>G</t>
        </is>
      </c>
      <c r="E366" t="inlineStr">
        <is>
          <t>rs61833239</t>
        </is>
      </c>
      <c r="F366" t="n">
        <v>0.0408308096</v>
      </c>
      <c r="G366" t="n">
        <v>0.1991853687427763</v>
      </c>
      <c r="H366" t="n">
        <v>0.0174708242424603</v>
      </c>
      <c r="I366" t="n">
        <v>0.1281126279588613</v>
      </c>
      <c r="J366" t="n">
        <v>0.0026837134300851</v>
      </c>
      <c r="K366" t="n">
        <v>0.8762165695440196</v>
      </c>
      <c r="L366" t="b">
        <v>0</v>
      </c>
      <c r="M366" t="b">
        <v>0</v>
      </c>
      <c r="N366" t="inlineStr">
        <is>
          <t>alt</t>
        </is>
      </c>
      <c r="O366" t="n">
        <v>70</v>
      </c>
      <c r="P366" t="n">
        <v>0.00963</v>
      </c>
      <c r="Q366" t="n">
        <v>30</v>
      </c>
      <c r="R366" t="n">
        <v>0.0119</v>
      </c>
      <c r="S366">
        <f>IMAGE("https://mitra.stanford.edu/kundaje/oak/projects/neuro-variants/variant_position/credible/roussos_2024/variant_figures/roussos_2024.childhood.GABA/rs61833239_count_position.png",4,220,900)</f>
        <v/>
      </c>
      <c r="T366">
        <f>IMAGE("https://mitra.stanford.edu/kundaje/oak/projects/neuro-variants/variant_position/credible/roussos_2024/variant_figures/roussos_2024.childhood.GABA/rs61833239_profile_position.png",4,220,900)</f>
        <v/>
      </c>
    </row>
    <row r="367">
      <c r="A367" t="inlineStr">
        <is>
          <t>chr10</t>
        </is>
      </c>
      <c r="B367" t="n">
        <v>3778595</v>
      </c>
      <c r="C367" t="inlineStr">
        <is>
          <t>T</t>
        </is>
      </c>
      <c r="D367" t="inlineStr">
        <is>
          <t>C</t>
        </is>
      </c>
      <c r="E367" t="inlineStr">
        <is>
          <t>rs1043003</t>
        </is>
      </c>
      <c r="F367" t="n">
        <v>0.1055374349999999</v>
      </c>
      <c r="G367" t="n">
        <v>0.0247340913221603</v>
      </c>
      <c r="H367" t="n">
        <v>0.0152016627629594</v>
      </c>
      <c r="I367" t="n">
        <v>0.2170060877306109</v>
      </c>
      <c r="J367" t="n">
        <v>0.1290726895771816</v>
      </c>
      <c r="K367" t="n">
        <v>0.3075456570250929</v>
      </c>
      <c r="L367" t="b">
        <v>0</v>
      </c>
      <c r="M367" t="b">
        <v>0</v>
      </c>
      <c r="N367" t="inlineStr">
        <is>
          <t>alt</t>
        </is>
      </c>
      <c r="O367" t="n">
        <v>-55</v>
      </c>
      <c r="P367" t="n">
        <v>0.005314</v>
      </c>
      <c r="Q367" t="n">
        <v>10</v>
      </c>
      <c r="R367" t="n">
        <v>0.002563</v>
      </c>
      <c r="S367">
        <f>IMAGE("https://mitra.stanford.edu/kundaje/oak/projects/neuro-variants/variant_position/credible/roussos_2024/variant_figures/roussos_2024.childhood.GABA/rs1043003_count_position.png",4,220,900)</f>
        <v/>
      </c>
      <c r="T367">
        <f>IMAGE("https://mitra.stanford.edu/kundaje/oak/projects/neuro-variants/variant_position/credible/roussos_2024/variant_figures/roussos_2024.childhood.GABA/rs1043003_profile_position.png",4,220,900)</f>
        <v/>
      </c>
    </row>
    <row r="368">
      <c r="A368" t="inlineStr">
        <is>
          <t>chr10</t>
        </is>
      </c>
      <c r="B368" t="n">
        <v>18421239</v>
      </c>
      <c r="C368" t="inlineStr">
        <is>
          <t>T</t>
        </is>
      </c>
      <c r="D368" t="inlineStr">
        <is>
          <t>C</t>
        </is>
      </c>
      <c r="E368" t="inlineStr">
        <is>
          <t>rs11014167</t>
        </is>
      </c>
      <c r="F368" t="n">
        <v>0.0046040260959999</v>
      </c>
      <c r="G368" t="n">
        <v>0.7443828635463846</v>
      </c>
      <c r="H368" t="n">
        <v>0.0188753407586051</v>
      </c>
      <c r="I368" t="n">
        <v>0.0948294961768477</v>
      </c>
      <c r="J368" t="n">
        <v>0.0007455341249397</v>
      </c>
      <c r="K368" t="n">
        <v>0.9273761584476776</v>
      </c>
      <c r="L368" t="b">
        <v>0</v>
      </c>
      <c r="M368" t="b">
        <v>0</v>
      </c>
      <c r="N368" t="inlineStr">
        <is>
          <t>alt</t>
        </is>
      </c>
      <c r="O368" t="n">
        <v>-45</v>
      </c>
      <c r="P368" t="n">
        <v>0.005676</v>
      </c>
      <c r="Q368" t="n">
        <v>100</v>
      </c>
      <c r="R368" t="n">
        <v>0.08740000000000001</v>
      </c>
      <c r="S368">
        <f>IMAGE("https://mitra.stanford.edu/kundaje/oak/projects/neuro-variants/variant_position/credible/roussos_2024/variant_figures/roussos_2024.childhood.GABA/rs11014167_count_position.png",4,220,900)</f>
        <v/>
      </c>
      <c r="T368">
        <f>IMAGE("https://mitra.stanford.edu/kundaje/oak/projects/neuro-variants/variant_position/credible/roussos_2024/variant_figures/roussos_2024.childhood.GABA/rs11014167_profile_position.png",4,220,900)</f>
        <v/>
      </c>
    </row>
    <row r="369">
      <c r="A369" t="inlineStr">
        <is>
          <t>chr10</t>
        </is>
      </c>
      <c r="B369" t="n">
        <v>21030071</v>
      </c>
      <c r="C369" t="inlineStr">
        <is>
          <t>G</t>
        </is>
      </c>
      <c r="D369" t="inlineStr">
        <is>
          <t>A</t>
        </is>
      </c>
      <c r="E369" t="inlineStr">
        <is>
          <t>rs640729</t>
        </is>
      </c>
      <c r="F369" t="n">
        <v>-0.0381792943999999</v>
      </c>
      <c r="G369" t="n">
        <v>0.2224305949122011</v>
      </c>
      <c r="H369" t="n">
        <v>0.012059066713728</v>
      </c>
      <c r="I369" t="n">
        <v>0.4278663557202995</v>
      </c>
      <c r="J369" t="n">
        <v>0.537830621348244</v>
      </c>
      <c r="K369" t="n">
        <v>0.0412043324051395</v>
      </c>
      <c r="L369" t="b">
        <v>0</v>
      </c>
      <c r="M369" t="b">
        <v>0</v>
      </c>
      <c r="N369" t="inlineStr">
        <is>
          <t>ref</t>
        </is>
      </c>
      <c r="O369" t="n">
        <v>95</v>
      </c>
      <c r="P369" t="n">
        <v>0.01281</v>
      </c>
      <c r="Q369" t="n">
        <v>100</v>
      </c>
      <c r="R369" t="n">
        <v>0.07446</v>
      </c>
      <c r="S369">
        <f>IMAGE("https://mitra.stanford.edu/kundaje/oak/projects/neuro-variants/variant_position/credible/roussos_2024/variant_figures/roussos_2024.childhood.GABA/rs640729_count_position.png",4,220,900)</f>
        <v/>
      </c>
      <c r="T369">
        <f>IMAGE("https://mitra.stanford.edu/kundaje/oak/projects/neuro-variants/variant_position/credible/roussos_2024/variant_figures/roussos_2024.childhood.GABA/rs640729_profile_position.png",4,220,900)</f>
        <v/>
      </c>
    </row>
    <row r="370">
      <c r="A370" t="inlineStr">
        <is>
          <t>chr10</t>
        </is>
      </c>
      <c r="B370" t="n">
        <v>21038664</v>
      </c>
      <c r="C370" t="inlineStr">
        <is>
          <t>A</t>
        </is>
      </c>
      <c r="D370" t="inlineStr">
        <is>
          <t>G</t>
        </is>
      </c>
      <c r="E370" t="inlineStr">
        <is>
          <t>rs663759</t>
        </is>
      </c>
      <c r="F370" t="n">
        <v>0.028531705</v>
      </c>
      <c r="G370" t="n">
        <v>0.3087130649765627</v>
      </c>
      <c r="H370" t="n">
        <v>0.0089108152552279</v>
      </c>
      <c r="I370" t="n">
        <v>0.7537769772936608</v>
      </c>
      <c r="J370" t="n">
        <v>0.0210456325521978</v>
      </c>
      <c r="K370" t="n">
        <v>0.6491653532219426</v>
      </c>
      <c r="L370" t="b">
        <v>0</v>
      </c>
      <c r="M370" t="b">
        <v>0</v>
      </c>
      <c r="N370" t="inlineStr">
        <is>
          <t>alt</t>
        </is>
      </c>
      <c r="O370" t="n">
        <v>85</v>
      </c>
      <c r="P370" t="n">
        <v>0.00657</v>
      </c>
      <c r="Q370" t="n">
        <v>90</v>
      </c>
      <c r="R370" t="n">
        <v>0.1354</v>
      </c>
      <c r="S370">
        <f>IMAGE("https://mitra.stanford.edu/kundaje/oak/projects/neuro-variants/variant_position/credible/roussos_2024/variant_figures/roussos_2024.childhood.GABA/rs663759_count_position.png",4,220,900)</f>
        <v/>
      </c>
      <c r="T370">
        <f>IMAGE("https://mitra.stanford.edu/kundaje/oak/projects/neuro-variants/variant_position/credible/roussos_2024/variant_figures/roussos_2024.childhood.GABA/rs663759_profile_position.png",4,220,900)</f>
        <v/>
      </c>
    </row>
    <row r="371">
      <c r="A371" t="inlineStr">
        <is>
          <t>chr10</t>
        </is>
      </c>
      <c r="B371" t="n">
        <v>21110940</v>
      </c>
      <c r="C371" t="inlineStr">
        <is>
          <t>G</t>
        </is>
      </c>
      <c r="D371" t="inlineStr">
        <is>
          <t>A</t>
        </is>
      </c>
      <c r="E371" t="inlineStr">
        <is>
          <t>rs602572</t>
        </is>
      </c>
      <c r="F371" t="n">
        <v>-0.10360852</v>
      </c>
      <c r="G371" t="n">
        <v>0.0294098785740404</v>
      </c>
      <c r="H371" t="n">
        <v>0.0248615639129029</v>
      </c>
      <c r="I371" t="n">
        <v>0.0295870799967902</v>
      </c>
      <c r="J371" t="n">
        <v>0.009888798140353001</v>
      </c>
      <c r="K371" t="n">
        <v>0.7448998701737981</v>
      </c>
      <c r="L371" t="b">
        <v>0</v>
      </c>
      <c r="M371" t="b">
        <v>0</v>
      </c>
      <c r="N371" t="inlineStr">
        <is>
          <t>ref</t>
        </is>
      </c>
      <c r="O371" t="n">
        <v>-100</v>
      </c>
      <c r="P371" t="n">
        <v>0.002556</v>
      </c>
      <c r="Q371" t="n">
        <v>-100</v>
      </c>
      <c r="R371" t="n">
        <v>0.03467</v>
      </c>
      <c r="S371">
        <f>IMAGE("https://mitra.stanford.edu/kundaje/oak/projects/neuro-variants/variant_position/credible/roussos_2024/variant_figures/roussos_2024.childhood.GABA/rs602572_count_position.png",4,220,900)</f>
        <v/>
      </c>
      <c r="T371">
        <f>IMAGE("https://mitra.stanford.edu/kundaje/oak/projects/neuro-variants/variant_position/credible/roussos_2024/variant_figures/roussos_2024.childhood.GABA/rs602572_profile_position.png",4,220,900)</f>
        <v/>
      </c>
    </row>
    <row r="372">
      <c r="A372" t="inlineStr">
        <is>
          <t>chr10</t>
        </is>
      </c>
      <c r="B372" t="n">
        <v>60375448</v>
      </c>
      <c r="C372" t="inlineStr">
        <is>
          <t>G</t>
        </is>
      </c>
      <c r="D372" t="inlineStr">
        <is>
          <t>A</t>
        </is>
      </c>
      <c r="E372" t="inlineStr">
        <is>
          <t>rs10994321</t>
        </is>
      </c>
      <c r="F372" t="n">
        <v>0.0240165811599999</v>
      </c>
      <c r="G372" t="n">
        <v>0.2618745294824042</v>
      </c>
      <c r="H372" t="n">
        <v>0.0144600810960016</v>
      </c>
      <c r="I372" t="n">
        <v>0.2566136766060538</v>
      </c>
      <c r="J372" t="n">
        <v>0.09192477644447231</v>
      </c>
      <c r="K372" t="n">
        <v>0.3806446126239456</v>
      </c>
      <c r="L372" t="b">
        <v>0</v>
      </c>
      <c r="M372" t="b">
        <v>0</v>
      </c>
      <c r="N372" t="inlineStr">
        <is>
          <t>alt</t>
        </is>
      </c>
      <c r="O372" t="n">
        <v>-100</v>
      </c>
      <c r="P372" t="n">
        <v>0.005863</v>
      </c>
      <c r="Q372" t="n">
        <v>80</v>
      </c>
      <c r="R372" t="n">
        <v>0.105</v>
      </c>
      <c r="S372">
        <f>IMAGE("https://mitra.stanford.edu/kundaje/oak/projects/neuro-variants/variant_position/credible/roussos_2024/variant_figures/roussos_2024.childhood.GABA/rs10994321_count_position.png",4,220,900)</f>
        <v/>
      </c>
      <c r="T372">
        <f>IMAGE("https://mitra.stanford.edu/kundaje/oak/projects/neuro-variants/variant_position/credible/roussos_2024/variant_figures/roussos_2024.childhood.GABA/rs10994321_profile_position.png",4,220,900)</f>
        <v/>
      </c>
    </row>
    <row r="373">
      <c r="A373" t="inlineStr">
        <is>
          <t>chr10</t>
        </is>
      </c>
      <c r="B373" t="n">
        <v>60420054</v>
      </c>
      <c r="C373" t="inlineStr">
        <is>
          <t>C</t>
        </is>
      </c>
      <c r="D373" t="inlineStr">
        <is>
          <t>T</t>
        </is>
      </c>
      <c r="E373" t="inlineStr">
        <is>
          <t>rs10994336</t>
        </is>
      </c>
      <c r="F373" t="n">
        <v>0.3619699799999999</v>
      </c>
      <c r="G373" t="n">
        <v>0.0007606243479534</v>
      </c>
      <c r="H373" t="n">
        <v>0.0466024672402103</v>
      </c>
      <c r="I373" t="n">
        <v>0.0022500242734313</v>
      </c>
      <c r="J373" t="n">
        <v>0.0869939896546668</v>
      </c>
      <c r="K373" t="n">
        <v>0.3920022542436701</v>
      </c>
      <c r="L373" t="b">
        <v>1</v>
      </c>
      <c r="M373" t="b">
        <v>1</v>
      </c>
      <c r="N373" t="inlineStr">
        <is>
          <t>alt</t>
        </is>
      </c>
      <c r="O373" t="n">
        <v>75</v>
      </c>
      <c r="P373" t="n">
        <v>0.006073</v>
      </c>
      <c r="Q373" t="n">
        <v>85</v>
      </c>
      <c r="R373" t="n">
        <v>0.0481</v>
      </c>
      <c r="S373">
        <f>IMAGE("https://mitra.stanford.edu/kundaje/oak/projects/neuro-variants/variant_position/credible/roussos_2024/variant_figures/roussos_2024.childhood.GABA/rs10994336_count_position.png",4,220,900)</f>
        <v/>
      </c>
      <c r="T373">
        <f>IMAGE("https://mitra.stanford.edu/kundaje/oak/projects/neuro-variants/variant_position/credible/roussos_2024/variant_figures/roussos_2024.childhood.GABA/rs10994336_profile_position.png",4,220,900)</f>
        <v/>
      </c>
    </row>
    <row r="374">
      <c r="A374" t="inlineStr">
        <is>
          <t>chr10</t>
        </is>
      </c>
      <c r="B374" t="n">
        <v>60421123</v>
      </c>
      <c r="C374" t="inlineStr">
        <is>
          <t>A</t>
        </is>
      </c>
      <c r="D374" t="inlineStr">
        <is>
          <t>G</t>
        </is>
      </c>
      <c r="E374" t="inlineStr">
        <is>
          <t>rs10994337</t>
        </is>
      </c>
      <c r="F374" t="n">
        <v>0.077559305</v>
      </c>
      <c r="G374" t="n">
        <v>0.0605364644339531</v>
      </c>
      <c r="H374" t="n">
        <v>0.0156667164228745</v>
      </c>
      <c r="I374" t="n">
        <v>0.1982484142139748</v>
      </c>
      <c r="J374" t="n">
        <v>0.0143180247534082</v>
      </c>
      <c r="K374" t="n">
        <v>0.6965407016091275</v>
      </c>
      <c r="L374" t="b">
        <v>0</v>
      </c>
      <c r="M374" t="b">
        <v>0</v>
      </c>
      <c r="N374" t="inlineStr">
        <is>
          <t>alt</t>
        </is>
      </c>
      <c r="O374" t="n">
        <v>100</v>
      </c>
      <c r="P374" t="n">
        <v>0.015205</v>
      </c>
      <c r="Q374" t="n">
        <v>85</v>
      </c>
      <c r="R374" t="n">
        <v>0.05005</v>
      </c>
      <c r="S374">
        <f>IMAGE("https://mitra.stanford.edu/kundaje/oak/projects/neuro-variants/variant_position/credible/roussos_2024/variant_figures/roussos_2024.childhood.GABA/rs10994337_count_position.png",4,220,900)</f>
        <v/>
      </c>
      <c r="T374">
        <f>IMAGE("https://mitra.stanford.edu/kundaje/oak/projects/neuro-variants/variant_position/credible/roussos_2024/variant_figures/roussos_2024.childhood.GABA/rs10994337_profile_position.png",4,220,900)</f>
        <v/>
      </c>
    </row>
    <row r="375">
      <c r="A375" t="inlineStr">
        <is>
          <t>chr10</t>
        </is>
      </c>
      <c r="B375" t="n">
        <v>60447629</v>
      </c>
      <c r="C375" t="inlineStr">
        <is>
          <t>T</t>
        </is>
      </c>
      <c r="D375" t="inlineStr">
        <is>
          <t>C</t>
        </is>
      </c>
      <c r="E375" t="inlineStr">
        <is>
          <t>rs61847646</t>
        </is>
      </c>
      <c r="F375" t="n">
        <v>0.02214649332</v>
      </c>
      <c r="G375" t="n">
        <v>0.3794627766145755</v>
      </c>
      <c r="H375" t="n">
        <v>0.009549781712256599</v>
      </c>
      <c r="I375" t="n">
        <v>0.6726816648811993</v>
      </c>
      <c r="J375" t="n">
        <v>0.1096762371468659</v>
      </c>
      <c r="K375" t="n">
        <v>0.334815596052829</v>
      </c>
      <c r="L375" t="b">
        <v>0</v>
      </c>
      <c r="M375" t="b">
        <v>0</v>
      </c>
      <c r="N375" t="inlineStr">
        <is>
          <t>alt</t>
        </is>
      </c>
      <c r="O375" t="n">
        <v>-55</v>
      </c>
      <c r="P375" t="n">
        <v>0.00367</v>
      </c>
      <c r="Q375" t="n">
        <v>50</v>
      </c>
      <c r="R375" t="n">
        <v>0.06900000000000001</v>
      </c>
      <c r="S375">
        <f>IMAGE("https://mitra.stanford.edu/kundaje/oak/projects/neuro-variants/variant_position/credible/roussos_2024/variant_figures/roussos_2024.childhood.GABA/rs61847646_count_position.png",4,220,900)</f>
        <v/>
      </c>
      <c r="T375">
        <f>IMAGE("https://mitra.stanford.edu/kundaje/oak/projects/neuro-variants/variant_position/credible/roussos_2024/variant_figures/roussos_2024.childhood.GABA/rs61847646_profile_position.png",4,220,900)</f>
        <v/>
      </c>
    </row>
    <row r="376">
      <c r="A376" t="inlineStr">
        <is>
          <t>chr10</t>
        </is>
      </c>
      <c r="B376" t="n">
        <v>60514979</v>
      </c>
      <c r="C376" t="inlineStr">
        <is>
          <t>T</t>
        </is>
      </c>
      <c r="D376" t="inlineStr">
        <is>
          <t>G</t>
        </is>
      </c>
      <c r="E376" t="inlineStr">
        <is>
          <t>rs9633553</t>
        </is>
      </c>
      <c r="F376" t="n">
        <v>-0.00685854526</v>
      </c>
      <c r="G376" t="n">
        <v>0.6453563960754753</v>
      </c>
      <c r="H376" t="n">
        <v>0.0265325619067882</v>
      </c>
      <c r="I376" t="n">
        <v>0.022030183764298</v>
      </c>
      <c r="J376" t="n">
        <v>0.003704634457917</v>
      </c>
      <c r="K376" t="n">
        <v>0.8369162877168307</v>
      </c>
      <c r="L376" t="b">
        <v>0</v>
      </c>
      <c r="M376" t="b">
        <v>0</v>
      </c>
      <c r="N376" t="inlineStr">
        <is>
          <t>ref</t>
        </is>
      </c>
      <c r="O376" t="n">
        <v>-5</v>
      </c>
      <c r="P376" t="n">
        <v>0.001419</v>
      </c>
      <c r="Q376" t="n">
        <v>100</v>
      </c>
      <c r="R376" t="n">
        <v>0.02856</v>
      </c>
      <c r="S376">
        <f>IMAGE("https://mitra.stanford.edu/kundaje/oak/projects/neuro-variants/variant_position/credible/roussos_2024/variant_figures/roussos_2024.childhood.GABA/rs9633553_count_position.png",4,220,900)</f>
        <v/>
      </c>
      <c r="T376">
        <f>IMAGE("https://mitra.stanford.edu/kundaje/oak/projects/neuro-variants/variant_position/credible/roussos_2024/variant_figures/roussos_2024.childhood.GABA/rs9633553_profile_position.png",4,220,900)</f>
        <v/>
      </c>
    </row>
    <row r="377">
      <c r="A377" t="inlineStr">
        <is>
          <t>chr10</t>
        </is>
      </c>
      <c r="B377" t="n">
        <v>60525580</v>
      </c>
      <c r="C377" t="inlineStr">
        <is>
          <t>G</t>
        </is>
      </c>
      <c r="D377" t="inlineStr">
        <is>
          <t>A</t>
        </is>
      </c>
      <c r="E377" t="inlineStr">
        <is>
          <t>rs10821789</t>
        </is>
      </c>
      <c r="F377" t="n">
        <v>-0.0725378582</v>
      </c>
      <c r="G377" t="n">
        <v>0.07376203128234241</v>
      </c>
      <c r="H377" t="n">
        <v>0.0103791351355861</v>
      </c>
      <c r="I377" t="n">
        <v>0.5333555429152057</v>
      </c>
      <c r="J377" t="n">
        <v>0.1660425959665765</v>
      </c>
      <c r="K377" t="n">
        <v>0.247002360137165</v>
      </c>
      <c r="L377" t="b">
        <v>0</v>
      </c>
      <c r="M377" t="b">
        <v>0</v>
      </c>
      <c r="N377" t="inlineStr">
        <is>
          <t>ref</t>
        </is>
      </c>
      <c r="O377" t="n">
        <v>-80</v>
      </c>
      <c r="P377" t="n">
        <v>0.00381</v>
      </c>
      <c r="Q377" t="n">
        <v>95</v>
      </c>
      <c r="R377" t="n">
        <v>0.04846</v>
      </c>
      <c r="S377">
        <f>IMAGE("https://mitra.stanford.edu/kundaje/oak/projects/neuro-variants/variant_position/credible/roussos_2024/variant_figures/roussos_2024.childhood.GABA/rs10821789_count_position.png",4,220,900)</f>
        <v/>
      </c>
      <c r="T377">
        <f>IMAGE("https://mitra.stanford.edu/kundaje/oak/projects/neuro-variants/variant_position/credible/roussos_2024/variant_figures/roussos_2024.childhood.GABA/rs10821789_profile_position.png",4,220,900)</f>
        <v/>
      </c>
    </row>
    <row r="378">
      <c r="A378" t="inlineStr">
        <is>
          <t>chr10</t>
        </is>
      </c>
      <c r="B378" t="n">
        <v>62910533</v>
      </c>
      <c r="C378" t="inlineStr">
        <is>
          <t>A</t>
        </is>
      </c>
      <c r="D378" t="inlineStr">
        <is>
          <t>G</t>
        </is>
      </c>
      <c r="E378" t="inlineStr">
        <is>
          <t>rs7915640</t>
        </is>
      </c>
      <c r="F378" t="n">
        <v>0.0491906558</v>
      </c>
      <c r="G378" t="n">
        <v>0.1334299884237717</v>
      </c>
      <c r="H378" t="n">
        <v>0.0141615051523726</v>
      </c>
      <c r="I378" t="n">
        <v>0.2702765655799624</v>
      </c>
      <c r="J378" t="n">
        <v>0.1917279219283365</v>
      </c>
      <c r="K378" t="n">
        <v>0.2253364732118624</v>
      </c>
      <c r="L378" t="b">
        <v>0</v>
      </c>
      <c r="M378" t="b">
        <v>0</v>
      </c>
      <c r="N378" t="inlineStr">
        <is>
          <t>alt</t>
        </is>
      </c>
      <c r="O378" t="n">
        <v>100</v>
      </c>
      <c r="P378" t="n">
        <v>0.008030000000000001</v>
      </c>
      <c r="Q378" t="n">
        <v>-95</v>
      </c>
      <c r="R378" t="n">
        <v>0.06726</v>
      </c>
      <c r="S378">
        <f>IMAGE("https://mitra.stanford.edu/kundaje/oak/projects/neuro-variants/variant_position/credible/roussos_2024/variant_figures/roussos_2024.childhood.GABA/rs7915640_count_position.png",4,220,900)</f>
        <v/>
      </c>
      <c r="T378">
        <f>IMAGE("https://mitra.stanford.edu/kundaje/oak/projects/neuro-variants/variant_position/credible/roussos_2024/variant_figures/roussos_2024.childhood.GABA/rs7915640_profile_position.png",4,220,900)</f>
        <v/>
      </c>
    </row>
    <row r="379">
      <c r="A379" t="inlineStr">
        <is>
          <t>chr10</t>
        </is>
      </c>
      <c r="B379" t="n">
        <v>62915331</v>
      </c>
      <c r="C379" t="inlineStr">
        <is>
          <t>C</t>
        </is>
      </c>
      <c r="D379" t="inlineStr">
        <is>
          <t>T</t>
        </is>
      </c>
      <c r="E379" t="inlineStr">
        <is>
          <t>rs10740096</t>
        </is>
      </c>
      <c r="F379" t="n">
        <v>-0.00887706586</v>
      </c>
      <c r="G379" t="n">
        <v>0.6428697971664997</v>
      </c>
      <c r="H379" t="n">
        <v>0.0122268178592611</v>
      </c>
      <c r="I379" t="n">
        <v>0.4178663675413193</v>
      </c>
      <c r="J379" t="n">
        <v>0.1209943247261836</v>
      </c>
      <c r="K379" t="n">
        <v>0.3169616158519238</v>
      </c>
      <c r="L379" t="b">
        <v>0</v>
      </c>
      <c r="M379" t="b">
        <v>0</v>
      </c>
      <c r="N379" t="inlineStr">
        <is>
          <t>ref</t>
        </is>
      </c>
      <c r="O379" t="n">
        <v>-100</v>
      </c>
      <c r="P379" t="n">
        <v>0.005566</v>
      </c>
      <c r="Q379" t="n">
        <v>40</v>
      </c>
      <c r="R379" t="n">
        <v>0.0388</v>
      </c>
      <c r="S379">
        <f>IMAGE("https://mitra.stanford.edu/kundaje/oak/projects/neuro-variants/variant_position/credible/roussos_2024/variant_figures/roussos_2024.childhood.GABA/rs10740096_count_position.png",4,220,900)</f>
        <v/>
      </c>
      <c r="T379">
        <f>IMAGE("https://mitra.stanford.edu/kundaje/oak/projects/neuro-variants/variant_position/credible/roussos_2024/variant_figures/roussos_2024.childhood.GABA/rs10740096_profile_position.png",4,220,900)</f>
        <v/>
      </c>
    </row>
    <row r="380">
      <c r="A380" t="inlineStr">
        <is>
          <t>chr10</t>
        </is>
      </c>
      <c r="B380" t="n">
        <v>62957155</v>
      </c>
      <c r="C380" t="inlineStr">
        <is>
          <t>G</t>
        </is>
      </c>
      <c r="D380" t="inlineStr">
        <is>
          <t>A</t>
        </is>
      </c>
      <c r="E380" t="inlineStr">
        <is>
          <t>rs10822098</t>
        </is>
      </c>
      <c r="F380" t="n">
        <v>-0.185529868</v>
      </c>
      <c r="G380" t="n">
        <v>0.0061632737845451</v>
      </c>
      <c r="H380" t="n">
        <v>0.0162948812379324</v>
      </c>
      <c r="I380" t="n">
        <v>0.1703367293045736</v>
      </c>
      <c r="J380" t="n">
        <v>0.0652143410609201</v>
      </c>
      <c r="K380" t="n">
        <v>0.4446742417568265</v>
      </c>
      <c r="L380" t="b">
        <v>1</v>
      </c>
      <c r="M380" t="b">
        <v>1</v>
      </c>
      <c r="N380" t="inlineStr">
        <is>
          <t>ref</t>
        </is>
      </c>
      <c r="O380" t="n">
        <v>95</v>
      </c>
      <c r="P380" t="n">
        <v>0.0007124</v>
      </c>
      <c r="Q380" t="n">
        <v>95</v>
      </c>
      <c r="R380" t="n">
        <v>0.03247</v>
      </c>
      <c r="S380">
        <f>IMAGE("https://mitra.stanford.edu/kundaje/oak/projects/neuro-variants/variant_position/credible/roussos_2024/variant_figures/roussos_2024.childhood.GABA/rs10822098_count_position.png",4,220,900)</f>
        <v/>
      </c>
      <c r="T380">
        <f>IMAGE("https://mitra.stanford.edu/kundaje/oak/projects/neuro-variants/variant_position/credible/roussos_2024/variant_figures/roussos_2024.childhood.GABA/rs10822098_profile_position.png",4,220,900)</f>
        <v/>
      </c>
    </row>
    <row r="381">
      <c r="A381" t="inlineStr">
        <is>
          <t>chr10</t>
        </is>
      </c>
      <c r="B381" t="n">
        <v>62960604</v>
      </c>
      <c r="C381" t="inlineStr">
        <is>
          <t>C</t>
        </is>
      </c>
      <c r="D381" t="inlineStr">
        <is>
          <t>T</t>
        </is>
      </c>
      <c r="E381" t="inlineStr">
        <is>
          <t>rs10761684</t>
        </is>
      </c>
      <c r="F381" t="n">
        <v>0.03463546442</v>
      </c>
      <c r="G381" t="n">
        <v>0.2310133419884672</v>
      </c>
      <c r="H381" t="n">
        <v>0.008819921568277499</v>
      </c>
      <c r="I381" t="n">
        <v>0.7196424808249912</v>
      </c>
      <c r="J381" t="n">
        <v>0.1137693451446042</v>
      </c>
      <c r="K381" t="n">
        <v>0.3312436956573507</v>
      </c>
      <c r="L381" t="b">
        <v>0</v>
      </c>
      <c r="M381" t="b">
        <v>0</v>
      </c>
      <c r="N381" t="inlineStr">
        <is>
          <t>alt</t>
        </is>
      </c>
      <c r="O381" t="n">
        <v>45</v>
      </c>
      <c r="P381" t="n">
        <v>0.00873</v>
      </c>
      <c r="Q381" t="n">
        <v>-50</v>
      </c>
      <c r="R381" t="n">
        <v>0.07385</v>
      </c>
      <c r="S381">
        <f>IMAGE("https://mitra.stanford.edu/kundaje/oak/projects/neuro-variants/variant_position/credible/roussos_2024/variant_figures/roussos_2024.childhood.GABA/rs10761684_count_position.png",4,220,900)</f>
        <v/>
      </c>
      <c r="T381">
        <f>IMAGE("https://mitra.stanford.edu/kundaje/oak/projects/neuro-variants/variant_position/credible/roussos_2024/variant_figures/roussos_2024.childhood.GABA/rs10761684_profile_position.png",4,220,900)</f>
        <v/>
      </c>
    </row>
    <row r="382">
      <c r="A382" t="inlineStr">
        <is>
          <t>chr10</t>
        </is>
      </c>
      <c r="B382" t="n">
        <v>62988546</v>
      </c>
      <c r="C382" t="inlineStr">
        <is>
          <t>A</t>
        </is>
      </c>
      <c r="D382" t="inlineStr">
        <is>
          <t>G</t>
        </is>
      </c>
      <c r="E382" t="inlineStr">
        <is>
          <t>rs73300318</t>
        </is>
      </c>
      <c r="F382" t="n">
        <v>0.0179417026</v>
      </c>
      <c r="G382" t="n">
        <v>0.4653256349903917</v>
      </c>
      <c r="H382" t="n">
        <v>0.0140141244295753</v>
      </c>
      <c r="I382" t="n">
        <v>0.2849339341779116</v>
      </c>
      <c r="J382" t="n">
        <v>0.035861029088396</v>
      </c>
      <c r="K382" t="n">
        <v>0.559112574268172</v>
      </c>
      <c r="L382" t="b">
        <v>0</v>
      </c>
      <c r="M382" t="b">
        <v>0</v>
      </c>
      <c r="N382" t="inlineStr">
        <is>
          <t>alt</t>
        </is>
      </c>
      <c r="O382" t="n">
        <v>65</v>
      </c>
      <c r="P382" t="n">
        <v>0.01303</v>
      </c>
      <c r="Q382" t="n">
        <v>-50</v>
      </c>
      <c r="R382" t="n">
        <v>0.04297</v>
      </c>
      <c r="S382">
        <f>IMAGE("https://mitra.stanford.edu/kundaje/oak/projects/neuro-variants/variant_position/credible/roussos_2024/variant_figures/roussos_2024.childhood.GABA/rs73300318_count_position.png",4,220,900)</f>
        <v/>
      </c>
      <c r="T382">
        <f>IMAGE("https://mitra.stanford.edu/kundaje/oak/projects/neuro-variants/variant_position/credible/roussos_2024/variant_figures/roussos_2024.childhood.GABA/rs73300318_profile_position.png",4,220,900)</f>
        <v/>
      </c>
    </row>
    <row r="383">
      <c r="A383" t="inlineStr">
        <is>
          <t>chr10</t>
        </is>
      </c>
      <c r="B383" t="n">
        <v>62998737</v>
      </c>
      <c r="C383" t="inlineStr">
        <is>
          <t>T</t>
        </is>
      </c>
      <c r="D383" t="inlineStr">
        <is>
          <t>C</t>
        </is>
      </c>
      <c r="E383" t="inlineStr">
        <is>
          <t>rs10995385</t>
        </is>
      </c>
      <c r="F383" t="n">
        <v>-0.059346469</v>
      </c>
      <c r="G383" t="n">
        <v>0.1079399577214307</v>
      </c>
      <c r="H383" t="n">
        <v>0.0128393633408379</v>
      </c>
      <c r="I383" t="n">
        <v>0.3698870346275957</v>
      </c>
      <c r="J383" t="n">
        <v>0.2102688948922535</v>
      </c>
      <c r="K383" t="n">
        <v>0.2046763193460541</v>
      </c>
      <c r="L383" t="b">
        <v>0</v>
      </c>
      <c r="M383" t="b">
        <v>0</v>
      </c>
      <c r="N383" t="inlineStr">
        <is>
          <t>ref</t>
        </is>
      </c>
      <c r="O383" t="n">
        <v>-90</v>
      </c>
      <c r="P383" t="n">
        <v>0.005188</v>
      </c>
      <c r="Q383" t="n">
        <v>-90</v>
      </c>
      <c r="R383" t="n">
        <v>0.0542</v>
      </c>
      <c r="S383">
        <f>IMAGE("https://mitra.stanford.edu/kundaje/oak/projects/neuro-variants/variant_position/credible/roussos_2024/variant_figures/roussos_2024.childhood.GABA/rs10995385_count_position.png",4,220,900)</f>
        <v/>
      </c>
      <c r="T383">
        <f>IMAGE("https://mitra.stanford.edu/kundaje/oak/projects/neuro-variants/variant_position/credible/roussos_2024/variant_figures/roussos_2024.childhood.GABA/rs10995385_profile_position.png",4,220,900)</f>
        <v/>
      </c>
    </row>
    <row r="384">
      <c r="A384" t="inlineStr">
        <is>
          <t>chr10</t>
        </is>
      </c>
      <c r="B384" t="n">
        <v>63090314</v>
      </c>
      <c r="C384" t="inlineStr">
        <is>
          <t>C</t>
        </is>
      </c>
      <c r="D384" t="inlineStr">
        <is>
          <t>T</t>
        </is>
      </c>
      <c r="E384" t="inlineStr">
        <is>
          <t>rs113899647</t>
        </is>
      </c>
      <c r="F384" t="n">
        <v>-0.08014829679999989</v>
      </c>
      <c r="G384" t="n">
        <v>0.0499749741879591</v>
      </c>
      <c r="H384" t="n">
        <v>0.025168222785132</v>
      </c>
      <c r="I384" t="n">
        <v>0.0282559639478337</v>
      </c>
      <c r="J384" t="n">
        <v>0.0155012460472031</v>
      </c>
      <c r="K384" t="n">
        <v>0.7040759807529358</v>
      </c>
      <c r="L384" t="b">
        <v>0</v>
      </c>
      <c r="M384" t="b">
        <v>0</v>
      </c>
      <c r="N384" t="inlineStr">
        <is>
          <t>ref</t>
        </is>
      </c>
      <c r="O384" t="n">
        <v>35</v>
      </c>
      <c r="P384" t="n">
        <v>0.002686</v>
      </c>
      <c r="Q384" t="n">
        <v>55</v>
      </c>
      <c r="R384" t="n">
        <v>0.04175</v>
      </c>
      <c r="S384">
        <f>IMAGE("https://mitra.stanford.edu/kundaje/oak/projects/neuro-variants/variant_position/credible/roussos_2024/variant_figures/roussos_2024.childhood.GABA/rs113899647_count_position.png",4,220,900)</f>
        <v/>
      </c>
      <c r="T384">
        <f>IMAGE("https://mitra.stanford.edu/kundaje/oak/projects/neuro-variants/variant_position/credible/roussos_2024/variant_figures/roussos_2024.childhood.GABA/rs113899647_profile_position.png",4,220,900)</f>
        <v/>
      </c>
    </row>
    <row r="385">
      <c r="A385" t="inlineStr">
        <is>
          <t>chr10</t>
        </is>
      </c>
      <c r="B385" t="n">
        <v>63115969</v>
      </c>
      <c r="C385" t="inlineStr">
        <is>
          <t>G</t>
        </is>
      </c>
      <c r="D385" t="inlineStr">
        <is>
          <t>T</t>
        </is>
      </c>
      <c r="E385" t="inlineStr">
        <is>
          <t>rs59113396</t>
        </is>
      </c>
      <c r="F385" t="n">
        <v>-0.0105431288999999</v>
      </c>
      <c r="G385" t="n">
        <v>0.646046219554666</v>
      </c>
      <c r="H385" t="n">
        <v>0.0075885859748006</v>
      </c>
      <c r="I385" t="n">
        <v>0.8947945688333224</v>
      </c>
      <c r="J385" t="n">
        <v>0.0775826684257921</v>
      </c>
      <c r="K385" t="n">
        <v>0.4063122188936622</v>
      </c>
      <c r="L385" t="b">
        <v>0</v>
      </c>
      <c r="M385" t="b">
        <v>0</v>
      </c>
      <c r="N385" t="inlineStr">
        <is>
          <t>ref</t>
        </is>
      </c>
      <c r="O385" t="n">
        <v>100</v>
      </c>
      <c r="P385" t="n">
        <v>0.001539</v>
      </c>
      <c r="Q385" t="n">
        <v>100</v>
      </c>
      <c r="R385" t="n">
        <v>0.05542</v>
      </c>
      <c r="S385">
        <f>IMAGE("https://mitra.stanford.edu/kundaje/oak/projects/neuro-variants/variant_position/credible/roussos_2024/variant_figures/roussos_2024.childhood.GABA/rs59113396_count_position.png",4,220,900)</f>
        <v/>
      </c>
      <c r="T385">
        <f>IMAGE("https://mitra.stanford.edu/kundaje/oak/projects/neuro-variants/variant_position/credible/roussos_2024/variant_figures/roussos_2024.childhood.GABA/rs59113396_profile_position.png",4,220,900)</f>
        <v/>
      </c>
    </row>
    <row r="386">
      <c r="A386" t="inlineStr">
        <is>
          <t>chr10</t>
        </is>
      </c>
      <c r="B386" t="n">
        <v>63154433</v>
      </c>
      <c r="C386" t="inlineStr">
        <is>
          <t>T</t>
        </is>
      </c>
      <c r="D386" t="inlineStr">
        <is>
          <t>C</t>
        </is>
      </c>
      <c r="E386" t="inlineStr">
        <is>
          <t>rs16918239</t>
        </is>
      </c>
      <c r="F386" t="n">
        <v>-0.0694712366</v>
      </c>
      <c r="G386" t="n">
        <v>0.0713285727330598</v>
      </c>
      <c r="H386" t="n">
        <v>0.0202061401344692</v>
      </c>
      <c r="I386" t="n">
        <v>0.07520715233917739</v>
      </c>
      <c r="J386" t="n">
        <v>0.1594385457896169</v>
      </c>
      <c r="K386" t="n">
        <v>0.2594068148229703</v>
      </c>
      <c r="L386" t="b">
        <v>0</v>
      </c>
      <c r="M386" t="b">
        <v>0</v>
      </c>
      <c r="N386" t="inlineStr">
        <is>
          <t>ref</t>
        </is>
      </c>
      <c r="O386" t="n">
        <v>-25</v>
      </c>
      <c r="P386" t="n">
        <v>0.005394</v>
      </c>
      <c r="Q386" t="n">
        <v>-80</v>
      </c>
      <c r="R386" t="n">
        <v>0.06884999999999999</v>
      </c>
      <c r="S386">
        <f>IMAGE("https://mitra.stanford.edu/kundaje/oak/projects/neuro-variants/variant_position/credible/roussos_2024/variant_figures/roussos_2024.childhood.GABA/rs16918239_count_position.png",4,220,900)</f>
        <v/>
      </c>
      <c r="T386">
        <f>IMAGE("https://mitra.stanford.edu/kundaje/oak/projects/neuro-variants/variant_position/credible/roussos_2024/variant_figures/roussos_2024.childhood.GABA/rs16918239_profile_position.png",4,220,900)</f>
        <v/>
      </c>
    </row>
    <row r="387">
      <c r="A387" t="inlineStr">
        <is>
          <t>chr10</t>
        </is>
      </c>
      <c r="B387" t="n">
        <v>63171485</v>
      </c>
      <c r="C387" t="inlineStr">
        <is>
          <t>C</t>
        </is>
      </c>
      <c r="D387" t="inlineStr">
        <is>
          <t>T</t>
        </is>
      </c>
      <c r="E387" t="inlineStr">
        <is>
          <t>rs74557321</t>
        </is>
      </c>
      <c r="F387" t="n">
        <v>-0.064571507</v>
      </c>
      <c r="G387" t="n">
        <v>0.08907199803787171</v>
      </c>
      <c r="H387" t="n">
        <v>0.0127607128838128</v>
      </c>
      <c r="I387" t="n">
        <v>0.3726696258044392</v>
      </c>
      <c r="J387" t="n">
        <v>0.0194781261125421</v>
      </c>
      <c r="K387" t="n">
        <v>0.6483489072673903</v>
      </c>
      <c r="L387" t="b">
        <v>0</v>
      </c>
      <c r="M387" t="b">
        <v>0</v>
      </c>
      <c r="N387" t="inlineStr">
        <is>
          <t>ref</t>
        </is>
      </c>
      <c r="O387" t="n">
        <v>95</v>
      </c>
      <c r="P387" t="n">
        <v>0.005615</v>
      </c>
      <c r="Q387" t="n">
        <v>-75</v>
      </c>
      <c r="R387" t="n">
        <v>0.03253</v>
      </c>
      <c r="S387">
        <f>IMAGE("https://mitra.stanford.edu/kundaje/oak/projects/neuro-variants/variant_position/credible/roussos_2024/variant_figures/roussos_2024.childhood.GABA/rs74557321_count_position.png",4,220,900)</f>
        <v/>
      </c>
      <c r="T387">
        <f>IMAGE("https://mitra.stanford.edu/kundaje/oak/projects/neuro-variants/variant_position/credible/roussos_2024/variant_figures/roussos_2024.childhood.GABA/rs74557321_profile_position.png",4,220,900)</f>
        <v/>
      </c>
    </row>
    <row r="388">
      <c r="A388" t="inlineStr">
        <is>
          <t>chr10</t>
        </is>
      </c>
      <c r="B388" t="n">
        <v>63174840</v>
      </c>
      <c r="C388" t="inlineStr">
        <is>
          <t>A</t>
        </is>
      </c>
      <c r="D388" t="inlineStr">
        <is>
          <t>C</t>
        </is>
      </c>
      <c r="E388" t="inlineStr">
        <is>
          <t>rs112637649</t>
        </is>
      </c>
      <c r="F388" t="n">
        <v>0.00276828458</v>
      </c>
      <c r="G388" t="n">
        <v>0.7569309574044943</v>
      </c>
      <c r="H388" t="n">
        <v>0.0247389325129698</v>
      </c>
      <c r="I388" t="n">
        <v>0.0299135790036159</v>
      </c>
      <c r="J388" t="n">
        <v>0.0099359175724068</v>
      </c>
      <c r="K388" t="n">
        <v>0.7415207184333621</v>
      </c>
      <c r="L388" t="b">
        <v>0</v>
      </c>
      <c r="M388" t="b">
        <v>0</v>
      </c>
      <c r="N388" t="inlineStr">
        <is>
          <t>alt</t>
        </is>
      </c>
      <c r="O388" t="n">
        <v>-60</v>
      </c>
      <c r="P388" t="n">
        <v>0.00882</v>
      </c>
      <c r="Q388" t="n">
        <v>-75</v>
      </c>
      <c r="R388" t="n">
        <v>0.0752</v>
      </c>
      <c r="S388">
        <f>IMAGE("https://mitra.stanford.edu/kundaje/oak/projects/neuro-variants/variant_position/credible/roussos_2024/variant_figures/roussos_2024.childhood.GABA/rs112637649_count_position.png",4,220,900)</f>
        <v/>
      </c>
      <c r="T388">
        <f>IMAGE("https://mitra.stanford.edu/kundaje/oak/projects/neuro-variants/variant_position/credible/roussos_2024/variant_figures/roussos_2024.childhood.GABA/rs112637649_profile_position.png",4,220,900)</f>
        <v/>
      </c>
    </row>
    <row r="389">
      <c r="A389" t="inlineStr">
        <is>
          <t>chr10</t>
        </is>
      </c>
      <c r="B389" t="n">
        <v>63178899</v>
      </c>
      <c r="C389" t="inlineStr">
        <is>
          <t>T</t>
        </is>
      </c>
      <c r="D389" t="inlineStr">
        <is>
          <t>C</t>
        </is>
      </c>
      <c r="E389" t="inlineStr">
        <is>
          <t>rs76032436</t>
        </is>
      </c>
      <c r="F389" t="n">
        <v>-0.009187679379999999</v>
      </c>
      <c r="G389" t="n">
        <v>0.673712049328837</v>
      </c>
      <c r="H389" t="n">
        <v>0.0448224817859651</v>
      </c>
      <c r="I389" t="n">
        <v>0.0025538873189435</v>
      </c>
      <c r="J389" t="n">
        <v>0.0008847982241209</v>
      </c>
      <c r="K389" t="n">
        <v>0.9161459819594574</v>
      </c>
      <c r="L389" t="b">
        <v>0</v>
      </c>
      <c r="M389" t="b">
        <v>0</v>
      </c>
      <c r="N389" t="inlineStr">
        <is>
          <t>ref</t>
        </is>
      </c>
      <c r="O389" t="n">
        <v>-90</v>
      </c>
      <c r="P389" t="n">
        <v>0.012344</v>
      </c>
      <c r="Q389" t="n">
        <v>-55</v>
      </c>
      <c r="R389" t="n">
        <v>0.01666</v>
      </c>
      <c r="S389">
        <f>IMAGE("https://mitra.stanford.edu/kundaje/oak/projects/neuro-variants/variant_position/credible/roussos_2024/variant_figures/roussos_2024.childhood.GABA/rs76032436_count_position.png",4,220,900)</f>
        <v/>
      </c>
      <c r="T389">
        <f>IMAGE("https://mitra.stanford.edu/kundaje/oak/projects/neuro-variants/variant_position/credible/roussos_2024/variant_figures/roussos_2024.childhood.GABA/rs76032436_profile_position.png",4,220,900)</f>
        <v/>
      </c>
    </row>
    <row r="390">
      <c r="A390" t="inlineStr">
        <is>
          <t>chr10</t>
        </is>
      </c>
      <c r="B390" t="n">
        <v>63254190</v>
      </c>
      <c r="C390" t="inlineStr">
        <is>
          <t>A</t>
        </is>
      </c>
      <c r="D390" t="inlineStr">
        <is>
          <t>C</t>
        </is>
      </c>
      <c r="E390" t="inlineStr">
        <is>
          <t>rs76460998</t>
        </is>
      </c>
      <c r="F390" t="n">
        <v>-0.009087017080000001</v>
      </c>
      <c r="G390" t="n">
        <v>0.5598647317314605</v>
      </c>
      <c r="H390" t="n">
        <v>0.0227592851668061</v>
      </c>
      <c r="I390" t="n">
        <v>0.0426959188644205</v>
      </c>
      <c r="J390" t="n">
        <v>0.0322338799187451</v>
      </c>
      <c r="K390" t="n">
        <v>0.5843791227014665</v>
      </c>
      <c r="L390" t="b">
        <v>0</v>
      </c>
      <c r="M390" t="b">
        <v>0</v>
      </c>
      <c r="N390" t="inlineStr">
        <is>
          <t>ref</t>
        </is>
      </c>
      <c r="O390" t="n">
        <v>30</v>
      </c>
      <c r="P390" t="n">
        <v>0.002716</v>
      </c>
      <c r="Q390" t="n">
        <v>25</v>
      </c>
      <c r="R390" t="n">
        <v>0.0429</v>
      </c>
      <c r="S390">
        <f>IMAGE("https://mitra.stanford.edu/kundaje/oak/projects/neuro-variants/variant_position/credible/roussos_2024/variant_figures/roussos_2024.childhood.GABA/rs76460998_count_position.png",4,220,900)</f>
        <v/>
      </c>
      <c r="T390">
        <f>IMAGE("https://mitra.stanford.edu/kundaje/oak/projects/neuro-variants/variant_position/credible/roussos_2024/variant_figures/roussos_2024.childhood.GABA/rs76460998_profile_position.png",4,220,900)</f>
        <v/>
      </c>
    </row>
    <row r="391">
      <c r="A391" t="inlineStr">
        <is>
          <t>chr10</t>
        </is>
      </c>
      <c r="B391" t="n">
        <v>63293746</v>
      </c>
      <c r="C391" t="inlineStr">
        <is>
          <t>G</t>
        </is>
      </c>
      <c r="D391" t="inlineStr">
        <is>
          <t>C</t>
        </is>
      </c>
      <c r="E391" t="inlineStr">
        <is>
          <t>rs58429288</t>
        </is>
      </c>
      <c r="F391" t="n">
        <v>0.024967943</v>
      </c>
      <c r="G391" t="n">
        <v>0.3432700427882316</v>
      </c>
      <c r="H391" t="n">
        <v>0.015928242318002</v>
      </c>
      <c r="I391" t="n">
        <v>0.1808668683959967</v>
      </c>
      <c r="J391" t="n">
        <v>0.0011319134677807</v>
      </c>
      <c r="K391" t="n">
        <v>0.9055916764914276</v>
      </c>
      <c r="L391" t="b">
        <v>0</v>
      </c>
      <c r="M391" t="b">
        <v>0</v>
      </c>
      <c r="N391" t="inlineStr">
        <is>
          <t>alt</t>
        </is>
      </c>
      <c r="O391" t="n">
        <v>100</v>
      </c>
      <c r="P391" t="n">
        <v>0.002502</v>
      </c>
      <c r="Q391" t="n">
        <v>-20</v>
      </c>
      <c r="R391" t="n">
        <v>0.0238</v>
      </c>
      <c r="S391">
        <f>IMAGE("https://mitra.stanford.edu/kundaje/oak/projects/neuro-variants/variant_position/credible/roussos_2024/variant_figures/roussos_2024.childhood.GABA/rs58429288_count_position.png",4,220,900)</f>
        <v/>
      </c>
      <c r="T391">
        <f>IMAGE("https://mitra.stanford.edu/kundaje/oak/projects/neuro-variants/variant_position/credible/roussos_2024/variant_figures/roussos_2024.childhood.GABA/rs58429288_profile_position.png",4,220,900)</f>
        <v/>
      </c>
    </row>
    <row r="392">
      <c r="A392" t="inlineStr">
        <is>
          <t>chr10</t>
        </is>
      </c>
      <c r="B392" t="n">
        <v>63297322</v>
      </c>
      <c r="C392" t="inlineStr">
        <is>
          <t>C</t>
        </is>
      </c>
      <c r="D392" t="inlineStr">
        <is>
          <t>T</t>
        </is>
      </c>
      <c r="E392" t="inlineStr">
        <is>
          <t>rs112188494</t>
        </is>
      </c>
      <c r="F392" t="n">
        <v>-0.0240994759</v>
      </c>
      <c r="G392" t="n">
        <v>0.2721519672094182</v>
      </c>
      <c r="H392" t="n">
        <v>0.0116577986288976</v>
      </c>
      <c r="I392" t="n">
        <v>0.4620650375620142</v>
      </c>
      <c r="J392" t="n">
        <v>0.3093118468723168</v>
      </c>
      <c r="K392" t="n">
        <v>0.13208894199019</v>
      </c>
      <c r="L392" t="b">
        <v>0</v>
      </c>
      <c r="M392" t="b">
        <v>0</v>
      </c>
      <c r="N392" t="inlineStr">
        <is>
          <t>ref</t>
        </is>
      </c>
      <c r="O392" t="n">
        <v>35</v>
      </c>
      <c r="P392" t="n">
        <v>0.003242</v>
      </c>
      <c r="Q392" t="n">
        <v>-95</v>
      </c>
      <c r="R392" t="n">
        <v>0.1073</v>
      </c>
      <c r="S392">
        <f>IMAGE("https://mitra.stanford.edu/kundaje/oak/projects/neuro-variants/variant_position/credible/roussos_2024/variant_figures/roussos_2024.childhood.GABA/rs112188494_count_position.png",4,220,900)</f>
        <v/>
      </c>
      <c r="T392">
        <f>IMAGE("https://mitra.stanford.edu/kundaje/oak/projects/neuro-variants/variant_position/credible/roussos_2024/variant_figures/roussos_2024.childhood.GABA/rs112188494_profile_position.png",4,220,900)</f>
        <v/>
      </c>
    </row>
    <row r="393">
      <c r="A393" t="inlineStr">
        <is>
          <t>chr10</t>
        </is>
      </c>
      <c r="B393" t="n">
        <v>63333623</v>
      </c>
      <c r="C393" t="inlineStr">
        <is>
          <t>C</t>
        </is>
      </c>
      <c r="D393" t="inlineStr">
        <is>
          <t>T</t>
        </is>
      </c>
      <c r="E393" t="inlineStr">
        <is>
          <t>rs78005057</t>
        </is>
      </c>
      <c r="F393" t="n">
        <v>-0.61949741</v>
      </c>
      <c r="G393" t="n">
        <v>0.0001478994432953</v>
      </c>
      <c r="H393" t="n">
        <v>0.1324282829809434</v>
      </c>
      <c r="I393" t="n">
        <v>0.0001168953167997</v>
      </c>
      <c r="J393" t="n">
        <v>0.0761303428200456</v>
      </c>
      <c r="K393" t="n">
        <v>0.4230635491554639</v>
      </c>
      <c r="L393" t="b">
        <v>1</v>
      </c>
      <c r="M393" t="b">
        <v>1</v>
      </c>
      <c r="N393" t="inlineStr">
        <is>
          <t>ref</t>
        </is>
      </c>
      <c r="O393" t="n">
        <v>-55</v>
      </c>
      <c r="P393" t="n">
        <v>0.00238</v>
      </c>
      <c r="Q393" t="n">
        <v>95</v>
      </c>
      <c r="R393" t="n">
        <v>0.01953</v>
      </c>
      <c r="S393">
        <f>IMAGE("https://mitra.stanford.edu/kundaje/oak/projects/neuro-variants/variant_position/credible/roussos_2024/variant_figures/roussos_2024.childhood.GABA/rs78005057_count_position.png",4,220,900)</f>
        <v/>
      </c>
      <c r="T393">
        <f>IMAGE("https://mitra.stanford.edu/kundaje/oak/projects/neuro-variants/variant_position/credible/roussos_2024/variant_figures/roussos_2024.childhood.GABA/rs78005057_profile_position.png",4,220,900)</f>
        <v/>
      </c>
    </row>
    <row r="394">
      <c r="A394" t="inlineStr">
        <is>
          <t>chr10</t>
        </is>
      </c>
      <c r="B394" t="n">
        <v>64556791</v>
      </c>
      <c r="C394" t="inlineStr">
        <is>
          <t>C</t>
        </is>
      </c>
      <c r="D394" t="inlineStr">
        <is>
          <t>T</t>
        </is>
      </c>
      <c r="E394" t="inlineStr">
        <is>
          <t>rs10822313</t>
        </is>
      </c>
      <c r="F394" t="n">
        <v>-0.0398040696</v>
      </c>
      <c r="G394" t="n">
        <v>0.2106637297774498</v>
      </c>
      <c r="H394" t="n">
        <v>0.0119939244445857</v>
      </c>
      <c r="I394" t="n">
        <v>0.4344018178121507</v>
      </c>
      <c r="J394" t="n">
        <v>0.0257450105756947</v>
      </c>
      <c r="K394" t="n">
        <v>0.6205804718952389</v>
      </c>
      <c r="L394" t="b">
        <v>0</v>
      </c>
      <c r="M394" t="b">
        <v>0</v>
      </c>
      <c r="N394" t="inlineStr">
        <is>
          <t>ref</t>
        </is>
      </c>
      <c r="O394" t="n">
        <v>40</v>
      </c>
      <c r="P394" t="n">
        <v>0.002182</v>
      </c>
      <c r="Q394" t="n">
        <v>50</v>
      </c>
      <c r="R394" t="n">
        <v>0.0774</v>
      </c>
      <c r="S394">
        <f>IMAGE("https://mitra.stanford.edu/kundaje/oak/projects/neuro-variants/variant_position/credible/roussos_2024/variant_figures/roussos_2024.childhood.GABA/rs10822313_count_position.png",4,220,900)</f>
        <v/>
      </c>
      <c r="T394">
        <f>IMAGE("https://mitra.stanford.edu/kundaje/oak/projects/neuro-variants/variant_position/credible/roussos_2024/variant_figures/roussos_2024.childhood.GABA/rs10822313_profile_position.png",4,220,900)</f>
        <v/>
      </c>
    </row>
    <row r="395">
      <c r="A395" t="inlineStr">
        <is>
          <t>chr10</t>
        </is>
      </c>
      <c r="B395" t="n">
        <v>64567391</v>
      </c>
      <c r="C395" t="inlineStr">
        <is>
          <t>G</t>
        </is>
      </c>
      <c r="D395" t="inlineStr">
        <is>
          <t>A</t>
        </is>
      </c>
      <c r="E395" t="inlineStr">
        <is>
          <t>rs3999058</t>
        </is>
      </c>
      <c r="F395" t="n">
        <v>-0.1063012172</v>
      </c>
      <c r="G395" t="n">
        <v>0.0254486587369355</v>
      </c>
      <c r="H395" t="n">
        <v>0.0198408642715386</v>
      </c>
      <c r="I395" t="n">
        <v>0.0764024390214512</v>
      </c>
      <c r="J395" t="n">
        <v>0.3434954241795983</v>
      </c>
      <c r="K395" t="n">
        <v>0.1118075975073582</v>
      </c>
      <c r="L395" t="b">
        <v>0</v>
      </c>
      <c r="M395" t="b">
        <v>0</v>
      </c>
      <c r="N395" t="inlineStr">
        <is>
          <t>ref</t>
        </is>
      </c>
      <c r="O395" t="n">
        <v>45</v>
      </c>
      <c r="P395" t="n">
        <v>0.001411</v>
      </c>
      <c r="Q395" t="n">
        <v>-30</v>
      </c>
      <c r="R395" t="n">
        <v>0.0398</v>
      </c>
      <c r="S395">
        <f>IMAGE("https://mitra.stanford.edu/kundaje/oak/projects/neuro-variants/variant_position/credible/roussos_2024/variant_figures/roussos_2024.childhood.GABA/rs3999058_count_position.png",4,220,900)</f>
        <v/>
      </c>
      <c r="T395">
        <f>IMAGE("https://mitra.stanford.edu/kundaje/oak/projects/neuro-variants/variant_position/credible/roussos_2024/variant_figures/roussos_2024.childhood.GABA/rs3999058_profile_position.png",4,220,900)</f>
        <v/>
      </c>
    </row>
    <row r="396">
      <c r="A396" t="inlineStr">
        <is>
          <t>chr10</t>
        </is>
      </c>
      <c r="B396" t="n">
        <v>64567820</v>
      </c>
      <c r="C396" t="inlineStr">
        <is>
          <t>G</t>
        </is>
      </c>
      <c r="D396" t="inlineStr">
        <is>
          <t>A</t>
        </is>
      </c>
      <c r="E396" t="inlineStr">
        <is>
          <t>rs2394090</t>
        </is>
      </c>
      <c r="F396" t="n">
        <v>-0.07551824139999989</v>
      </c>
      <c r="G396" t="n">
        <v>0.0603615531850859</v>
      </c>
      <c r="H396" t="n">
        <v>0.011888828935008</v>
      </c>
      <c r="I396" t="n">
        <v>0.4319996925299368</v>
      </c>
      <c r="J396" t="n">
        <v>0.176895771816297</v>
      </c>
      <c r="K396" t="n">
        <v>0.2452815080522904</v>
      </c>
      <c r="L396" t="b">
        <v>0</v>
      </c>
      <c r="M396" t="b">
        <v>0</v>
      </c>
      <c r="N396" t="inlineStr">
        <is>
          <t>ref</t>
        </is>
      </c>
      <c r="O396" t="n">
        <v>-80</v>
      </c>
      <c r="P396" t="n">
        <v>0.005547</v>
      </c>
      <c r="Q396" t="n">
        <v>10</v>
      </c>
      <c r="R396" t="n">
        <v>0.02234</v>
      </c>
      <c r="S396">
        <f>IMAGE("https://mitra.stanford.edu/kundaje/oak/projects/neuro-variants/variant_position/credible/roussos_2024/variant_figures/roussos_2024.childhood.GABA/rs2394090_count_position.png",4,220,900)</f>
        <v/>
      </c>
      <c r="T396">
        <f>IMAGE("https://mitra.stanford.edu/kundaje/oak/projects/neuro-variants/variant_position/credible/roussos_2024/variant_figures/roussos_2024.childhood.GABA/rs2394090_profile_position.png",4,220,900)</f>
        <v/>
      </c>
    </row>
    <row r="397">
      <c r="A397" t="inlineStr">
        <is>
          <t>chr10</t>
        </is>
      </c>
      <c r="B397" t="n">
        <v>64573330</v>
      </c>
      <c r="C397" t="inlineStr">
        <is>
          <t>C</t>
        </is>
      </c>
      <c r="D397" t="inlineStr">
        <is>
          <t>T</t>
        </is>
      </c>
      <c r="E397" t="inlineStr">
        <is>
          <t>rs10822315</t>
        </is>
      </c>
      <c r="F397" t="n">
        <v>-0.06645469380000001</v>
      </c>
      <c r="G397" t="n">
        <v>0.0787908529399374</v>
      </c>
      <c r="H397" t="n">
        <v>0.0142669775031169</v>
      </c>
      <c r="I397" t="n">
        <v>0.2689894857649484</v>
      </c>
      <c r="J397" t="n">
        <v>0.0058962115976628</v>
      </c>
      <c r="K397" t="n">
        <v>0.8014683230651253</v>
      </c>
      <c r="L397" t="b">
        <v>0</v>
      </c>
      <c r="M397" t="b">
        <v>0</v>
      </c>
      <c r="N397" t="inlineStr">
        <is>
          <t>ref</t>
        </is>
      </c>
      <c r="O397" t="n">
        <v>100</v>
      </c>
      <c r="P397" t="n">
        <v>0.009186</v>
      </c>
      <c r="Q397" t="n">
        <v>100</v>
      </c>
      <c r="R397" t="n">
        <v>0.08966</v>
      </c>
      <c r="S397">
        <f>IMAGE("https://mitra.stanford.edu/kundaje/oak/projects/neuro-variants/variant_position/credible/roussos_2024/variant_figures/roussos_2024.childhood.GABA/rs10822315_count_position.png",4,220,900)</f>
        <v/>
      </c>
      <c r="T397">
        <f>IMAGE("https://mitra.stanford.edu/kundaje/oak/projects/neuro-variants/variant_position/credible/roussos_2024/variant_figures/roussos_2024.childhood.GABA/rs10822315_profile_position.png",4,220,900)</f>
        <v/>
      </c>
    </row>
    <row r="398">
      <c r="A398" t="inlineStr">
        <is>
          <t>chr10</t>
        </is>
      </c>
      <c r="B398" t="n">
        <v>64577039</v>
      </c>
      <c r="C398" t="inlineStr">
        <is>
          <t>C</t>
        </is>
      </c>
      <c r="D398" t="inlineStr">
        <is>
          <t>T</t>
        </is>
      </c>
      <c r="E398" t="inlineStr">
        <is>
          <t>rs56023698</t>
        </is>
      </c>
      <c r="F398" t="n">
        <v>-0.0569935909999999</v>
      </c>
      <c r="G398" t="n">
        <v>0.1104562623188559</v>
      </c>
      <c r="H398" t="n">
        <v>0.0130490009136457</v>
      </c>
      <c r="I398" t="n">
        <v>0.3480638413171825</v>
      </c>
      <c r="J398" t="n">
        <v>0.3361521224686393</v>
      </c>
      <c r="K398" t="n">
        <v>0.116746466398031</v>
      </c>
      <c r="L398" t="b">
        <v>0</v>
      </c>
      <c r="M398" t="b">
        <v>0</v>
      </c>
      <c r="N398" t="inlineStr">
        <is>
          <t>ref</t>
        </is>
      </c>
      <c r="O398" t="n">
        <v>-85</v>
      </c>
      <c r="P398" t="n">
        <v>0.0008736</v>
      </c>
      <c r="Q398" t="n">
        <v>95</v>
      </c>
      <c r="R398" t="n">
        <v>0.02907</v>
      </c>
      <c r="S398">
        <f>IMAGE("https://mitra.stanford.edu/kundaje/oak/projects/neuro-variants/variant_position/credible/roussos_2024/variant_figures/roussos_2024.childhood.GABA/rs56023698_count_position.png",4,220,900)</f>
        <v/>
      </c>
      <c r="T398">
        <f>IMAGE("https://mitra.stanford.edu/kundaje/oak/projects/neuro-variants/variant_position/credible/roussos_2024/variant_figures/roussos_2024.childhood.GABA/rs56023698_profile_position.png",4,220,900)</f>
        <v/>
      </c>
    </row>
    <row r="399">
      <c r="A399" t="inlineStr">
        <is>
          <t>chr10</t>
        </is>
      </c>
      <c r="B399" t="n">
        <v>90992214</v>
      </c>
      <c r="C399" t="inlineStr">
        <is>
          <t>A</t>
        </is>
      </c>
      <c r="D399" t="inlineStr">
        <is>
          <t>G</t>
        </is>
      </c>
      <c r="E399" t="inlineStr">
        <is>
          <t>rs76523509</t>
        </is>
      </c>
      <c r="F399" t="n">
        <v>0.01348441754</v>
      </c>
      <c r="G399" t="n">
        <v>0.5362219077025635</v>
      </c>
      <c r="H399" t="n">
        <v>0.0176609421094593</v>
      </c>
      <c r="I399" t="n">
        <v>0.1238796137289198</v>
      </c>
      <c r="J399" t="n">
        <v>0.002831354317187</v>
      </c>
      <c r="K399" t="n">
        <v>0.8615660484675081</v>
      </c>
      <c r="L399" t="b">
        <v>0</v>
      </c>
      <c r="M399" t="b">
        <v>0</v>
      </c>
      <c r="N399" t="inlineStr">
        <is>
          <t>alt</t>
        </is>
      </c>
      <c r="O399" t="n">
        <v>-100</v>
      </c>
      <c r="P399" t="n">
        <v>0.00676</v>
      </c>
      <c r="Q399" t="n">
        <v>0</v>
      </c>
      <c r="R399" t="n">
        <v>0</v>
      </c>
      <c r="S399">
        <f>IMAGE("https://mitra.stanford.edu/kundaje/oak/projects/neuro-variants/variant_position/credible/roussos_2024/variant_figures/roussos_2024.childhood.GABA/rs76523509_count_position.png",4,220,900)</f>
        <v/>
      </c>
      <c r="T399">
        <f>IMAGE("https://mitra.stanford.edu/kundaje/oak/projects/neuro-variants/variant_position/credible/roussos_2024/variant_figures/roussos_2024.childhood.GABA/rs76523509_profile_position.png",4,220,900)</f>
        <v/>
      </c>
    </row>
    <row r="400">
      <c r="A400" t="inlineStr">
        <is>
          <t>chr10</t>
        </is>
      </c>
      <c r="B400" t="n">
        <v>91029521</v>
      </c>
      <c r="C400" t="inlineStr">
        <is>
          <t>G</t>
        </is>
      </c>
      <c r="D400" t="inlineStr">
        <is>
          <t>A</t>
        </is>
      </c>
      <c r="E400" t="inlineStr">
        <is>
          <t>rs60020658</t>
        </is>
      </c>
      <c r="F400" t="n">
        <v>-0.0401761606</v>
      </c>
      <c r="G400" t="n">
        <v>0.2078699145349359</v>
      </c>
      <c r="H400" t="n">
        <v>0.0113654213958956</v>
      </c>
      <c r="I400" t="n">
        <v>0.4953387922407598</v>
      </c>
      <c r="J400" t="n">
        <v>0.0025674854976858</v>
      </c>
      <c r="K400" t="n">
        <v>0.8730547580953357</v>
      </c>
      <c r="L400" t="b">
        <v>0</v>
      </c>
      <c r="M400" t="b">
        <v>0</v>
      </c>
      <c r="N400" t="inlineStr">
        <is>
          <t>ref</t>
        </is>
      </c>
      <c r="O400" t="n">
        <v>65</v>
      </c>
      <c r="P400" t="n">
        <v>0.003674</v>
      </c>
      <c r="Q400" t="n">
        <v>-100</v>
      </c>
      <c r="R400" t="n">
        <v>0.04144</v>
      </c>
      <c r="S400">
        <f>IMAGE("https://mitra.stanford.edu/kundaje/oak/projects/neuro-variants/variant_position/credible/roussos_2024/variant_figures/roussos_2024.childhood.GABA/rs60020658_count_position.png",4,220,900)</f>
        <v/>
      </c>
      <c r="T400">
        <f>IMAGE("https://mitra.stanford.edu/kundaje/oak/projects/neuro-variants/variant_position/credible/roussos_2024/variant_figures/roussos_2024.childhood.GABA/rs60020658_profile_position.png",4,220,900)</f>
        <v/>
      </c>
    </row>
    <row r="401">
      <c r="A401" t="inlineStr">
        <is>
          <t>chr10</t>
        </is>
      </c>
      <c r="B401" t="n">
        <v>102490997</v>
      </c>
      <c r="C401" t="inlineStr">
        <is>
          <t>A</t>
        </is>
      </c>
      <c r="D401" t="inlineStr">
        <is>
          <t>C</t>
        </is>
      </c>
      <c r="E401" t="inlineStr">
        <is>
          <t>rs4919647</t>
        </is>
      </c>
      <c r="F401" t="n">
        <v>-0.0069040651199999</v>
      </c>
      <c r="G401" t="n">
        <v>0.731558083285281</v>
      </c>
      <c r="H401" t="n">
        <v>0.0325948808413785</v>
      </c>
      <c r="I401" t="n">
        <v>0.0088460496978913</v>
      </c>
      <c r="J401" t="n">
        <v>0.0511654206194634</v>
      </c>
      <c r="K401" t="n">
        <v>0.49522581830354</v>
      </c>
      <c r="L401" t="b">
        <v>1</v>
      </c>
      <c r="M401" t="b">
        <v>1</v>
      </c>
      <c r="N401" t="inlineStr">
        <is>
          <t>ref</t>
        </is>
      </c>
      <c r="O401" t="n">
        <v>95</v>
      </c>
      <c r="P401" t="n">
        <v>0.005554</v>
      </c>
      <c r="Q401" t="n">
        <v>60</v>
      </c>
      <c r="R401" t="n">
        <v>0.03418</v>
      </c>
      <c r="S401">
        <f>IMAGE("https://mitra.stanford.edu/kundaje/oak/projects/neuro-variants/variant_position/credible/roussos_2024/variant_figures/roussos_2024.childhood.GABA/rs4919647_count_position.png",4,220,900)</f>
        <v/>
      </c>
      <c r="T401">
        <f>IMAGE("https://mitra.stanford.edu/kundaje/oak/projects/neuro-variants/variant_position/credible/roussos_2024/variant_figures/roussos_2024.childhood.GABA/rs4919647_profile_position.png",4,220,900)</f>
        <v/>
      </c>
    </row>
    <row r="402">
      <c r="A402" t="inlineStr">
        <is>
          <t>chr10</t>
        </is>
      </c>
      <c r="B402" t="n">
        <v>102514400</v>
      </c>
      <c r="C402" t="inlineStr">
        <is>
          <t>C</t>
        </is>
      </c>
      <c r="D402" t="inlineStr">
        <is>
          <t>A</t>
        </is>
      </c>
      <c r="E402" t="inlineStr">
        <is>
          <t>rs4919652</t>
        </is>
      </c>
      <c r="F402" t="n">
        <v>0.01771931136</v>
      </c>
      <c r="G402" t="n">
        <v>0.4751778527216876</v>
      </c>
      <c r="H402" t="n">
        <v>0.0224297708122063</v>
      </c>
      <c r="I402" t="n">
        <v>0.046077209673085</v>
      </c>
      <c r="J402" t="n">
        <v>0.1538554166404891</v>
      </c>
      <c r="K402" t="n">
        <v>0.2738266118937469</v>
      </c>
      <c r="L402" t="b">
        <v>0</v>
      </c>
      <c r="M402" t="b">
        <v>0</v>
      </c>
      <c r="N402" t="inlineStr">
        <is>
          <t>alt</t>
        </is>
      </c>
      <c r="O402" t="n">
        <v>60</v>
      </c>
      <c r="P402" t="n">
        <v>0.007889999999999999</v>
      </c>
      <c r="Q402" t="n">
        <v>-100</v>
      </c>
      <c r="R402" t="n">
        <v>0.08594</v>
      </c>
      <c r="S402">
        <f>IMAGE("https://mitra.stanford.edu/kundaje/oak/projects/neuro-variants/variant_position/credible/roussos_2024/variant_figures/roussos_2024.childhood.GABA/rs4919652_count_position.png",4,220,900)</f>
        <v/>
      </c>
      <c r="T402">
        <f>IMAGE("https://mitra.stanford.edu/kundaje/oak/projects/neuro-variants/variant_position/credible/roussos_2024/variant_figures/roussos_2024.childhood.GABA/rs4919652_profile_position.png",4,220,900)</f>
        <v/>
      </c>
    </row>
    <row r="403">
      <c r="A403" t="inlineStr">
        <is>
          <t>chr10</t>
        </is>
      </c>
      <c r="B403" t="n">
        <v>102520907</v>
      </c>
      <c r="C403" t="inlineStr">
        <is>
          <t>G</t>
        </is>
      </c>
      <c r="D403" t="inlineStr">
        <is>
          <t>A</t>
        </is>
      </c>
      <c r="E403" t="inlineStr">
        <is>
          <t>rs2145307</t>
        </is>
      </c>
      <c r="F403" t="n">
        <v>-0.03703269</v>
      </c>
      <c r="G403" t="n">
        <v>0.2373420286352238</v>
      </c>
      <c r="H403" t="n">
        <v>0.0160632672007208</v>
      </c>
      <c r="I403" t="n">
        <v>0.1752374497842757</v>
      </c>
      <c r="J403" t="n">
        <v>0.0226393164541056</v>
      </c>
      <c r="K403" t="n">
        <v>0.6467103114892582</v>
      </c>
      <c r="L403" t="b">
        <v>0</v>
      </c>
      <c r="M403" t="b">
        <v>0</v>
      </c>
      <c r="N403" t="inlineStr">
        <is>
          <t>ref</t>
        </is>
      </c>
      <c r="O403" t="n">
        <v>60</v>
      </c>
      <c r="P403" t="n">
        <v>0.004986</v>
      </c>
      <c r="Q403" t="n">
        <v>100</v>
      </c>
      <c r="R403" t="n">
        <v>0.05032</v>
      </c>
      <c r="S403">
        <f>IMAGE("https://mitra.stanford.edu/kundaje/oak/projects/neuro-variants/variant_position/credible/roussos_2024/variant_figures/roussos_2024.childhood.GABA/rs2145307_count_position.png",4,220,900)</f>
        <v/>
      </c>
      <c r="T403">
        <f>IMAGE("https://mitra.stanford.edu/kundaje/oak/projects/neuro-variants/variant_position/credible/roussos_2024/variant_figures/roussos_2024.childhood.GABA/rs2145307_profile_position.png",4,220,900)</f>
        <v/>
      </c>
    </row>
    <row r="404">
      <c r="A404" t="inlineStr">
        <is>
          <t>chr10</t>
        </is>
      </c>
      <c r="B404" t="n">
        <v>102575065</v>
      </c>
      <c r="C404" t="inlineStr">
        <is>
          <t>A</t>
        </is>
      </c>
      <c r="D404" t="inlineStr">
        <is>
          <t>C</t>
        </is>
      </c>
      <c r="E404" t="inlineStr">
        <is>
          <t>rs10883740</t>
        </is>
      </c>
      <c r="F404" t="n">
        <v>-0.00813294312</v>
      </c>
      <c r="G404" t="n">
        <v>0.7063921331904917</v>
      </c>
      <c r="H404" t="n">
        <v>0.0384556263005739</v>
      </c>
      <c r="I404" t="n">
        <v>0.004407196284437</v>
      </c>
      <c r="J404" t="n">
        <v>0.032120793281816</v>
      </c>
      <c r="K404" t="n">
        <v>0.5700938548450121</v>
      </c>
      <c r="L404" t="b">
        <v>1</v>
      </c>
      <c r="M404" t="b">
        <v>0</v>
      </c>
      <c r="N404" t="inlineStr">
        <is>
          <t>ref</t>
        </is>
      </c>
      <c r="O404" t="n">
        <v>50</v>
      </c>
      <c r="P404" t="n">
        <v>0.013466</v>
      </c>
      <c r="Q404" t="n">
        <v>85</v>
      </c>
      <c r="R404" t="n">
        <v>0.1334</v>
      </c>
      <c r="S404">
        <f>IMAGE("https://mitra.stanford.edu/kundaje/oak/projects/neuro-variants/variant_position/credible/roussos_2024/variant_figures/roussos_2024.childhood.GABA/rs10883740_count_position.png",4,220,900)</f>
        <v/>
      </c>
      <c r="T404">
        <f>IMAGE("https://mitra.stanford.edu/kundaje/oak/projects/neuro-variants/variant_position/credible/roussos_2024/variant_figures/roussos_2024.childhood.GABA/rs10883740_profile_position.png",4,220,900)</f>
        <v/>
      </c>
    </row>
    <row r="405">
      <c r="A405" t="inlineStr">
        <is>
          <t>chr10</t>
        </is>
      </c>
      <c r="B405" t="n">
        <v>102624580</v>
      </c>
      <c r="C405" t="inlineStr">
        <is>
          <t>A</t>
        </is>
      </c>
      <c r="D405" t="inlineStr">
        <is>
          <t>G</t>
        </is>
      </c>
      <c r="E405" t="inlineStr">
        <is>
          <t>rs74558061</t>
        </is>
      </c>
      <c r="F405" t="n">
        <v>-0.0204129718</v>
      </c>
      <c r="G405" t="n">
        <v>0.34307342911237</v>
      </c>
      <c r="H405" t="n">
        <v>0.0197285048330672</v>
      </c>
      <c r="I405" t="n">
        <v>0.08047686410964371</v>
      </c>
      <c r="J405" t="n">
        <v>0.33927771146154</v>
      </c>
      <c r="K405" t="n">
        <v>0.1137227607044183</v>
      </c>
      <c r="L405" t="b">
        <v>0</v>
      </c>
      <c r="M405" t="b">
        <v>0</v>
      </c>
      <c r="N405" t="inlineStr">
        <is>
          <t>ref</t>
        </is>
      </c>
      <c r="O405" t="n">
        <v>-60</v>
      </c>
      <c r="P405" t="n">
        <v>0.0008087</v>
      </c>
      <c r="Q405" t="n">
        <v>100</v>
      </c>
      <c r="R405" t="n">
        <v>0.0498</v>
      </c>
      <c r="S405">
        <f>IMAGE("https://mitra.stanford.edu/kundaje/oak/projects/neuro-variants/variant_position/credible/roussos_2024/variant_figures/roussos_2024.childhood.GABA/rs74558061_count_position.png",4,220,900)</f>
        <v/>
      </c>
      <c r="T405">
        <f>IMAGE("https://mitra.stanford.edu/kundaje/oak/projects/neuro-variants/variant_position/credible/roussos_2024/variant_figures/roussos_2024.childhood.GABA/rs74558061_profile_position.png",4,220,900)</f>
        <v/>
      </c>
    </row>
    <row r="406">
      <c r="A406" t="inlineStr">
        <is>
          <t>chr10</t>
        </is>
      </c>
      <c r="B406" t="n">
        <v>102660261</v>
      </c>
      <c r="C406" t="inlineStr">
        <is>
          <t>A</t>
        </is>
      </c>
      <c r="D406" t="inlineStr">
        <is>
          <t>G</t>
        </is>
      </c>
      <c r="E406" t="inlineStr">
        <is>
          <t>rs10883761</t>
        </is>
      </c>
      <c r="F406" t="n">
        <v>-9.115242000000008e-05</v>
      </c>
      <c r="G406" t="n">
        <v>0.8414510231708027</v>
      </c>
      <c r="H406" t="n">
        <v>0.0243779619491015</v>
      </c>
      <c r="I406" t="n">
        <v>0.031951577334706</v>
      </c>
      <c r="J406" t="n">
        <v>0.1961812318066637</v>
      </c>
      <c r="K406" t="n">
        <v>0.2259013891245317</v>
      </c>
      <c r="L406" t="b">
        <v>0</v>
      </c>
      <c r="M406" t="b">
        <v>0</v>
      </c>
      <c r="N406" t="inlineStr">
        <is>
          <t>ref</t>
        </is>
      </c>
      <c r="O406" t="n">
        <v>-100</v>
      </c>
      <c r="P406" t="n">
        <v>0.00536</v>
      </c>
      <c r="Q406" t="n">
        <v>100</v>
      </c>
      <c r="R406" t="n">
        <v>0.1392</v>
      </c>
      <c r="S406">
        <f>IMAGE("https://mitra.stanford.edu/kundaje/oak/projects/neuro-variants/variant_position/credible/roussos_2024/variant_figures/roussos_2024.childhood.GABA/rs10883761_count_position.png",4,220,900)</f>
        <v/>
      </c>
      <c r="T406">
        <f>IMAGE("https://mitra.stanford.edu/kundaje/oak/projects/neuro-variants/variant_position/credible/roussos_2024/variant_figures/roussos_2024.childhood.GABA/rs10883761_profile_position.png",4,220,900)</f>
        <v/>
      </c>
    </row>
    <row r="407">
      <c r="A407" t="inlineStr">
        <is>
          <t>chr10</t>
        </is>
      </c>
      <c r="B407" t="n">
        <v>102667859</v>
      </c>
      <c r="C407" t="inlineStr">
        <is>
          <t>T</t>
        </is>
      </c>
      <c r="D407" t="inlineStr">
        <is>
          <t>G</t>
        </is>
      </c>
      <c r="E407" t="inlineStr">
        <is>
          <t>rs884825</t>
        </is>
      </c>
      <c r="F407" t="n">
        <v>0.00736791312</v>
      </c>
      <c r="G407" t="n">
        <v>0.6389233880783967</v>
      </c>
      <c r="H407" t="n">
        <v>0.0073644753335127</v>
      </c>
      <c r="I407" t="n">
        <v>0.9126294167736004</v>
      </c>
      <c r="J407" t="n">
        <v>0.2092626332432828</v>
      </c>
      <c r="K407" t="n">
        <v>0.2137535402619107</v>
      </c>
      <c r="L407" t="b">
        <v>0</v>
      </c>
      <c r="M407" t="b">
        <v>0</v>
      </c>
      <c r="N407" t="inlineStr">
        <is>
          <t>alt</t>
        </is>
      </c>
      <c r="O407" t="n">
        <v>45</v>
      </c>
      <c r="P407" t="n">
        <v>0.001772</v>
      </c>
      <c r="Q407" t="n">
        <v>25</v>
      </c>
      <c r="R407" t="n">
        <v>0.01566</v>
      </c>
      <c r="S407">
        <f>IMAGE("https://mitra.stanford.edu/kundaje/oak/projects/neuro-variants/variant_position/credible/roussos_2024/variant_figures/roussos_2024.childhood.GABA/rs884825_count_position.png",4,220,900)</f>
        <v/>
      </c>
      <c r="T407">
        <f>IMAGE("https://mitra.stanford.edu/kundaje/oak/projects/neuro-variants/variant_position/credible/roussos_2024/variant_figures/roussos_2024.childhood.GABA/rs884825_profile_position.png",4,220,900)</f>
        <v/>
      </c>
    </row>
    <row r="408">
      <c r="A408" t="inlineStr">
        <is>
          <t>chr10</t>
        </is>
      </c>
      <c r="B408" t="n">
        <v>102712218</v>
      </c>
      <c r="C408" t="inlineStr">
        <is>
          <t>T</t>
        </is>
      </c>
      <c r="D408" t="inlineStr">
        <is>
          <t>A</t>
        </is>
      </c>
      <c r="E408" t="inlineStr">
        <is>
          <t>rs4919669</t>
        </is>
      </c>
      <c r="F408" t="n">
        <v>0.0146917073999999</v>
      </c>
      <c r="G408" t="n">
        <v>0.5037180763734119</v>
      </c>
      <c r="H408" t="n">
        <v>0.0262302676672132</v>
      </c>
      <c r="I408" t="n">
        <v>0.0231555487448286</v>
      </c>
      <c r="J408" t="n">
        <v>0.0682320789093421</v>
      </c>
      <c r="K408" t="n">
        <v>0.4235760129257502</v>
      </c>
      <c r="L408" t="b">
        <v>0</v>
      </c>
      <c r="M408" t="b">
        <v>0</v>
      </c>
      <c r="N408" t="inlineStr">
        <is>
          <t>alt</t>
        </is>
      </c>
      <c r="O408" t="n">
        <v>95</v>
      </c>
      <c r="P408" t="n">
        <v>0.010956</v>
      </c>
      <c r="Q408" t="n">
        <v>-95</v>
      </c>
      <c r="R408" t="n">
        <v>0.07886</v>
      </c>
      <c r="S408">
        <f>IMAGE("https://mitra.stanford.edu/kundaje/oak/projects/neuro-variants/variant_position/credible/roussos_2024/variant_figures/roussos_2024.childhood.GABA/rs4919669_count_position.png",4,220,900)</f>
        <v/>
      </c>
      <c r="T408">
        <f>IMAGE("https://mitra.stanford.edu/kundaje/oak/projects/neuro-variants/variant_position/credible/roussos_2024/variant_figures/roussos_2024.childhood.GABA/rs4919669_profile_position.png",4,220,900)</f>
        <v/>
      </c>
    </row>
    <row r="409">
      <c r="A409" t="inlineStr">
        <is>
          <t>chr10</t>
        </is>
      </c>
      <c r="B409" t="n">
        <v>102744807</v>
      </c>
      <c r="C409" t="inlineStr">
        <is>
          <t>C</t>
        </is>
      </c>
      <c r="D409" t="inlineStr">
        <is>
          <t>T</t>
        </is>
      </c>
      <c r="E409" t="inlineStr">
        <is>
          <t>rs999867</t>
        </is>
      </c>
      <c r="F409" t="n">
        <v>-0.0703060071999999</v>
      </c>
      <c r="G409" t="n">
        <v>0.07654171423468741</v>
      </c>
      <c r="H409" t="n">
        <v>0.0122448774628479</v>
      </c>
      <c r="I409" t="n">
        <v>0.4149208651524848</v>
      </c>
      <c r="J409" t="n">
        <v>0.4405017695964482</v>
      </c>
      <c r="K409" t="n">
        <v>0.0705410004943748</v>
      </c>
      <c r="L409" t="b">
        <v>0</v>
      </c>
      <c r="M409" t="b">
        <v>0</v>
      </c>
      <c r="N409" t="inlineStr">
        <is>
          <t>ref</t>
        </is>
      </c>
      <c r="O409" t="n">
        <v>95</v>
      </c>
      <c r="P409" t="n">
        <v>0.01486</v>
      </c>
      <c r="Q409" t="n">
        <v>60</v>
      </c>
      <c r="R409" t="n">
        <v>0.2234</v>
      </c>
      <c r="S409">
        <f>IMAGE("https://mitra.stanford.edu/kundaje/oak/projects/neuro-variants/variant_position/credible/roussos_2024/variant_figures/roussos_2024.childhood.GABA/rs999867_count_position.png",4,220,900)</f>
        <v/>
      </c>
      <c r="T409">
        <f>IMAGE("https://mitra.stanford.edu/kundaje/oak/projects/neuro-variants/variant_position/credible/roussos_2024/variant_figures/roussos_2024.childhood.GABA/rs999867_profile_position.png",4,220,900)</f>
        <v/>
      </c>
    </row>
    <row r="410">
      <c r="A410" t="inlineStr">
        <is>
          <t>chr10</t>
        </is>
      </c>
      <c r="B410" t="n">
        <v>102768371</v>
      </c>
      <c r="C410" t="inlineStr">
        <is>
          <t>G</t>
        </is>
      </c>
      <c r="D410" t="inlineStr">
        <is>
          <t>T</t>
        </is>
      </c>
      <c r="E410" t="inlineStr">
        <is>
          <t>rs10786709</t>
        </is>
      </c>
      <c r="F410" t="n">
        <v>0.0202108176</v>
      </c>
      <c r="G410" t="n">
        <v>0.4102957670179202</v>
      </c>
      <c r="H410" t="n">
        <v>0.0420959788094462</v>
      </c>
      <c r="I410" t="n">
        <v>0.0032155626017131</v>
      </c>
      <c r="J410" t="n">
        <v>0.2058061611275156</v>
      </c>
      <c r="K410" t="n">
        <v>0.2145794025781437</v>
      </c>
      <c r="L410" t="b">
        <v>1</v>
      </c>
      <c r="M410" t="b">
        <v>1</v>
      </c>
      <c r="N410" t="inlineStr">
        <is>
          <t>alt</t>
        </is>
      </c>
      <c r="O410" t="n">
        <v>100</v>
      </c>
      <c r="P410" t="n">
        <v>0.008059999999999999</v>
      </c>
      <c r="Q410" t="n">
        <v>80</v>
      </c>
      <c r="R410" t="n">
        <v>0.1377</v>
      </c>
      <c r="S410">
        <f>IMAGE("https://mitra.stanford.edu/kundaje/oak/projects/neuro-variants/variant_position/credible/roussos_2024/variant_figures/roussos_2024.childhood.GABA/rs10786709_count_position.png",4,220,900)</f>
        <v/>
      </c>
      <c r="T410">
        <f>IMAGE("https://mitra.stanford.edu/kundaje/oak/projects/neuro-variants/variant_position/credible/roussos_2024/variant_figures/roussos_2024.childhood.GABA/rs10786709_profile_position.png",4,220,900)</f>
        <v/>
      </c>
    </row>
    <row r="411">
      <c r="A411" t="inlineStr">
        <is>
          <t>chr10</t>
        </is>
      </c>
      <c r="B411" t="n">
        <v>102895758</v>
      </c>
      <c r="C411" t="inlineStr">
        <is>
          <t>A</t>
        </is>
      </c>
      <c r="D411" t="inlineStr">
        <is>
          <t>G</t>
        </is>
      </c>
      <c r="E411" t="inlineStr">
        <is>
          <t>rs4363528</t>
        </is>
      </c>
      <c r="F411" t="n">
        <v>0.00262531001</v>
      </c>
      <c r="G411" t="n">
        <v>0.7785102616265659</v>
      </c>
      <c r="H411" t="n">
        <v>0.0179981341298969</v>
      </c>
      <c r="I411" t="n">
        <v>0.1155020755879568</v>
      </c>
      <c r="J411" t="n">
        <v>0.0215628992062993</v>
      </c>
      <c r="K411" t="n">
        <v>0.6610774903279483</v>
      </c>
      <c r="L411" t="b">
        <v>0</v>
      </c>
      <c r="M411" t="b">
        <v>0</v>
      </c>
      <c r="N411" t="inlineStr">
        <is>
          <t>alt</t>
        </is>
      </c>
      <c r="O411" t="n">
        <v>100</v>
      </c>
      <c r="P411" t="n">
        <v>0.007156</v>
      </c>
      <c r="Q411" t="n">
        <v>5</v>
      </c>
      <c r="R411" t="n">
        <v>0.00409</v>
      </c>
      <c r="S411">
        <f>IMAGE("https://mitra.stanford.edu/kundaje/oak/projects/neuro-variants/variant_position/credible/roussos_2024/variant_figures/roussos_2024.childhood.GABA/rs4363528_count_position.png",4,220,900)</f>
        <v/>
      </c>
      <c r="T411">
        <f>IMAGE("https://mitra.stanford.edu/kundaje/oak/projects/neuro-variants/variant_position/credible/roussos_2024/variant_figures/roussos_2024.childhood.GABA/rs4363528_profile_position.png",4,220,900)</f>
        <v/>
      </c>
    </row>
    <row r="412">
      <c r="A412" t="inlineStr">
        <is>
          <t>chr10</t>
        </is>
      </c>
      <c r="B412" t="n">
        <v>102900095</v>
      </c>
      <c r="C412" t="inlineStr">
        <is>
          <t>T</t>
        </is>
      </c>
      <c r="D412" t="inlineStr">
        <is>
          <t>C</t>
        </is>
      </c>
      <c r="E412" t="inlineStr">
        <is>
          <t>rs11191453</t>
        </is>
      </c>
      <c r="F412" t="n">
        <v>0.032202931</v>
      </c>
      <c r="G412" t="n">
        <v>0.2640628557754747</v>
      </c>
      <c r="H412" t="n">
        <v>0.0103300266625854</v>
      </c>
      <c r="I412" t="n">
        <v>0.6099825623767489</v>
      </c>
      <c r="J412" t="n">
        <v>0.0651441854620845</v>
      </c>
      <c r="K412" t="n">
        <v>0.4405183441688245</v>
      </c>
      <c r="L412" t="b">
        <v>0</v>
      </c>
      <c r="M412" t="b">
        <v>0</v>
      </c>
      <c r="N412" t="inlineStr">
        <is>
          <t>alt</t>
        </is>
      </c>
      <c r="O412" t="n">
        <v>100</v>
      </c>
      <c r="P412" t="n">
        <v>0.003887</v>
      </c>
      <c r="Q412" t="n">
        <v>95</v>
      </c>
      <c r="R412" t="n">
        <v>0.137</v>
      </c>
      <c r="S412">
        <f>IMAGE("https://mitra.stanford.edu/kundaje/oak/projects/neuro-variants/variant_position/credible/roussos_2024/variant_figures/roussos_2024.childhood.GABA/rs11191453_count_position.png",4,220,900)</f>
        <v/>
      </c>
      <c r="T412">
        <f>IMAGE("https://mitra.stanford.edu/kundaje/oak/projects/neuro-variants/variant_position/credible/roussos_2024/variant_figures/roussos_2024.childhood.GABA/rs11191453_profile_position.png",4,220,900)</f>
        <v/>
      </c>
    </row>
    <row r="413">
      <c r="A413" t="inlineStr">
        <is>
          <t>chr10</t>
        </is>
      </c>
      <c r="B413" t="n">
        <v>102903553</v>
      </c>
      <c r="C413" t="inlineStr">
        <is>
          <t>G</t>
        </is>
      </c>
      <c r="D413" t="inlineStr">
        <is>
          <t>A</t>
        </is>
      </c>
      <c r="E413" t="inlineStr">
        <is>
          <t>rs10883799</t>
        </is>
      </c>
      <c r="F413" t="n">
        <v>0.2282098919999999</v>
      </c>
      <c r="G413" t="n">
        <v>0.0041865727101734</v>
      </c>
      <c r="H413" t="n">
        <v>0.0491889753457676</v>
      </c>
      <c r="I413" t="n">
        <v>0.00300539079963</v>
      </c>
      <c r="J413" t="n">
        <v>0.1041067202781093</v>
      </c>
      <c r="K413" t="n">
        <v>0.3497388660852078</v>
      </c>
      <c r="L413" t="b">
        <v>1</v>
      </c>
      <c r="M413" t="b">
        <v>1</v>
      </c>
      <c r="N413" t="inlineStr">
        <is>
          <t>alt</t>
        </is>
      </c>
      <c r="O413" t="n">
        <v>-100</v>
      </c>
      <c r="P413" t="n">
        <v>0.01167</v>
      </c>
      <c r="Q413" t="n">
        <v>-80</v>
      </c>
      <c r="R413" t="n">
        <v>0.0476</v>
      </c>
      <c r="S413">
        <f>IMAGE("https://mitra.stanford.edu/kundaje/oak/projects/neuro-variants/variant_position/credible/roussos_2024/variant_figures/roussos_2024.childhood.GABA/rs10883799_count_position.png",4,220,900)</f>
        <v/>
      </c>
      <c r="T413">
        <f>IMAGE("https://mitra.stanford.edu/kundaje/oak/projects/neuro-variants/variant_position/credible/roussos_2024/variant_figures/roussos_2024.childhood.GABA/rs10883799_profile_position.png",4,220,900)</f>
        <v/>
      </c>
    </row>
    <row r="414">
      <c r="A414" t="inlineStr">
        <is>
          <t>chr10</t>
        </is>
      </c>
      <c r="B414" t="n">
        <v>102932876</v>
      </c>
      <c r="C414" t="inlineStr">
        <is>
          <t>C</t>
        </is>
      </c>
      <c r="D414" t="inlineStr">
        <is>
          <t>A</t>
        </is>
      </c>
      <c r="E414" t="inlineStr">
        <is>
          <t>rs112699822</t>
        </is>
      </c>
      <c r="F414" t="n">
        <v>0.00070625172</v>
      </c>
      <c r="G414" t="n">
        <v>0.841822768260169</v>
      </c>
      <c r="H414" t="n">
        <v>0.008324483597404699</v>
      </c>
      <c r="I414" t="n">
        <v>0.8080677968706911</v>
      </c>
      <c r="J414" t="n">
        <v>0.00286904986283</v>
      </c>
      <c r="K414" t="n">
        <v>0.8546041272711742</v>
      </c>
      <c r="L414" t="b">
        <v>0</v>
      </c>
      <c r="M414" t="b">
        <v>0</v>
      </c>
      <c r="N414" t="inlineStr">
        <is>
          <t>alt</t>
        </is>
      </c>
      <c r="O414" t="n">
        <v>-70</v>
      </c>
      <c r="P414" t="n">
        <v>0.00891</v>
      </c>
      <c r="Q414" t="n">
        <v>25</v>
      </c>
      <c r="R414" t="n">
        <v>0.05225</v>
      </c>
      <c r="S414">
        <f>IMAGE("https://mitra.stanford.edu/kundaje/oak/projects/neuro-variants/variant_position/credible/roussos_2024/variant_figures/roussos_2024.childhood.GABA/rs112699822_count_position.png",4,220,900)</f>
        <v/>
      </c>
      <c r="T414">
        <f>IMAGE("https://mitra.stanford.edu/kundaje/oak/projects/neuro-variants/variant_position/credible/roussos_2024/variant_figures/roussos_2024.childhood.GABA/rs112699822_profile_position.png",4,220,900)</f>
        <v/>
      </c>
    </row>
    <row r="415">
      <c r="A415" t="inlineStr">
        <is>
          <t>chr10</t>
        </is>
      </c>
      <c r="B415" t="n">
        <v>102947259</v>
      </c>
      <c r="C415" t="inlineStr">
        <is>
          <t>A</t>
        </is>
      </c>
      <c r="D415" t="inlineStr">
        <is>
          <t>T</t>
        </is>
      </c>
      <c r="E415" t="inlineStr">
        <is>
          <t>rs11191472</t>
        </is>
      </c>
      <c r="F415" t="n">
        <v>0.032086384</v>
      </c>
      <c r="G415" t="n">
        <v>0.2745671011121878</v>
      </c>
      <c r="H415" t="n">
        <v>0.018312661816524</v>
      </c>
      <c r="I415" t="n">
        <v>0.1092907732321432</v>
      </c>
      <c r="J415" t="n">
        <v>0.020936734309229</v>
      </c>
      <c r="K415" t="n">
        <v>0.6362124833001358</v>
      </c>
      <c r="L415" t="b">
        <v>0</v>
      </c>
      <c r="M415" t="b">
        <v>0</v>
      </c>
      <c r="N415" t="inlineStr">
        <is>
          <t>alt</t>
        </is>
      </c>
      <c r="O415" t="n">
        <v>100</v>
      </c>
      <c r="P415" t="n">
        <v>0.021</v>
      </c>
      <c r="Q415" t="n">
        <v>-10</v>
      </c>
      <c r="R415" t="n">
        <v>0.00659</v>
      </c>
      <c r="S415">
        <f>IMAGE("https://mitra.stanford.edu/kundaje/oak/projects/neuro-variants/variant_position/credible/roussos_2024/variant_figures/roussos_2024.childhood.GABA/rs11191472_count_position.png",4,220,900)</f>
        <v/>
      </c>
      <c r="T415">
        <f>IMAGE("https://mitra.stanford.edu/kundaje/oak/projects/neuro-variants/variant_position/credible/roussos_2024/variant_figures/roussos_2024.childhood.GABA/rs11191472_profile_position.png",4,220,900)</f>
        <v/>
      </c>
    </row>
    <row r="416">
      <c r="A416" t="inlineStr">
        <is>
          <t>chr10</t>
        </is>
      </c>
      <c r="B416" t="n">
        <v>102986892</v>
      </c>
      <c r="C416" t="inlineStr">
        <is>
          <t>A</t>
        </is>
      </c>
      <c r="D416" t="inlineStr">
        <is>
          <t>G</t>
        </is>
      </c>
      <c r="E416" t="inlineStr">
        <is>
          <t>rs3902934</t>
        </is>
      </c>
      <c r="F416" t="n">
        <v>0.107311069</v>
      </c>
      <c r="G416" t="n">
        <v>0.0279209572469218</v>
      </c>
      <c r="H416" t="n">
        <v>0.0142072524735466</v>
      </c>
      <c r="I416" t="n">
        <v>0.2610748171609812</v>
      </c>
      <c r="J416" t="n">
        <v>0.0553956985194027</v>
      </c>
      <c r="K416" t="n">
        <v>0.4854778663534494</v>
      </c>
      <c r="L416" t="b">
        <v>0</v>
      </c>
      <c r="M416" t="b">
        <v>0</v>
      </c>
      <c r="N416" t="inlineStr">
        <is>
          <t>alt</t>
        </is>
      </c>
      <c r="O416" t="n">
        <v>5</v>
      </c>
      <c r="P416" t="n">
        <v>0.0004883</v>
      </c>
      <c r="Q416" t="n">
        <v>-25</v>
      </c>
      <c r="R416" t="n">
        <v>0.03595</v>
      </c>
      <c r="S416">
        <f>IMAGE("https://mitra.stanford.edu/kundaje/oak/projects/neuro-variants/variant_position/credible/roussos_2024/variant_figures/roussos_2024.childhood.GABA/rs3902934_count_position.png",4,220,900)</f>
        <v/>
      </c>
      <c r="T416">
        <f>IMAGE("https://mitra.stanford.edu/kundaje/oak/projects/neuro-variants/variant_position/credible/roussos_2024/variant_figures/roussos_2024.childhood.GABA/rs3902934_profile_position.png",4,220,900)</f>
        <v/>
      </c>
    </row>
    <row r="417">
      <c r="A417" t="inlineStr">
        <is>
          <t>chr10</t>
        </is>
      </c>
      <c r="B417" t="n">
        <v>102988702</v>
      </c>
      <c r="C417" t="inlineStr">
        <is>
          <t>A</t>
        </is>
      </c>
      <c r="D417" t="inlineStr">
        <is>
          <t>C</t>
        </is>
      </c>
      <c r="E417" t="inlineStr">
        <is>
          <t>rs1890184</t>
        </is>
      </c>
      <c r="F417" t="n">
        <v>0.041661927</v>
      </c>
      <c r="G417" t="n">
        <v>0.1874069023579046</v>
      </c>
      <c r="H417" t="n">
        <v>0.0122971630877445</v>
      </c>
      <c r="I417" t="n">
        <v>0.4045070127117495</v>
      </c>
      <c r="J417" t="n">
        <v>0.1292130007748528</v>
      </c>
      <c r="K417" t="n">
        <v>0.2960715484782107</v>
      </c>
      <c r="L417" t="b">
        <v>0</v>
      </c>
      <c r="M417" t="b">
        <v>0</v>
      </c>
      <c r="N417" t="inlineStr">
        <is>
          <t>alt</t>
        </is>
      </c>
      <c r="O417" t="n">
        <v>-50</v>
      </c>
      <c r="P417" t="n">
        <v>0.002563</v>
      </c>
      <c r="Q417" t="n">
        <v>30</v>
      </c>
      <c r="R417" t="n">
        <v>0.06859999999999999</v>
      </c>
      <c r="S417">
        <f>IMAGE("https://mitra.stanford.edu/kundaje/oak/projects/neuro-variants/variant_position/credible/roussos_2024/variant_figures/roussos_2024.childhood.GABA/rs1890184_count_position.png",4,220,900)</f>
        <v/>
      </c>
      <c r="T417">
        <f>IMAGE("https://mitra.stanford.edu/kundaje/oak/projects/neuro-variants/variant_position/credible/roussos_2024/variant_figures/roussos_2024.childhood.GABA/rs1890184_profile_position.png",4,220,900)</f>
        <v/>
      </c>
    </row>
    <row r="418">
      <c r="A418" t="inlineStr">
        <is>
          <t>chr10</t>
        </is>
      </c>
      <c r="B418" t="n">
        <v>103009952</v>
      </c>
      <c r="C418" t="inlineStr">
        <is>
          <t>T</t>
        </is>
      </c>
      <c r="D418" t="inlineStr">
        <is>
          <t>C</t>
        </is>
      </c>
      <c r="E418" t="inlineStr">
        <is>
          <t>rs11191511</t>
        </is>
      </c>
      <c r="F418" t="n">
        <v>0.01884381446</v>
      </c>
      <c r="G418" t="n">
        <v>0.4468716759405793</v>
      </c>
      <c r="H418" t="n">
        <v>0.0244309831812803</v>
      </c>
      <c r="I418" t="n">
        <v>0.0323004745259265</v>
      </c>
      <c r="J418" t="n">
        <v>0.0053852275345018</v>
      </c>
      <c r="K418" t="n">
        <v>0.8033339256865989</v>
      </c>
      <c r="L418" t="b">
        <v>0</v>
      </c>
      <c r="M418" t="b">
        <v>0</v>
      </c>
      <c r="N418" t="inlineStr">
        <is>
          <t>alt</t>
        </is>
      </c>
      <c r="O418" t="n">
        <v>-55</v>
      </c>
      <c r="P418" t="n">
        <v>0.00029</v>
      </c>
      <c r="Q418" t="n">
        <v>75</v>
      </c>
      <c r="R418" t="n">
        <v>0.0553</v>
      </c>
      <c r="S418">
        <f>IMAGE("https://mitra.stanford.edu/kundaje/oak/projects/neuro-variants/variant_position/credible/roussos_2024/variant_figures/roussos_2024.childhood.GABA/rs11191511_count_position.png",4,220,900)</f>
        <v/>
      </c>
      <c r="T418">
        <f>IMAGE("https://mitra.stanford.edu/kundaje/oak/projects/neuro-variants/variant_position/credible/roussos_2024/variant_figures/roussos_2024.childhood.GABA/rs11191511_profile_position.png",4,220,900)</f>
        <v/>
      </c>
    </row>
    <row r="419">
      <c r="A419" t="inlineStr">
        <is>
          <t>chr10</t>
        </is>
      </c>
      <c r="B419" t="n">
        <v>103013607</v>
      </c>
      <c r="C419" t="inlineStr">
        <is>
          <t>C</t>
        </is>
      </c>
      <c r="D419" t="inlineStr">
        <is>
          <t>T</t>
        </is>
      </c>
      <c r="E419" t="inlineStr">
        <is>
          <t>rs11191514</t>
        </is>
      </c>
      <c r="F419" t="n">
        <v>-0.0606941982</v>
      </c>
      <c r="G419" t="n">
        <v>0.095467012421832</v>
      </c>
      <c r="H419" t="n">
        <v>0.0155606799018252</v>
      </c>
      <c r="I419" t="n">
        <v>0.2015110730654981</v>
      </c>
      <c r="J419" t="n">
        <v>0.079252790517476</v>
      </c>
      <c r="K419" t="n">
        <v>0.4069773095483668</v>
      </c>
      <c r="L419" t="b">
        <v>0</v>
      </c>
      <c r="M419" t="b">
        <v>0</v>
      </c>
      <c r="N419" t="inlineStr">
        <is>
          <t>ref</t>
        </is>
      </c>
      <c r="O419" t="n">
        <v>5</v>
      </c>
      <c r="P419" t="n">
        <v>0.0007324</v>
      </c>
      <c r="Q419" t="n">
        <v>10</v>
      </c>
      <c r="R419" t="n">
        <v>0.01367</v>
      </c>
      <c r="S419">
        <f>IMAGE("https://mitra.stanford.edu/kundaje/oak/projects/neuro-variants/variant_position/credible/roussos_2024/variant_figures/roussos_2024.childhood.GABA/rs11191514_count_position.png",4,220,900)</f>
        <v/>
      </c>
      <c r="T419">
        <f>IMAGE("https://mitra.stanford.edu/kundaje/oak/projects/neuro-variants/variant_position/credible/roussos_2024/variant_figures/roussos_2024.childhood.GABA/rs11191514_profile_position.png",4,220,900)</f>
        <v/>
      </c>
    </row>
    <row r="420">
      <c r="A420" t="inlineStr">
        <is>
          <t>chr10</t>
        </is>
      </c>
      <c r="B420" t="n">
        <v>103069712</v>
      </c>
      <c r="C420" t="inlineStr">
        <is>
          <t>C</t>
        </is>
      </c>
      <c r="D420" t="inlineStr">
        <is>
          <t>T</t>
        </is>
      </c>
      <c r="E420" t="inlineStr">
        <is>
          <t>rs1926032</t>
        </is>
      </c>
      <c r="F420" t="n">
        <v>-0.041523274</v>
      </c>
      <c r="G420" t="n">
        <v>0.1937122389309463</v>
      </c>
      <c r="H420" t="n">
        <v>0.0116813006057501</v>
      </c>
      <c r="I420" t="n">
        <v>0.4598859508564294</v>
      </c>
      <c r="J420" t="n">
        <v>0.6257450105756948</v>
      </c>
      <c r="K420" t="n">
        <v>0.0248568378163797</v>
      </c>
      <c r="L420" t="b">
        <v>0</v>
      </c>
      <c r="M420" t="b">
        <v>0</v>
      </c>
      <c r="N420" t="inlineStr">
        <is>
          <t>ref</t>
        </is>
      </c>
      <c r="O420" t="n">
        <v>90</v>
      </c>
      <c r="P420" t="n">
        <v>0.0608</v>
      </c>
      <c r="Q420" t="n">
        <v>95</v>
      </c>
      <c r="R420" t="n">
        <v>0.12305</v>
      </c>
      <c r="S420">
        <f>IMAGE("https://mitra.stanford.edu/kundaje/oak/projects/neuro-variants/variant_position/credible/roussos_2024/variant_figures/roussos_2024.childhood.GABA/rs1926032_count_position.png",4,220,900)</f>
        <v/>
      </c>
      <c r="T420">
        <f>IMAGE("https://mitra.stanford.edu/kundaje/oak/projects/neuro-variants/variant_position/credible/roussos_2024/variant_figures/roussos_2024.childhood.GABA/rs1926032_profile_position.png",4,220,900)</f>
        <v/>
      </c>
    </row>
    <row r="421">
      <c r="A421" t="inlineStr">
        <is>
          <t>chr10</t>
        </is>
      </c>
      <c r="B421" t="n">
        <v>103114004</v>
      </c>
      <c r="C421" t="inlineStr">
        <is>
          <t>G</t>
        </is>
      </c>
      <c r="D421" t="inlineStr">
        <is>
          <t>C</t>
        </is>
      </c>
      <c r="E421" t="inlineStr">
        <is>
          <t>rs9633712</t>
        </is>
      </c>
      <c r="F421" t="n">
        <v>0.01575773754</v>
      </c>
      <c r="G421" t="n">
        <v>0.460237295291859</v>
      </c>
      <c r="H421" t="n">
        <v>0.0092331402538747</v>
      </c>
      <c r="I421" t="n">
        <v>0.7156885599717328</v>
      </c>
      <c r="J421" t="n">
        <v>0.0035412870934639</v>
      </c>
      <c r="K421" t="n">
        <v>0.8457954323708436</v>
      </c>
      <c r="L421" t="b">
        <v>0</v>
      </c>
      <c r="M421" t="b">
        <v>0</v>
      </c>
      <c r="N421" t="inlineStr">
        <is>
          <t>alt</t>
        </is>
      </c>
      <c r="O421" t="n">
        <v>-10</v>
      </c>
      <c r="P421" t="n">
        <v>3.433e-05</v>
      </c>
      <c r="Q421" t="n">
        <v>75</v>
      </c>
      <c r="R421" t="n">
        <v>0.07367</v>
      </c>
      <c r="S421">
        <f>IMAGE("https://mitra.stanford.edu/kundaje/oak/projects/neuro-variants/variant_position/credible/roussos_2024/variant_figures/roussos_2024.childhood.GABA/rs9633712_count_position.png",4,220,900)</f>
        <v/>
      </c>
      <c r="T421">
        <f>IMAGE("https://mitra.stanford.edu/kundaje/oak/projects/neuro-variants/variant_position/credible/roussos_2024/variant_figures/roussos_2024.childhood.GABA/rs9633712_profile_position.png",4,220,900)</f>
        <v/>
      </c>
    </row>
    <row r="422">
      <c r="A422" t="inlineStr">
        <is>
          <t>chr10</t>
        </is>
      </c>
      <c r="B422" t="n">
        <v>103153896</v>
      </c>
      <c r="C422" t="inlineStr">
        <is>
          <t>G</t>
        </is>
      </c>
      <c r="D422" t="inlineStr">
        <is>
          <t>A</t>
        </is>
      </c>
      <c r="E422" t="inlineStr">
        <is>
          <t>rs11191582</t>
        </is>
      </c>
      <c r="F422" t="n">
        <v>-0.06350771400000001</v>
      </c>
      <c r="G422" t="n">
        <v>0.0902290676765241</v>
      </c>
      <c r="H422" t="n">
        <v>0.0162835425532269</v>
      </c>
      <c r="I422" t="n">
        <v>0.1710694248654514</v>
      </c>
      <c r="J422" t="n">
        <v>0.0599432472618374</v>
      </c>
      <c r="K422" t="n">
        <v>0.4498911715837303</v>
      </c>
      <c r="L422" t="b">
        <v>0</v>
      </c>
      <c r="M422" t="b">
        <v>0</v>
      </c>
      <c r="N422" t="inlineStr">
        <is>
          <t>ref</t>
        </is>
      </c>
      <c r="O422" t="n">
        <v>-35</v>
      </c>
      <c r="P422" t="n">
        <v>0.003029</v>
      </c>
      <c r="Q422" t="n">
        <v>100</v>
      </c>
      <c r="R422" t="n">
        <v>0.0885</v>
      </c>
      <c r="S422">
        <f>IMAGE("https://mitra.stanford.edu/kundaje/oak/projects/neuro-variants/variant_position/credible/roussos_2024/variant_figures/roussos_2024.childhood.GABA/rs11191582_count_position.png",4,220,900)</f>
        <v/>
      </c>
      <c r="T422">
        <f>IMAGE("https://mitra.stanford.edu/kundaje/oak/projects/neuro-variants/variant_position/credible/roussos_2024/variant_figures/roussos_2024.childhood.GABA/rs11191582_profile_position.png",4,220,900)</f>
        <v/>
      </c>
    </row>
    <row r="423">
      <c r="A423" t="inlineStr">
        <is>
          <t>chr10</t>
        </is>
      </c>
      <c r="B423" t="n">
        <v>103197872</v>
      </c>
      <c r="C423" t="inlineStr">
        <is>
          <t>T</t>
        </is>
      </c>
      <c r="D423" t="inlineStr">
        <is>
          <t>A</t>
        </is>
      </c>
      <c r="E423" t="inlineStr">
        <is>
          <t>rs12414028</t>
        </is>
      </c>
      <c r="F423" t="n">
        <v>-0.0009986475259999999</v>
      </c>
      <c r="G423" t="n">
        <v>0.906621249138446</v>
      </c>
      <c r="H423" t="n">
        <v>0.018746036530291</v>
      </c>
      <c r="I423" t="n">
        <v>0.0974416334318106</v>
      </c>
      <c r="J423" t="n">
        <v>0.1287407593558249</v>
      </c>
      <c r="K423" t="n">
        <v>0.3093983690896305</v>
      </c>
      <c r="L423" t="b">
        <v>0</v>
      </c>
      <c r="M423" t="b">
        <v>0</v>
      </c>
      <c r="N423" t="inlineStr">
        <is>
          <t>ref</t>
        </is>
      </c>
      <c r="O423" t="n">
        <v>-20</v>
      </c>
      <c r="P423" t="n">
        <v>0.000702</v>
      </c>
      <c r="Q423" t="n">
        <v>-100</v>
      </c>
      <c r="R423" t="n">
        <v>0.02473</v>
      </c>
      <c r="S423">
        <f>IMAGE("https://mitra.stanford.edu/kundaje/oak/projects/neuro-variants/variant_position/credible/roussos_2024/variant_figures/roussos_2024.childhood.GABA/rs12414028_count_position.png",4,220,900)</f>
        <v/>
      </c>
      <c r="T423">
        <f>IMAGE("https://mitra.stanford.edu/kundaje/oak/projects/neuro-variants/variant_position/credible/roussos_2024/variant_figures/roussos_2024.childhood.GABA/rs12414028_profile_position.png",4,220,900)</f>
        <v/>
      </c>
    </row>
    <row r="424">
      <c r="A424" t="inlineStr">
        <is>
          <t>chr10</t>
        </is>
      </c>
      <c r="B424" t="n">
        <v>104732662</v>
      </c>
      <c r="C424" t="inlineStr">
        <is>
          <t>T</t>
        </is>
      </c>
      <c r="D424" t="inlineStr">
        <is>
          <t>C</t>
        </is>
      </c>
      <c r="E424" t="inlineStr">
        <is>
          <t>rs1490183</t>
        </is>
      </c>
      <c r="F424" t="n">
        <v>-0.02068614256</v>
      </c>
      <c r="G424" t="n">
        <v>0.328265724094616</v>
      </c>
      <c r="H424" t="n">
        <v>0.0197852727265893</v>
      </c>
      <c r="I424" t="n">
        <v>0.080203791514394</v>
      </c>
      <c r="J424" t="n">
        <v>0.2993214801784255</v>
      </c>
      <c r="K424" t="n">
        <v>0.1365067892286402</v>
      </c>
      <c r="L424" t="b">
        <v>0</v>
      </c>
      <c r="M424" t="b">
        <v>0</v>
      </c>
      <c r="N424" t="inlineStr">
        <is>
          <t>ref</t>
        </is>
      </c>
      <c r="O424" t="n">
        <v>100</v>
      </c>
      <c r="P424" t="n">
        <v>0.003723</v>
      </c>
      <c r="Q424" t="n">
        <v>75</v>
      </c>
      <c r="R424" t="n">
        <v>0.07275</v>
      </c>
      <c r="S424">
        <f>IMAGE("https://mitra.stanford.edu/kundaje/oak/projects/neuro-variants/variant_position/credible/roussos_2024/variant_figures/roussos_2024.childhood.GABA/rs1490183_count_position.png",4,220,900)</f>
        <v/>
      </c>
      <c r="T424">
        <f>IMAGE("https://mitra.stanford.edu/kundaje/oak/projects/neuro-variants/variant_position/credible/roussos_2024/variant_figures/roussos_2024.childhood.GABA/rs1490183_profile_position.png",4,220,900)</f>
        <v/>
      </c>
    </row>
    <row r="425">
      <c r="A425" t="inlineStr">
        <is>
          <t>chr10</t>
        </is>
      </c>
      <c r="B425" t="n">
        <v>104752646</v>
      </c>
      <c r="C425" t="inlineStr">
        <is>
          <t>C</t>
        </is>
      </c>
      <c r="D425" t="inlineStr">
        <is>
          <t>T</t>
        </is>
      </c>
      <c r="E425" t="inlineStr">
        <is>
          <t>rs2491368</t>
        </is>
      </c>
      <c r="F425" t="n">
        <v>-0.110121982</v>
      </c>
      <c r="G425" t="n">
        <v>0.0324596045563337</v>
      </c>
      <c r="H425" t="n">
        <v>0.0189107963508454</v>
      </c>
      <c r="I425" t="n">
        <v>0.101179851765564</v>
      </c>
      <c r="J425" t="n">
        <v>0.039826391070344</v>
      </c>
      <c r="K425" t="n">
        <v>0.5298654568554053</v>
      </c>
      <c r="L425" t="b">
        <v>0</v>
      </c>
      <c r="M425" t="b">
        <v>0</v>
      </c>
      <c r="N425" t="inlineStr">
        <is>
          <t>ref</t>
        </is>
      </c>
      <c r="O425" t="n">
        <v>20</v>
      </c>
      <c r="P425" t="n">
        <v>0.000946</v>
      </c>
      <c r="Q425" t="n">
        <v>-5</v>
      </c>
      <c r="R425" t="n">
        <v>0.00464</v>
      </c>
      <c r="S425">
        <f>IMAGE("https://mitra.stanford.edu/kundaje/oak/projects/neuro-variants/variant_position/credible/roussos_2024/variant_figures/roussos_2024.childhood.GABA/rs2491368_count_position.png",4,220,900)</f>
        <v/>
      </c>
      <c r="T425">
        <f>IMAGE("https://mitra.stanford.edu/kundaje/oak/projects/neuro-variants/variant_position/credible/roussos_2024/variant_figures/roussos_2024.childhood.GABA/rs2491368_profile_position.png",4,220,900)</f>
        <v/>
      </c>
    </row>
    <row r="426">
      <c r="A426" t="inlineStr">
        <is>
          <t>chr10</t>
        </is>
      </c>
      <c r="B426" t="n">
        <v>104828192</v>
      </c>
      <c r="C426" t="inlineStr">
        <is>
          <t>A</t>
        </is>
      </c>
      <c r="D426" t="inlineStr">
        <is>
          <t>G</t>
        </is>
      </c>
      <c r="E426" t="inlineStr">
        <is>
          <t>rs12250380</t>
        </is>
      </c>
      <c r="F426" t="n">
        <v>-0.0115600130999999</v>
      </c>
      <c r="G426" t="n">
        <v>0.4146063542223417</v>
      </c>
      <c r="H426" t="n">
        <v>0.011355927014165</v>
      </c>
      <c r="I426" t="n">
        <v>0.4878600444624724</v>
      </c>
      <c r="J426" t="n">
        <v>0.0307009277292621</v>
      </c>
      <c r="K426" t="n">
        <v>0.5792480558082699</v>
      </c>
      <c r="L426" t="b">
        <v>0</v>
      </c>
      <c r="M426" t="b">
        <v>0</v>
      </c>
      <c r="N426" t="inlineStr">
        <is>
          <t>ref</t>
        </is>
      </c>
      <c r="O426" t="n">
        <v>-20</v>
      </c>
      <c r="P426" t="n">
        <v>0.001892</v>
      </c>
      <c r="Q426" t="n">
        <v>-90</v>
      </c>
      <c r="R426" t="n">
        <v>0.0764</v>
      </c>
      <c r="S426">
        <f>IMAGE("https://mitra.stanford.edu/kundaje/oak/projects/neuro-variants/variant_position/credible/roussos_2024/variant_figures/roussos_2024.childhood.GABA/rs12250380_count_position.png",4,220,900)</f>
        <v/>
      </c>
      <c r="T426">
        <f>IMAGE("https://mitra.stanford.edu/kundaje/oak/projects/neuro-variants/variant_position/credible/roussos_2024/variant_figures/roussos_2024.childhood.GABA/rs12250380_profile_position.png",4,220,900)</f>
        <v/>
      </c>
    </row>
    <row r="427">
      <c r="A427" t="inlineStr">
        <is>
          <t>chr10</t>
        </is>
      </c>
      <c r="B427" t="n">
        <v>104851081</v>
      </c>
      <c r="C427" t="inlineStr">
        <is>
          <t>A</t>
        </is>
      </c>
      <c r="D427" t="inlineStr">
        <is>
          <t>G</t>
        </is>
      </c>
      <c r="E427" t="inlineStr">
        <is>
          <t>rs1021363</t>
        </is>
      </c>
      <c r="F427" t="n">
        <v>0.02619517456</v>
      </c>
      <c r="G427" t="n">
        <v>0.3704673515991289</v>
      </c>
      <c r="H427" t="n">
        <v>0.0310020950785956</v>
      </c>
      <c r="I427" t="n">
        <v>0.0108639199628734</v>
      </c>
      <c r="J427" t="n">
        <v>0.0297491152017758</v>
      </c>
      <c r="K427" t="n">
        <v>0.578236765902031</v>
      </c>
      <c r="L427" t="b">
        <v>1</v>
      </c>
      <c r="M427" t="b">
        <v>0</v>
      </c>
      <c r="N427" t="inlineStr">
        <is>
          <t>alt</t>
        </is>
      </c>
      <c r="O427" t="n">
        <v>100</v>
      </c>
      <c r="P427" t="n">
        <v>0.008229999999999999</v>
      </c>
      <c r="Q427" t="n">
        <v>95</v>
      </c>
      <c r="R427" t="n">
        <v>0.2134</v>
      </c>
      <c r="S427">
        <f>IMAGE("https://mitra.stanford.edu/kundaje/oak/projects/neuro-variants/variant_position/credible/roussos_2024/variant_figures/roussos_2024.childhood.GABA/rs1021363_count_position.png",4,220,900)</f>
        <v/>
      </c>
      <c r="T427">
        <f>IMAGE("https://mitra.stanford.edu/kundaje/oak/projects/neuro-variants/variant_position/credible/roussos_2024/variant_figures/roussos_2024.childhood.GABA/rs1021363_profile_position.png",4,220,900)</f>
        <v/>
      </c>
    </row>
    <row r="428">
      <c r="A428" t="inlineStr">
        <is>
          <t>chr10</t>
        </is>
      </c>
      <c r="B428" t="n">
        <v>104872279</v>
      </c>
      <c r="C428" t="inlineStr">
        <is>
          <t>T</t>
        </is>
      </c>
      <c r="D428" t="inlineStr">
        <is>
          <t>C</t>
        </is>
      </c>
      <c r="E428" t="inlineStr">
        <is>
          <t>rs2451497</t>
        </is>
      </c>
      <c r="F428" t="n">
        <v>0.0131181881</v>
      </c>
      <c r="G428" t="n">
        <v>0.4777007292451813</v>
      </c>
      <c r="H428" t="n">
        <v>0.0118056136760169</v>
      </c>
      <c r="I428" t="n">
        <v>0.4605677905640616</v>
      </c>
      <c r="J428" t="n">
        <v>0.0702739209650059</v>
      </c>
      <c r="K428" t="n">
        <v>0.4346090570492399</v>
      </c>
      <c r="L428" t="b">
        <v>0</v>
      </c>
      <c r="M428" t="b">
        <v>0</v>
      </c>
      <c r="N428" t="inlineStr">
        <is>
          <t>alt</t>
        </is>
      </c>
      <c r="O428" t="n">
        <v>-95</v>
      </c>
      <c r="P428" t="n">
        <v>0.005344</v>
      </c>
      <c r="Q428" t="n">
        <v>90</v>
      </c>
      <c r="R428" t="n">
        <v>0.1604</v>
      </c>
      <c r="S428">
        <f>IMAGE("https://mitra.stanford.edu/kundaje/oak/projects/neuro-variants/variant_position/credible/roussos_2024/variant_figures/roussos_2024.childhood.GABA/rs2451497_count_position.png",4,220,900)</f>
        <v/>
      </c>
      <c r="T428">
        <f>IMAGE("https://mitra.stanford.edu/kundaje/oak/projects/neuro-variants/variant_position/credible/roussos_2024/variant_figures/roussos_2024.childhood.GABA/rs2451497_profile_position.png",4,220,900)</f>
        <v/>
      </c>
    </row>
    <row r="429">
      <c r="A429" t="inlineStr">
        <is>
          <t>chr10</t>
        </is>
      </c>
      <c r="B429" t="n">
        <v>104877022</v>
      </c>
      <c r="C429" t="inlineStr">
        <is>
          <t>T</t>
        </is>
      </c>
      <c r="D429" t="inlineStr">
        <is>
          <t>A</t>
        </is>
      </c>
      <c r="E429" t="inlineStr">
        <is>
          <t>rs2932558</t>
        </is>
      </c>
      <c r="F429" t="n">
        <v>-0.00029905082</v>
      </c>
      <c r="G429" t="n">
        <v>0.8765285406617525</v>
      </c>
      <c r="H429" t="n">
        <v>0.021890427557906</v>
      </c>
      <c r="I429" t="n">
        <v>0.0509078117784364</v>
      </c>
      <c r="J429" t="n">
        <v>0.0023842432619211</v>
      </c>
      <c r="K429" t="n">
        <v>0.8856493882065757</v>
      </c>
      <c r="L429" t="b">
        <v>0</v>
      </c>
      <c r="M429" t="b">
        <v>0</v>
      </c>
      <c r="N429" t="inlineStr">
        <is>
          <t>ref</t>
        </is>
      </c>
      <c r="O429" t="n">
        <v>-100</v>
      </c>
      <c r="P429" t="n">
        <v>0.02187</v>
      </c>
      <c r="Q429" t="n">
        <v>-10</v>
      </c>
      <c r="R429" t="n">
        <v>0.0166</v>
      </c>
      <c r="S429">
        <f>IMAGE("https://mitra.stanford.edu/kundaje/oak/projects/neuro-variants/variant_position/credible/roussos_2024/variant_figures/roussos_2024.childhood.GABA/rs2932558_count_position.png",4,220,900)</f>
        <v/>
      </c>
      <c r="T429">
        <f>IMAGE("https://mitra.stanford.edu/kundaje/oak/projects/neuro-variants/variant_position/credible/roussos_2024/variant_figures/roussos_2024.childhood.GABA/rs2932558_profile_position.png",4,220,900)</f>
        <v/>
      </c>
    </row>
    <row r="430">
      <c r="A430" t="inlineStr">
        <is>
          <t>chr10</t>
        </is>
      </c>
      <c r="B430" t="n">
        <v>104880365</v>
      </c>
      <c r="C430" t="inlineStr">
        <is>
          <t>G</t>
        </is>
      </c>
      <c r="D430" t="inlineStr">
        <is>
          <t>A</t>
        </is>
      </c>
      <c r="E430" t="inlineStr">
        <is>
          <t>rs2932559</t>
        </is>
      </c>
      <c r="F430" t="n">
        <v>0.0269543634</v>
      </c>
      <c r="G430" t="n">
        <v>0.2770050724340873</v>
      </c>
      <c r="H430" t="n">
        <v>0.0132805588010849</v>
      </c>
      <c r="I430" t="n">
        <v>0.3124831198355371</v>
      </c>
      <c r="J430" t="n">
        <v>0.07967267701199959</v>
      </c>
      <c r="K430" t="n">
        <v>0.4117549876390489</v>
      </c>
      <c r="L430" t="b">
        <v>0</v>
      </c>
      <c r="M430" t="b">
        <v>0</v>
      </c>
      <c r="N430" t="inlineStr">
        <is>
          <t>alt</t>
        </is>
      </c>
      <c r="O430" t="n">
        <v>-30</v>
      </c>
      <c r="P430" t="n">
        <v>0.002968</v>
      </c>
      <c r="Q430" t="n">
        <v>90</v>
      </c>
      <c r="R430" t="n">
        <v>0.0838</v>
      </c>
      <c r="S430">
        <f>IMAGE("https://mitra.stanford.edu/kundaje/oak/projects/neuro-variants/variant_position/credible/roussos_2024/variant_figures/roussos_2024.childhood.GABA/rs2932559_count_position.png",4,220,900)</f>
        <v/>
      </c>
      <c r="T430">
        <f>IMAGE("https://mitra.stanford.edu/kundaje/oak/projects/neuro-variants/variant_position/credible/roussos_2024/variant_figures/roussos_2024.childhood.GABA/rs2932559_profile_position.png",4,220,900)</f>
        <v/>
      </c>
    </row>
    <row r="431">
      <c r="A431" t="inlineStr">
        <is>
          <t>chr10</t>
        </is>
      </c>
      <c r="B431" t="n">
        <v>121903955</v>
      </c>
      <c r="C431" t="inlineStr">
        <is>
          <t>C</t>
        </is>
      </c>
      <c r="D431" t="inlineStr">
        <is>
          <t>T</t>
        </is>
      </c>
      <c r="E431" t="inlineStr">
        <is>
          <t>rs7073961</t>
        </is>
      </c>
      <c r="F431" t="n">
        <v>0.0133565121</v>
      </c>
      <c r="G431" t="n">
        <v>0.4887147023445136</v>
      </c>
      <c r="H431" t="n">
        <v>0.0242217413108436</v>
      </c>
      <c r="I431" t="n">
        <v>0.0327055576070502</v>
      </c>
      <c r="J431" t="n">
        <v>0.0074008921279135</v>
      </c>
      <c r="K431" t="n">
        <v>0.7757012371722013</v>
      </c>
      <c r="L431" t="b">
        <v>0</v>
      </c>
      <c r="M431" t="b">
        <v>0</v>
      </c>
      <c r="N431" t="inlineStr">
        <is>
          <t>alt</t>
        </is>
      </c>
      <c r="O431" t="n">
        <v>-55</v>
      </c>
      <c r="P431" t="n">
        <v>0.006714</v>
      </c>
      <c r="Q431" t="n">
        <v>70</v>
      </c>
      <c r="R431" t="n">
        <v>0.0315</v>
      </c>
      <c r="S431">
        <f>IMAGE("https://mitra.stanford.edu/kundaje/oak/projects/neuro-variants/variant_position/credible/roussos_2024/variant_figures/roussos_2024.childhood.GABA/rs7073961_count_position.png",4,220,900)</f>
        <v/>
      </c>
      <c r="T431">
        <f>IMAGE("https://mitra.stanford.edu/kundaje/oak/projects/neuro-variants/variant_position/credible/roussos_2024/variant_figures/roussos_2024.childhood.GABA/rs7073961_profile_position.png",4,220,900)</f>
        <v/>
      </c>
    </row>
    <row r="432">
      <c r="A432" t="inlineStr">
        <is>
          <t>chr10</t>
        </is>
      </c>
      <c r="B432" t="n">
        <v>121921015</v>
      </c>
      <c r="C432" t="inlineStr">
        <is>
          <t>C</t>
        </is>
      </c>
      <c r="D432" t="inlineStr">
        <is>
          <t>T</t>
        </is>
      </c>
      <c r="E432" t="inlineStr">
        <is>
          <t>rs6585767</t>
        </is>
      </c>
      <c r="F432" t="n">
        <v>-0.003138445372</v>
      </c>
      <c r="G432" t="n">
        <v>0.8305511701426239</v>
      </c>
      <c r="H432" t="n">
        <v>0.0206988214934408</v>
      </c>
      <c r="I432" t="n">
        <v>0.0644762819833323</v>
      </c>
      <c r="J432" t="n">
        <v>0.0653944420012145</v>
      </c>
      <c r="K432" t="n">
        <v>0.4562165082591431</v>
      </c>
      <c r="L432" t="b">
        <v>0</v>
      </c>
      <c r="M432" t="b">
        <v>0</v>
      </c>
      <c r="N432" t="inlineStr">
        <is>
          <t>ref</t>
        </is>
      </c>
      <c r="O432" t="n">
        <v>-65</v>
      </c>
      <c r="P432" t="n">
        <v>0.006775</v>
      </c>
      <c r="Q432" t="n">
        <v>-30</v>
      </c>
      <c r="R432" t="n">
        <v>0.02614</v>
      </c>
      <c r="S432">
        <f>IMAGE("https://mitra.stanford.edu/kundaje/oak/projects/neuro-variants/variant_position/credible/roussos_2024/variant_figures/roussos_2024.childhood.GABA/rs6585767_count_position.png",4,220,900)</f>
        <v/>
      </c>
      <c r="T432">
        <f>IMAGE("https://mitra.stanford.edu/kundaje/oak/projects/neuro-variants/variant_position/credible/roussos_2024/variant_figures/roussos_2024.childhood.GABA/rs6585767_profile_position.png",4,220,900)</f>
        <v/>
      </c>
    </row>
    <row r="433">
      <c r="A433" t="inlineStr">
        <is>
          <t>chr10</t>
        </is>
      </c>
      <c r="B433" t="n">
        <v>121940050</v>
      </c>
      <c r="C433" t="inlineStr">
        <is>
          <t>T</t>
        </is>
      </c>
      <c r="D433" t="inlineStr">
        <is>
          <t>C</t>
        </is>
      </c>
      <c r="E433" t="inlineStr">
        <is>
          <t>rs12415401</t>
        </is>
      </c>
      <c r="F433" t="n">
        <v>0.066635246</v>
      </c>
      <c r="G433" t="n">
        <v>0.0741587178382548</v>
      </c>
      <c r="H433" t="n">
        <v>0.0149124886380892</v>
      </c>
      <c r="I433" t="n">
        <v>0.2335887564041737</v>
      </c>
      <c r="J433" t="n">
        <v>0.0055590458838558</v>
      </c>
      <c r="K433" t="n">
        <v>0.8110089784197674</v>
      </c>
      <c r="L433" t="b">
        <v>0</v>
      </c>
      <c r="M433" t="b">
        <v>0</v>
      </c>
      <c r="N433" t="inlineStr">
        <is>
          <t>alt</t>
        </is>
      </c>
      <c r="O433" t="n">
        <v>-25</v>
      </c>
      <c r="P433" t="n">
        <v>0.005898</v>
      </c>
      <c r="Q433" t="n">
        <v>-60</v>
      </c>
      <c r="R433" t="n">
        <v>0.05508</v>
      </c>
      <c r="S433">
        <f>IMAGE("https://mitra.stanford.edu/kundaje/oak/projects/neuro-variants/variant_position/credible/roussos_2024/variant_figures/roussos_2024.childhood.GABA/rs12415401_count_position.png",4,220,900)</f>
        <v/>
      </c>
      <c r="T433">
        <f>IMAGE("https://mitra.stanford.edu/kundaje/oak/projects/neuro-variants/variant_position/credible/roussos_2024/variant_figures/roussos_2024.childhood.GABA/rs12415401_profile_position.png",4,220,900)</f>
        <v/>
      </c>
    </row>
    <row r="434">
      <c r="A434" t="inlineStr">
        <is>
          <t>chr10</t>
        </is>
      </c>
      <c r="B434" t="n">
        <v>121956355</v>
      </c>
      <c r="C434" t="inlineStr">
        <is>
          <t>A</t>
        </is>
      </c>
      <c r="D434" t="inlineStr">
        <is>
          <t>G</t>
        </is>
      </c>
      <c r="E434" t="inlineStr">
        <is>
          <t>rs7095093</t>
        </is>
      </c>
      <c r="F434" t="n">
        <v>0.086965533</v>
      </c>
      <c r="G434" t="n">
        <v>0.0391949496351851</v>
      </c>
      <c r="H434" t="n">
        <v>0.015122431333575</v>
      </c>
      <c r="I434" t="n">
        <v>0.2165202859650845</v>
      </c>
      <c r="J434" t="n">
        <v>0.1369510586165734</v>
      </c>
      <c r="K434" t="n">
        <v>0.2997038683132682</v>
      </c>
      <c r="L434" t="b">
        <v>0</v>
      </c>
      <c r="M434" t="b">
        <v>0</v>
      </c>
      <c r="N434" t="inlineStr">
        <is>
          <t>alt</t>
        </is>
      </c>
      <c r="O434" t="n">
        <v>-45</v>
      </c>
      <c r="P434" t="n">
        <v>0.003967</v>
      </c>
      <c r="Q434" t="n">
        <v>15</v>
      </c>
      <c r="R434" t="n">
        <v>0.00787</v>
      </c>
      <c r="S434">
        <f>IMAGE("https://mitra.stanford.edu/kundaje/oak/projects/neuro-variants/variant_position/credible/roussos_2024/variant_figures/roussos_2024.childhood.GABA/rs7095093_count_position.png",4,220,900)</f>
        <v/>
      </c>
      <c r="T434">
        <f>IMAGE("https://mitra.stanford.edu/kundaje/oak/projects/neuro-variants/variant_position/credible/roussos_2024/variant_figures/roussos_2024.childhood.GABA/rs7095093_profile_position.png",4,220,900)</f>
        <v/>
      </c>
    </row>
    <row r="435">
      <c r="A435" t="inlineStr">
        <is>
          <t>chr10</t>
        </is>
      </c>
      <c r="B435" t="n">
        <v>121957884</v>
      </c>
      <c r="C435" t="inlineStr">
        <is>
          <t>G</t>
        </is>
      </c>
      <c r="D435" t="inlineStr">
        <is>
          <t>A</t>
        </is>
      </c>
      <c r="E435" t="inlineStr">
        <is>
          <t>rs7923863</t>
        </is>
      </c>
      <c r="F435" t="n">
        <v>-0.0125579274199999</v>
      </c>
      <c r="G435" t="n">
        <v>0.5657540175326673</v>
      </c>
      <c r="H435" t="n">
        <v>0.0181438901975059</v>
      </c>
      <c r="I435" t="n">
        <v>0.1135164475335492</v>
      </c>
      <c r="J435" t="n">
        <v>0.0186373060250046</v>
      </c>
      <c r="K435" t="n">
        <v>0.6701853190045205</v>
      </c>
      <c r="L435" t="b">
        <v>0</v>
      </c>
      <c r="M435" t="b">
        <v>0</v>
      </c>
      <c r="N435" t="inlineStr">
        <is>
          <t>ref</t>
        </is>
      </c>
      <c r="O435" t="n">
        <v>30</v>
      </c>
      <c r="P435" t="n">
        <v>0.001556</v>
      </c>
      <c r="Q435" t="n">
        <v>-90</v>
      </c>
      <c r="R435" t="n">
        <v>0.122</v>
      </c>
      <c r="S435">
        <f>IMAGE("https://mitra.stanford.edu/kundaje/oak/projects/neuro-variants/variant_position/credible/roussos_2024/variant_figures/roussos_2024.childhood.GABA/rs7923863_count_position.png",4,220,900)</f>
        <v/>
      </c>
      <c r="T435">
        <f>IMAGE("https://mitra.stanford.edu/kundaje/oak/projects/neuro-variants/variant_position/credible/roussos_2024/variant_figures/roussos_2024.childhood.GABA/rs7923863_profile_position.png",4,220,900)</f>
        <v/>
      </c>
    </row>
    <row r="436">
      <c r="A436" t="inlineStr">
        <is>
          <t>chr10</t>
        </is>
      </c>
      <c r="B436" t="n">
        <v>121965676</v>
      </c>
      <c r="C436" t="inlineStr">
        <is>
          <t>C</t>
        </is>
      </c>
      <c r="D436" t="inlineStr">
        <is>
          <t>A</t>
        </is>
      </c>
      <c r="E436" t="inlineStr">
        <is>
          <t>rs72839625</t>
        </is>
      </c>
      <c r="F436" t="n">
        <v>-0.004762596714</v>
      </c>
      <c r="G436" t="n">
        <v>0.7567683655717404</v>
      </c>
      <c r="H436" t="n">
        <v>0.0073836829042633</v>
      </c>
      <c r="I436" t="n">
        <v>0.91182168252076</v>
      </c>
      <c r="J436" t="n">
        <v>0.0279847542459843</v>
      </c>
      <c r="K436" t="n">
        <v>0.6012310456376693</v>
      </c>
      <c r="L436" t="b">
        <v>0</v>
      </c>
      <c r="M436" t="b">
        <v>0</v>
      </c>
      <c r="N436" t="inlineStr">
        <is>
          <t>ref</t>
        </is>
      </c>
      <c r="O436" t="n">
        <v>35</v>
      </c>
      <c r="P436" t="n">
        <v>0.002655</v>
      </c>
      <c r="Q436" t="n">
        <v>80</v>
      </c>
      <c r="R436" t="n">
        <v>0.00775</v>
      </c>
      <c r="S436">
        <f>IMAGE("https://mitra.stanford.edu/kundaje/oak/projects/neuro-variants/variant_position/credible/roussos_2024/variant_figures/roussos_2024.childhood.GABA/rs72839625_count_position.png",4,220,900)</f>
        <v/>
      </c>
      <c r="T436">
        <f>IMAGE("https://mitra.stanford.edu/kundaje/oak/projects/neuro-variants/variant_position/credible/roussos_2024/variant_figures/roussos_2024.childhood.GABA/rs72839625_profile_position.png",4,220,900)</f>
        <v/>
      </c>
    </row>
    <row r="437">
      <c r="A437" t="inlineStr">
        <is>
          <t>chr10</t>
        </is>
      </c>
      <c r="B437" t="n">
        <v>122144041</v>
      </c>
      <c r="C437" t="inlineStr">
        <is>
          <t>T</t>
        </is>
      </c>
      <c r="D437" t="inlineStr">
        <is>
          <t>C</t>
        </is>
      </c>
      <c r="E437" t="inlineStr">
        <is>
          <t>rs7902292</t>
        </is>
      </c>
      <c r="F437" t="n">
        <v>-0.0469694967999999</v>
      </c>
      <c r="G437" t="n">
        <v>0.1742587018041507</v>
      </c>
      <c r="H437" t="n">
        <v>0.013797570306015</v>
      </c>
      <c r="I437" t="n">
        <v>0.2997804905495426</v>
      </c>
      <c r="J437" t="n">
        <v>0.4134803459613412</v>
      </c>
      <c r="K437" t="n">
        <v>0.081068735245104</v>
      </c>
      <c r="L437" t="b">
        <v>0</v>
      </c>
      <c r="M437" t="b">
        <v>0</v>
      </c>
      <c r="N437" t="inlineStr">
        <is>
          <t>ref</t>
        </is>
      </c>
      <c r="O437" t="n">
        <v>100</v>
      </c>
      <c r="P437" t="n">
        <v>0.004227</v>
      </c>
      <c r="Q437" t="n">
        <v>-5</v>
      </c>
      <c r="R437" t="n">
        <v>0.006714</v>
      </c>
      <c r="S437">
        <f>IMAGE("https://mitra.stanford.edu/kundaje/oak/projects/neuro-variants/variant_position/credible/roussos_2024/variant_figures/roussos_2024.childhood.GABA/rs7902292_count_position.png",4,220,900)</f>
        <v/>
      </c>
      <c r="T437">
        <f>IMAGE("https://mitra.stanford.edu/kundaje/oak/projects/neuro-variants/variant_position/credible/roussos_2024/variant_figures/roussos_2024.childhood.GABA/rs7902292_profile_position.png",4,220,900)</f>
        <v/>
      </c>
    </row>
    <row r="438">
      <c r="A438" t="inlineStr">
        <is>
          <t>chr10</t>
        </is>
      </c>
      <c r="B438" t="n">
        <v>122152783</v>
      </c>
      <c r="C438" t="inlineStr">
        <is>
          <t>T</t>
        </is>
      </c>
      <c r="D438" t="inlineStr">
        <is>
          <t>C</t>
        </is>
      </c>
      <c r="E438" t="inlineStr">
        <is>
          <t>rs4752661</t>
        </is>
      </c>
      <c r="F438" t="n">
        <v>0.0405882712</v>
      </c>
      <c r="G438" t="n">
        <v>0.1977768789296863</v>
      </c>
      <c r="H438" t="n">
        <v>0.0112073720245462</v>
      </c>
      <c r="I438" t="n">
        <v>0.509922892309063</v>
      </c>
      <c r="J438" t="n">
        <v>0.3435844275512554</v>
      </c>
      <c r="K438" t="n">
        <v>0.1122529045562253</v>
      </c>
      <c r="L438" t="b">
        <v>0</v>
      </c>
      <c r="M438" t="b">
        <v>0</v>
      </c>
      <c r="N438" t="inlineStr">
        <is>
          <t>alt</t>
        </is>
      </c>
      <c r="O438" t="n">
        <v>-65</v>
      </c>
      <c r="P438" t="n">
        <v>0.01176</v>
      </c>
      <c r="Q438" t="n">
        <v>-100</v>
      </c>
      <c r="R438" t="n">
        <v>0.146</v>
      </c>
      <c r="S438">
        <f>IMAGE("https://mitra.stanford.edu/kundaje/oak/projects/neuro-variants/variant_position/credible/roussos_2024/variant_figures/roussos_2024.childhood.GABA/rs4752661_count_position.png",4,220,900)</f>
        <v/>
      </c>
      <c r="T438">
        <f>IMAGE("https://mitra.stanford.edu/kundaje/oak/projects/neuro-variants/variant_position/credible/roussos_2024/variant_figures/roussos_2024.childhood.GABA/rs4752661_profile_position.png",4,220,900)</f>
        <v/>
      </c>
    </row>
    <row r="439">
      <c r="A439" t="inlineStr">
        <is>
          <t>chr11</t>
        </is>
      </c>
      <c r="B439" t="n">
        <v>17018871</v>
      </c>
      <c r="C439" t="inlineStr">
        <is>
          <t>C</t>
        </is>
      </c>
      <c r="D439" t="inlineStr">
        <is>
          <t>A</t>
        </is>
      </c>
      <c r="E439" t="inlineStr">
        <is>
          <t>rs10832723</t>
        </is>
      </c>
      <c r="F439" t="n">
        <v>-0.00987303292</v>
      </c>
      <c r="G439" t="n">
        <v>0.6149637616224145</v>
      </c>
      <c r="H439" t="n">
        <v>0.009612267626861201</v>
      </c>
      <c r="I439" t="n">
        <v>0.6834771170024341</v>
      </c>
      <c r="J439" t="n">
        <v>0.0007800883751124</v>
      </c>
      <c r="K439" t="n">
        <v>0.9224396880033822</v>
      </c>
      <c r="L439" t="b">
        <v>0</v>
      </c>
      <c r="M439" t="b">
        <v>0</v>
      </c>
      <c r="N439" t="inlineStr">
        <is>
          <t>ref</t>
        </is>
      </c>
      <c r="O439" t="n">
        <v>-50</v>
      </c>
      <c r="P439" t="n">
        <v>0.003773</v>
      </c>
      <c r="Q439" t="n">
        <v>-100</v>
      </c>
      <c r="R439" t="n">
        <v>0.03186</v>
      </c>
      <c r="S439">
        <f>IMAGE("https://mitra.stanford.edu/kundaje/oak/projects/neuro-variants/variant_position/credible/roussos_2024/variant_figures/roussos_2024.childhood.GABA/rs10832723_count_position.png",4,220,900)</f>
        <v/>
      </c>
      <c r="T439">
        <f>IMAGE("https://mitra.stanford.edu/kundaje/oak/projects/neuro-variants/variant_position/credible/roussos_2024/variant_figures/roussos_2024.childhood.GABA/rs10832723_profile_position.png",4,220,900)</f>
        <v/>
      </c>
    </row>
    <row r="440">
      <c r="A440" t="inlineStr">
        <is>
          <t>chr11</t>
        </is>
      </c>
      <c r="B440" t="n">
        <v>17021494</v>
      </c>
      <c r="C440" t="inlineStr">
        <is>
          <t>G</t>
        </is>
      </c>
      <c r="D440" t="inlineStr">
        <is>
          <t>A</t>
        </is>
      </c>
      <c r="E440" t="inlineStr">
        <is>
          <t>rs4456241</t>
        </is>
      </c>
      <c r="F440" t="n">
        <v>-0.110827478</v>
      </c>
      <c r="G440" t="n">
        <v>0.0264650127743909</v>
      </c>
      <c r="H440" t="n">
        <v>0.0209540304846986</v>
      </c>
      <c r="I440" t="n">
        <v>0.0696949081962681</v>
      </c>
      <c r="J440" t="n">
        <v>0.3196550857573663</v>
      </c>
      <c r="K440" t="n">
        <v>0.1270019169371592</v>
      </c>
      <c r="L440" t="b">
        <v>0</v>
      </c>
      <c r="M440" t="b">
        <v>0</v>
      </c>
      <c r="N440" t="inlineStr">
        <is>
          <t>ref</t>
        </is>
      </c>
      <c r="O440" t="n">
        <v>100</v>
      </c>
      <c r="P440" t="n">
        <v>0.03023</v>
      </c>
      <c r="Q440" t="n">
        <v>100</v>
      </c>
      <c r="R440" t="n">
        <v>0.333</v>
      </c>
      <c r="S440">
        <f>IMAGE("https://mitra.stanford.edu/kundaje/oak/projects/neuro-variants/variant_position/credible/roussos_2024/variant_figures/roussos_2024.childhood.GABA/rs4456241_count_position.png",4,220,900)</f>
        <v/>
      </c>
      <c r="T440">
        <f>IMAGE("https://mitra.stanford.edu/kundaje/oak/projects/neuro-variants/variant_position/credible/roussos_2024/variant_figures/roussos_2024.childhood.GABA/rs4456241_profile_position.png",4,220,900)</f>
        <v/>
      </c>
    </row>
    <row r="441">
      <c r="A441" t="inlineStr">
        <is>
          <t>chr11</t>
        </is>
      </c>
      <c r="B441" t="n">
        <v>17026200</v>
      </c>
      <c r="C441" t="inlineStr">
        <is>
          <t>G</t>
        </is>
      </c>
      <c r="D441" t="inlineStr">
        <is>
          <t>T</t>
        </is>
      </c>
      <c r="E441" t="inlineStr">
        <is>
          <t>rs77545208</t>
        </is>
      </c>
      <c r="F441" t="n">
        <v>0.008950847959999999</v>
      </c>
      <c r="G441" t="n">
        <v>0.6501612612424267</v>
      </c>
      <c r="H441" t="n">
        <v>0.0215613696044695</v>
      </c>
      <c r="I441" t="n">
        <v>0.0544624305949151</v>
      </c>
      <c r="J441" t="n">
        <v>0.0488387677744967</v>
      </c>
      <c r="K441" t="n">
        <v>0.5264903413580911</v>
      </c>
      <c r="L441" t="b">
        <v>0</v>
      </c>
      <c r="M441" t="b">
        <v>0</v>
      </c>
      <c r="N441" t="inlineStr">
        <is>
          <t>alt</t>
        </is>
      </c>
      <c r="O441" t="n">
        <v>100</v>
      </c>
      <c r="P441" t="n">
        <v>0.009169999999999999</v>
      </c>
      <c r="Q441" t="n">
        <v>-100</v>
      </c>
      <c r="R441" t="n">
        <v>0.07779999999999999</v>
      </c>
      <c r="S441">
        <f>IMAGE("https://mitra.stanford.edu/kundaje/oak/projects/neuro-variants/variant_position/credible/roussos_2024/variant_figures/roussos_2024.childhood.GABA/rs77545208_count_position.png",4,220,900)</f>
        <v/>
      </c>
      <c r="T441">
        <f>IMAGE("https://mitra.stanford.edu/kundaje/oak/projects/neuro-variants/variant_position/credible/roussos_2024/variant_figures/roussos_2024.childhood.GABA/rs77545208_profile_position.png",4,220,900)</f>
        <v/>
      </c>
    </row>
    <row r="442">
      <c r="A442" t="inlineStr">
        <is>
          <t>chr11</t>
        </is>
      </c>
      <c r="B442" t="n">
        <v>17027833</v>
      </c>
      <c r="C442" t="inlineStr">
        <is>
          <t>T</t>
        </is>
      </c>
      <c r="D442" t="inlineStr">
        <is>
          <t>A</t>
        </is>
      </c>
      <c r="E442" t="inlineStr">
        <is>
          <t>rs34902253</t>
        </is>
      </c>
      <c r="F442" t="n">
        <v>-0.00196343953</v>
      </c>
      <c r="G442" t="n">
        <v>0.8827747482201452</v>
      </c>
      <c r="H442" t="n">
        <v>0.0355078834622854</v>
      </c>
      <c r="I442" t="n">
        <v>0.0060885696638934</v>
      </c>
      <c r="J442" t="n">
        <v>0.063206006156939</v>
      </c>
      <c r="K442" t="n">
        <v>0.459808761504532</v>
      </c>
      <c r="L442" t="b">
        <v>1</v>
      </c>
      <c r="M442" t="b">
        <v>1</v>
      </c>
      <c r="N442" t="inlineStr">
        <is>
          <t>ref</t>
        </is>
      </c>
      <c r="O442" t="n">
        <v>-40</v>
      </c>
      <c r="P442" t="n">
        <v>0.002197</v>
      </c>
      <c r="Q442" t="n">
        <v>-35</v>
      </c>
      <c r="R442" t="n">
        <v>0.0665</v>
      </c>
      <c r="S442">
        <f>IMAGE("https://mitra.stanford.edu/kundaje/oak/projects/neuro-variants/variant_position/credible/roussos_2024/variant_figures/roussos_2024.childhood.GABA/rs34902253_count_position.png",4,220,900)</f>
        <v/>
      </c>
      <c r="T442">
        <f>IMAGE("https://mitra.stanford.edu/kundaje/oak/projects/neuro-variants/variant_position/credible/roussos_2024/variant_figures/roussos_2024.childhood.GABA/rs34902253_profile_position.png",4,220,900)</f>
        <v/>
      </c>
    </row>
    <row r="443">
      <c r="A443" t="inlineStr">
        <is>
          <t>chr11</t>
        </is>
      </c>
      <c r="B443" t="n">
        <v>17034171</v>
      </c>
      <c r="C443" t="inlineStr">
        <is>
          <t>A</t>
        </is>
      </c>
      <c r="D443" t="inlineStr">
        <is>
          <t>G</t>
        </is>
      </c>
      <c r="E443" t="inlineStr">
        <is>
          <t>rs7950225</t>
        </is>
      </c>
      <c r="F443" t="n">
        <v>0.00661840954</v>
      </c>
      <c r="G443" t="n">
        <v>0.6654067319020254</v>
      </c>
      <c r="H443" t="n">
        <v>0.011572032654345</v>
      </c>
      <c r="I443" t="n">
        <v>0.4814484838633565</v>
      </c>
      <c r="J443" t="n">
        <v>0.4408871018407991</v>
      </c>
      <c r="K443" t="n">
        <v>0.06951234180555151</v>
      </c>
      <c r="L443" t="b">
        <v>0</v>
      </c>
      <c r="M443" t="b">
        <v>0</v>
      </c>
      <c r="N443" t="inlineStr">
        <is>
          <t>alt</t>
        </is>
      </c>
      <c r="O443" t="n">
        <v>50</v>
      </c>
      <c r="P443" t="n">
        <v>0.001432</v>
      </c>
      <c r="Q443" t="n">
        <v>80</v>
      </c>
      <c r="R443" t="n">
        <v>0.0476</v>
      </c>
      <c r="S443">
        <f>IMAGE("https://mitra.stanford.edu/kundaje/oak/projects/neuro-variants/variant_position/credible/roussos_2024/variant_figures/roussos_2024.childhood.GABA/rs7950225_count_position.png",4,220,900)</f>
        <v/>
      </c>
      <c r="T443">
        <f>IMAGE("https://mitra.stanford.edu/kundaje/oak/projects/neuro-variants/variant_position/credible/roussos_2024/variant_figures/roussos_2024.childhood.GABA/rs7950225_profile_position.png",4,220,900)</f>
        <v/>
      </c>
    </row>
    <row r="444">
      <c r="A444" t="inlineStr">
        <is>
          <t>chr11</t>
        </is>
      </c>
      <c r="B444" t="n">
        <v>17080007</v>
      </c>
      <c r="C444" t="inlineStr">
        <is>
          <t>C</t>
        </is>
      </c>
      <c r="D444" t="inlineStr">
        <is>
          <t>G</t>
        </is>
      </c>
      <c r="E444" t="inlineStr">
        <is>
          <t>rs12577418</t>
        </is>
      </c>
      <c r="F444" t="n">
        <v>-0.0439122595999999</v>
      </c>
      <c r="G444" t="n">
        <v>0.1847478458151256</v>
      </c>
      <c r="H444" t="n">
        <v>0.0126986516605122</v>
      </c>
      <c r="I444" t="n">
        <v>0.3780960753393744</v>
      </c>
      <c r="J444" t="n">
        <v>0.06966660384075719</v>
      </c>
      <c r="K444" t="n">
        <v>0.4437137065794952</v>
      </c>
      <c r="L444" t="b">
        <v>0</v>
      </c>
      <c r="M444" t="b">
        <v>0</v>
      </c>
      <c r="N444" t="inlineStr">
        <is>
          <t>ref</t>
        </is>
      </c>
      <c r="O444" t="n">
        <v>-100</v>
      </c>
      <c r="P444" t="n">
        <v>0.005905</v>
      </c>
      <c r="Q444" t="n">
        <v>70</v>
      </c>
      <c r="R444" t="n">
        <v>0.08935999999999999</v>
      </c>
      <c r="S444">
        <f>IMAGE("https://mitra.stanford.edu/kundaje/oak/projects/neuro-variants/variant_position/credible/roussos_2024/variant_figures/roussos_2024.childhood.GABA/rs12577418_count_position.png",4,220,900)</f>
        <v/>
      </c>
      <c r="T444">
        <f>IMAGE("https://mitra.stanford.edu/kundaje/oak/projects/neuro-variants/variant_position/credible/roussos_2024/variant_figures/roussos_2024.childhood.GABA/rs12577418_profile_position.png",4,220,900)</f>
        <v/>
      </c>
    </row>
    <row r="445">
      <c r="A445" t="inlineStr">
        <is>
          <t>chr11</t>
        </is>
      </c>
      <c r="B445" t="n">
        <v>17084183</v>
      </c>
      <c r="C445" t="inlineStr">
        <is>
          <t>T</t>
        </is>
      </c>
      <c r="D445" t="inlineStr">
        <is>
          <t>G</t>
        </is>
      </c>
      <c r="E445" t="inlineStr">
        <is>
          <t>rs11024151</t>
        </is>
      </c>
      <c r="F445" t="n">
        <v>-0.0123724968</v>
      </c>
      <c r="G445" t="n">
        <v>0.5742423121613658</v>
      </c>
      <c r="H445" t="n">
        <v>0.0308244083043787</v>
      </c>
      <c r="I445" t="n">
        <v>0.0111967519181244</v>
      </c>
      <c r="J445" t="n">
        <v>0.0114510690875583</v>
      </c>
      <c r="K445" t="n">
        <v>0.730974465208054</v>
      </c>
      <c r="L445" t="b">
        <v>1</v>
      </c>
      <c r="M445" t="b">
        <v>0</v>
      </c>
      <c r="N445" t="inlineStr">
        <is>
          <t>ref</t>
        </is>
      </c>
      <c r="O445" t="n">
        <v>80</v>
      </c>
      <c r="P445" t="n">
        <v>0.006042</v>
      </c>
      <c r="Q445" t="n">
        <v>80</v>
      </c>
      <c r="R445" t="n">
        <v>0.03857</v>
      </c>
      <c r="S445">
        <f>IMAGE("https://mitra.stanford.edu/kundaje/oak/projects/neuro-variants/variant_position/credible/roussos_2024/variant_figures/roussos_2024.childhood.GABA/rs11024151_count_position.png",4,220,900)</f>
        <v/>
      </c>
      <c r="T445">
        <f>IMAGE("https://mitra.stanford.edu/kundaje/oak/projects/neuro-variants/variant_position/credible/roussos_2024/variant_figures/roussos_2024.childhood.GABA/rs11024151_profile_position.png",4,220,900)</f>
        <v/>
      </c>
    </row>
    <row r="446">
      <c r="A446" t="inlineStr">
        <is>
          <t>chr11</t>
        </is>
      </c>
      <c r="B446" t="n">
        <v>17086101</v>
      </c>
      <c r="C446" t="inlineStr">
        <is>
          <t>G</t>
        </is>
      </c>
      <c r="D446" t="inlineStr">
        <is>
          <t>C</t>
        </is>
      </c>
      <c r="E446" t="inlineStr">
        <is>
          <t>rs1987694</t>
        </is>
      </c>
      <c r="F446" t="n">
        <v>0.0529078823999999</v>
      </c>
      <c r="G446" t="n">
        <v>0.1218134375901988</v>
      </c>
      <c r="H446" t="n">
        <v>0.0137510878258051</v>
      </c>
      <c r="I446" t="n">
        <v>0.3019968528917964</v>
      </c>
      <c r="J446" t="n">
        <v>0.2562082469477078</v>
      </c>
      <c r="K446" t="n">
        <v>0.1664653990949335</v>
      </c>
      <c r="L446" t="b">
        <v>0</v>
      </c>
      <c r="M446" t="b">
        <v>0</v>
      </c>
      <c r="N446" t="inlineStr">
        <is>
          <t>alt</t>
        </is>
      </c>
      <c r="O446" t="n">
        <v>85</v>
      </c>
      <c r="P446" t="n">
        <v>0.0008507</v>
      </c>
      <c r="Q446" t="n">
        <v>5</v>
      </c>
      <c r="R446" t="n">
        <v>0.003906</v>
      </c>
      <c r="S446">
        <f>IMAGE("https://mitra.stanford.edu/kundaje/oak/projects/neuro-variants/variant_position/credible/roussos_2024/variant_figures/roussos_2024.childhood.GABA/rs1987694_count_position.png",4,220,900)</f>
        <v/>
      </c>
      <c r="T446">
        <f>IMAGE("https://mitra.stanford.edu/kundaje/oak/projects/neuro-variants/variant_position/credible/roussos_2024/variant_figures/roussos_2024.childhood.GABA/rs1987694_profile_position.png",4,220,900)</f>
        <v/>
      </c>
    </row>
    <row r="447">
      <c r="A447" t="inlineStr">
        <is>
          <t>chr11</t>
        </is>
      </c>
      <c r="B447" t="n">
        <v>17171928</v>
      </c>
      <c r="C447" t="inlineStr">
        <is>
          <t>T</t>
        </is>
      </c>
      <c r="D447" t="inlineStr">
        <is>
          <t>A</t>
        </is>
      </c>
      <c r="E447" t="inlineStr">
        <is>
          <t>rs214934</t>
        </is>
      </c>
      <c r="F447" t="n">
        <v>-0.0109489617599999</v>
      </c>
      <c r="G447" t="n">
        <v>0.6216992842951169</v>
      </c>
      <c r="H447" t="n">
        <v>0.0215898972606136</v>
      </c>
      <c r="I447" t="n">
        <v>0.0550136788196566</v>
      </c>
      <c r="J447" t="n">
        <v>0.0154698330925006</v>
      </c>
      <c r="K447" t="n">
        <v>0.705455852079693</v>
      </c>
      <c r="L447" t="b">
        <v>0</v>
      </c>
      <c r="M447" t="b">
        <v>0</v>
      </c>
      <c r="N447" t="inlineStr">
        <is>
          <t>ref</t>
        </is>
      </c>
      <c r="O447" t="n">
        <v>75</v>
      </c>
      <c r="P447" t="n">
        <v>0.0239</v>
      </c>
      <c r="Q447" t="n">
        <v>65</v>
      </c>
      <c r="R447" t="n">
        <v>0.1092</v>
      </c>
      <c r="S447">
        <f>IMAGE("https://mitra.stanford.edu/kundaje/oak/projects/neuro-variants/variant_position/credible/roussos_2024/variant_figures/roussos_2024.childhood.GABA/rs214934_count_position.png",4,220,900)</f>
        <v/>
      </c>
      <c r="T447">
        <f>IMAGE("https://mitra.stanford.edu/kundaje/oak/projects/neuro-variants/variant_position/credible/roussos_2024/variant_figures/roussos_2024.childhood.GABA/rs214934_profile_position.png",4,220,900)</f>
        <v/>
      </c>
    </row>
    <row r="448">
      <c r="A448" t="inlineStr">
        <is>
          <t>chr11</t>
        </is>
      </c>
      <c r="B448" t="n">
        <v>17184972</v>
      </c>
      <c r="C448" t="inlineStr">
        <is>
          <t>A</t>
        </is>
      </c>
      <c r="D448" t="inlineStr">
        <is>
          <t>T</t>
        </is>
      </c>
      <c r="E448" t="inlineStr">
        <is>
          <t>rs664382</t>
        </is>
      </c>
      <c r="F448" t="n">
        <v>-0.005582845894</v>
      </c>
      <c r="G448" t="n">
        <v>0.7693144342738975</v>
      </c>
      <c r="H448" t="n">
        <v>0.0284450004704618</v>
      </c>
      <c r="I448" t="n">
        <v>0.0158721640935346</v>
      </c>
      <c r="J448" t="n">
        <v>0.0111955770559778</v>
      </c>
      <c r="K448" t="n">
        <v>0.7229093460300192</v>
      </c>
      <c r="L448" t="b">
        <v>1</v>
      </c>
      <c r="M448" t="b">
        <v>0</v>
      </c>
      <c r="N448" t="inlineStr">
        <is>
          <t>ref</t>
        </is>
      </c>
      <c r="O448" t="n">
        <v>-55</v>
      </c>
      <c r="P448" t="n">
        <v>0.001099</v>
      </c>
      <c r="Q448" t="n">
        <v>95</v>
      </c>
      <c r="R448" t="n">
        <v>0.0677</v>
      </c>
      <c r="S448">
        <f>IMAGE("https://mitra.stanford.edu/kundaje/oak/projects/neuro-variants/variant_position/credible/roussos_2024/variant_figures/roussos_2024.childhood.GABA/rs664382_count_position.png",4,220,900)</f>
        <v/>
      </c>
      <c r="T448">
        <f>IMAGE("https://mitra.stanford.edu/kundaje/oak/projects/neuro-variants/variant_position/credible/roussos_2024/variant_figures/roussos_2024.childhood.GABA/rs664382_profile_position.png",4,220,900)</f>
        <v/>
      </c>
    </row>
    <row r="449">
      <c r="A449" t="inlineStr">
        <is>
          <t>chr11</t>
        </is>
      </c>
      <c r="B449" t="n">
        <v>17185193</v>
      </c>
      <c r="C449" t="inlineStr">
        <is>
          <t>A</t>
        </is>
      </c>
      <c r="D449" t="inlineStr">
        <is>
          <t>T</t>
        </is>
      </c>
      <c r="E449" t="inlineStr">
        <is>
          <t>rs665311</t>
        </is>
      </c>
      <c r="F449" t="n">
        <v>-0.09196348880000001</v>
      </c>
      <c r="G449" t="n">
        <v>0.0452902149675299</v>
      </c>
      <c r="H449" t="n">
        <v>0.0171408840116964</v>
      </c>
      <c r="I449" t="n">
        <v>0.1405336733174633</v>
      </c>
      <c r="J449" t="n">
        <v>0.0109631211911791</v>
      </c>
      <c r="K449" t="n">
        <v>0.7258721564334565</v>
      </c>
      <c r="L449" t="b">
        <v>0</v>
      </c>
      <c r="M449" t="b">
        <v>0</v>
      </c>
      <c r="N449" t="inlineStr">
        <is>
          <t>ref</t>
        </is>
      </c>
      <c r="O449" t="n">
        <v>-100</v>
      </c>
      <c r="P449" t="n">
        <v>0.0827</v>
      </c>
      <c r="Q449" t="n">
        <v>-60</v>
      </c>
      <c r="R449" t="n">
        <v>0.02783</v>
      </c>
      <c r="S449">
        <f>IMAGE("https://mitra.stanford.edu/kundaje/oak/projects/neuro-variants/variant_position/credible/roussos_2024/variant_figures/roussos_2024.childhood.GABA/rs665311_count_position.png",4,220,900)</f>
        <v/>
      </c>
      <c r="T449">
        <f>IMAGE("https://mitra.stanford.edu/kundaje/oak/projects/neuro-variants/variant_position/credible/roussos_2024/variant_figures/roussos_2024.childhood.GABA/rs665311_profile_position.png",4,220,900)</f>
        <v/>
      </c>
    </row>
    <row r="450">
      <c r="A450" t="inlineStr">
        <is>
          <t>chr11</t>
        </is>
      </c>
      <c r="B450" t="n">
        <v>17188885</v>
      </c>
      <c r="C450" t="inlineStr">
        <is>
          <t>T</t>
        </is>
      </c>
      <c r="D450" t="inlineStr">
        <is>
          <t>C</t>
        </is>
      </c>
      <c r="E450" t="inlineStr">
        <is>
          <t>rs615358</t>
        </is>
      </c>
      <c r="F450" t="n">
        <v>-0.0547341152</v>
      </c>
      <c r="G450" t="n">
        <v>0.1295620851880562</v>
      </c>
      <c r="H450" t="n">
        <v>0.0176727489698798</v>
      </c>
      <c r="I450" t="n">
        <v>0.128131586877081</v>
      </c>
      <c r="J450" t="n">
        <v>0.2130290465121149</v>
      </c>
      <c r="K450" t="n">
        <v>0.2015191327329536</v>
      </c>
      <c r="L450" t="b">
        <v>0</v>
      </c>
      <c r="M450" t="b">
        <v>0</v>
      </c>
      <c r="N450" t="inlineStr">
        <is>
          <t>ref</t>
        </is>
      </c>
      <c r="O450" t="n">
        <v>100</v>
      </c>
      <c r="P450" t="n">
        <v>0.0358</v>
      </c>
      <c r="Q450" t="n">
        <v>95</v>
      </c>
      <c r="R450" t="n">
        <v>0.3096</v>
      </c>
      <c r="S450">
        <f>IMAGE("https://mitra.stanford.edu/kundaje/oak/projects/neuro-variants/variant_position/credible/roussos_2024/variant_figures/roussos_2024.childhood.GABA/rs615358_count_position.png",4,220,900)</f>
        <v/>
      </c>
      <c r="T450">
        <f>IMAGE("https://mitra.stanford.edu/kundaje/oak/projects/neuro-variants/variant_position/credible/roussos_2024/variant_figures/roussos_2024.childhood.GABA/rs615358_profile_position.png",4,220,900)</f>
        <v/>
      </c>
    </row>
    <row r="451">
      <c r="A451" t="inlineStr">
        <is>
          <t>chr11</t>
        </is>
      </c>
      <c r="B451" t="n">
        <v>17188934</v>
      </c>
      <c r="C451" t="inlineStr">
        <is>
          <t>G</t>
        </is>
      </c>
      <c r="D451" t="inlineStr">
        <is>
          <t>A</t>
        </is>
      </c>
      <c r="E451" t="inlineStr">
        <is>
          <t>rs615424</t>
        </is>
      </c>
      <c r="F451" t="n">
        <v>-0.0326264546</v>
      </c>
      <c r="G451" t="n">
        <v>0.2774424327916304</v>
      </c>
      <c r="H451" t="n">
        <v>0.0153082348509605</v>
      </c>
      <c r="I451" t="n">
        <v>0.2051164875037859</v>
      </c>
      <c r="J451" t="n">
        <v>0.2214540009633305</v>
      </c>
      <c r="K451" t="n">
        <v>0.1938059844832269</v>
      </c>
      <c r="L451" t="b">
        <v>0</v>
      </c>
      <c r="M451" t="b">
        <v>0</v>
      </c>
      <c r="N451" t="inlineStr">
        <is>
          <t>ref</t>
        </is>
      </c>
      <c r="O451" t="n">
        <v>75</v>
      </c>
      <c r="P451" t="n">
        <v>0.01501</v>
      </c>
      <c r="Q451" t="n">
        <v>55</v>
      </c>
      <c r="R451" t="n">
        <v>0.08373999999999999</v>
      </c>
      <c r="S451">
        <f>IMAGE("https://mitra.stanford.edu/kundaje/oak/projects/neuro-variants/variant_position/credible/roussos_2024/variant_figures/roussos_2024.childhood.GABA/rs615424_count_position.png",4,220,900)</f>
        <v/>
      </c>
      <c r="T451">
        <f>IMAGE("https://mitra.stanford.edu/kundaje/oak/projects/neuro-variants/variant_position/credible/roussos_2024/variant_figures/roussos_2024.childhood.GABA/rs615424_profile_position.png",4,220,900)</f>
        <v/>
      </c>
    </row>
    <row r="452">
      <c r="A452" t="inlineStr">
        <is>
          <t>chr11</t>
        </is>
      </c>
      <c r="B452" t="n">
        <v>19291073</v>
      </c>
      <c r="C452" t="inlineStr">
        <is>
          <t>A</t>
        </is>
      </c>
      <c r="D452" t="inlineStr">
        <is>
          <t>G</t>
        </is>
      </c>
      <c r="E452" t="inlineStr">
        <is>
          <t>rs2553965</t>
        </is>
      </c>
      <c r="F452" t="n">
        <v>0.0424908081999999</v>
      </c>
      <c r="G452" t="n">
        <v>0.1835186029565287</v>
      </c>
      <c r="H452" t="n">
        <v>0.0119767902515902</v>
      </c>
      <c r="I452" t="n">
        <v>0.421870053670877</v>
      </c>
      <c r="J452" t="n">
        <v>0.0362275135599254</v>
      </c>
      <c r="K452" t="n">
        <v>0.562724316364079</v>
      </c>
      <c r="L452" t="b">
        <v>0</v>
      </c>
      <c r="M452" t="b">
        <v>0</v>
      </c>
      <c r="N452" t="inlineStr">
        <is>
          <t>alt</t>
        </is>
      </c>
      <c r="O452" t="n">
        <v>-100</v>
      </c>
      <c r="P452" t="n">
        <v>0.003244</v>
      </c>
      <c r="Q452" t="n">
        <v>-25</v>
      </c>
      <c r="R452" t="n">
        <v>0.005295</v>
      </c>
      <c r="S452">
        <f>IMAGE("https://mitra.stanford.edu/kundaje/oak/projects/neuro-variants/variant_position/credible/roussos_2024/variant_figures/roussos_2024.childhood.GABA/rs2553965_count_position.png",4,220,900)</f>
        <v/>
      </c>
      <c r="T452">
        <f>IMAGE("https://mitra.stanford.edu/kundaje/oak/projects/neuro-variants/variant_position/credible/roussos_2024/variant_figures/roussos_2024.childhood.GABA/rs2553965_profile_position.png",4,220,900)</f>
        <v/>
      </c>
    </row>
    <row r="453">
      <c r="A453" t="inlineStr">
        <is>
          <t>chr11</t>
        </is>
      </c>
      <c r="B453" t="n">
        <v>19300107</v>
      </c>
      <c r="C453" t="inlineStr">
        <is>
          <t>C</t>
        </is>
      </c>
      <c r="D453" t="inlineStr">
        <is>
          <t>T</t>
        </is>
      </c>
      <c r="E453" t="inlineStr">
        <is>
          <t>rs712017</t>
        </is>
      </c>
      <c r="F453" t="n">
        <v>-0.1327983851999999</v>
      </c>
      <c r="G453" t="n">
        <v>0.013882219398664</v>
      </c>
      <c r="H453" t="n">
        <v>0.0181050603886748</v>
      </c>
      <c r="I453" t="n">
        <v>0.1136210538004787</v>
      </c>
      <c r="J453" t="n">
        <v>0.1423813113861489</v>
      </c>
      <c r="K453" t="n">
        <v>0.2852659788337621</v>
      </c>
      <c r="L453" t="b">
        <v>1</v>
      </c>
      <c r="M453" t="b">
        <v>0</v>
      </c>
      <c r="N453" t="inlineStr">
        <is>
          <t>ref</t>
        </is>
      </c>
      <c r="O453" t="n">
        <v>90</v>
      </c>
      <c r="P453" t="n">
        <v>0.01428</v>
      </c>
      <c r="Q453" t="n">
        <v>-90</v>
      </c>
      <c r="R453" t="n">
        <v>0.10645</v>
      </c>
      <c r="S453">
        <f>IMAGE("https://mitra.stanford.edu/kundaje/oak/projects/neuro-variants/variant_position/credible/roussos_2024/variant_figures/roussos_2024.childhood.GABA/rs712017_count_position.png",4,220,900)</f>
        <v/>
      </c>
      <c r="T453">
        <f>IMAGE("https://mitra.stanford.edu/kundaje/oak/projects/neuro-variants/variant_position/credible/roussos_2024/variant_figures/roussos_2024.childhood.GABA/rs712017_profile_position.png",4,220,900)</f>
        <v/>
      </c>
    </row>
    <row r="454">
      <c r="A454" t="inlineStr">
        <is>
          <t>chr11</t>
        </is>
      </c>
      <c r="B454" t="n">
        <v>19300979</v>
      </c>
      <c r="C454" t="inlineStr">
        <is>
          <t>T</t>
        </is>
      </c>
      <c r="D454" t="inlineStr">
        <is>
          <t>C</t>
        </is>
      </c>
      <c r="E454" t="inlineStr">
        <is>
          <t>rs813212</t>
        </is>
      </c>
      <c r="F454" t="n">
        <v>0.000375537402</v>
      </c>
      <c r="G454" t="n">
        <v>0.8791829369626646</v>
      </c>
      <c r="H454" t="n">
        <v>0.01339339878766</v>
      </c>
      <c r="I454" t="n">
        <v>0.3267687806490641</v>
      </c>
      <c r="J454" t="n">
        <v>0.1395059789323783</v>
      </c>
      <c r="K454" t="n">
        <v>0.2884529443378175</v>
      </c>
      <c r="L454" t="b">
        <v>0</v>
      </c>
      <c r="M454" t="b">
        <v>0</v>
      </c>
      <c r="N454" t="inlineStr">
        <is>
          <t>alt</t>
        </is>
      </c>
      <c r="O454" t="n">
        <v>60</v>
      </c>
      <c r="P454" t="n">
        <v>0.03265</v>
      </c>
      <c r="Q454" t="n">
        <v>80</v>
      </c>
      <c r="R454" t="n">
        <v>0.06569999999999999</v>
      </c>
      <c r="S454">
        <f>IMAGE("https://mitra.stanford.edu/kundaje/oak/projects/neuro-variants/variant_position/credible/roussos_2024/variant_figures/roussos_2024.childhood.GABA/rs813212_count_position.png",4,220,900)</f>
        <v/>
      </c>
      <c r="T454">
        <f>IMAGE("https://mitra.stanford.edu/kundaje/oak/projects/neuro-variants/variant_position/credible/roussos_2024/variant_figures/roussos_2024.childhood.GABA/rs813212_profile_position.png",4,220,900)</f>
        <v/>
      </c>
    </row>
    <row r="455">
      <c r="A455" t="inlineStr">
        <is>
          <t>chr11</t>
        </is>
      </c>
      <c r="B455" t="n">
        <v>19302550</v>
      </c>
      <c r="C455" t="inlineStr">
        <is>
          <t>T</t>
        </is>
      </c>
      <c r="D455" t="inlineStr">
        <is>
          <t>C</t>
        </is>
      </c>
      <c r="E455" t="inlineStr">
        <is>
          <t>rs1087110</t>
        </is>
      </c>
      <c r="F455" t="n">
        <v>0.0875488758</v>
      </c>
      <c r="G455" t="n">
        <v>0.0393673334879904</v>
      </c>
      <c r="H455" t="n">
        <v>0.0143542358160836</v>
      </c>
      <c r="I455" t="n">
        <v>0.2549861663735014</v>
      </c>
      <c r="J455" t="n">
        <v>0.016485518627882</v>
      </c>
      <c r="K455" t="n">
        <v>0.6718358342155808</v>
      </c>
      <c r="L455" t="b">
        <v>0</v>
      </c>
      <c r="M455" t="b">
        <v>0</v>
      </c>
      <c r="N455" t="inlineStr">
        <is>
          <t>alt</t>
        </is>
      </c>
      <c r="O455" t="n">
        <v>-100</v>
      </c>
      <c r="P455" t="n">
        <v>0.00412</v>
      </c>
      <c r="Q455" t="n">
        <v>95</v>
      </c>
      <c r="R455" t="n">
        <v>0.07135</v>
      </c>
      <c r="S455">
        <f>IMAGE("https://mitra.stanford.edu/kundaje/oak/projects/neuro-variants/variant_position/credible/roussos_2024/variant_figures/roussos_2024.childhood.GABA/rs1087110_count_position.png",4,220,900)</f>
        <v/>
      </c>
      <c r="T455">
        <f>IMAGE("https://mitra.stanford.edu/kundaje/oak/projects/neuro-variants/variant_position/credible/roussos_2024/variant_figures/roussos_2024.childhood.GABA/rs1087110_profile_position.png",4,220,900)</f>
        <v/>
      </c>
    </row>
    <row r="456">
      <c r="A456" t="inlineStr">
        <is>
          <t>chr11</t>
        </is>
      </c>
      <c r="B456" t="n">
        <v>19307579</v>
      </c>
      <c r="C456" t="inlineStr">
        <is>
          <t>C</t>
        </is>
      </c>
      <c r="D456" t="inlineStr">
        <is>
          <t>A</t>
        </is>
      </c>
      <c r="E456" t="inlineStr">
        <is>
          <t>rs1698887</t>
        </is>
      </c>
      <c r="F456" t="n">
        <v>0.0152556854</v>
      </c>
      <c r="G456" t="n">
        <v>0.2199121127002979</v>
      </c>
      <c r="H456" t="n">
        <v>0.0145405942824598</v>
      </c>
      <c r="I456" t="n">
        <v>0.254284077854617</v>
      </c>
      <c r="J456" t="n">
        <v>0.3759334883039099</v>
      </c>
      <c r="K456" t="n">
        <v>0.0955131407797251</v>
      </c>
      <c r="L456" t="b">
        <v>0</v>
      </c>
      <c r="M456" t="b">
        <v>0</v>
      </c>
      <c r="N456" t="inlineStr">
        <is>
          <t>alt</t>
        </is>
      </c>
      <c r="O456" t="n">
        <v>45</v>
      </c>
      <c r="P456" t="n">
        <v>0.00537</v>
      </c>
      <c r="Q456" t="n">
        <v>95</v>
      </c>
      <c r="R456" t="n">
        <v>0.07199999999999999</v>
      </c>
      <c r="S456">
        <f>IMAGE("https://mitra.stanford.edu/kundaje/oak/projects/neuro-variants/variant_position/credible/roussos_2024/variant_figures/roussos_2024.childhood.GABA/rs1698887_count_position.png",4,220,900)</f>
        <v/>
      </c>
      <c r="T456">
        <f>IMAGE("https://mitra.stanford.edu/kundaje/oak/projects/neuro-variants/variant_position/credible/roussos_2024/variant_figures/roussos_2024.childhood.GABA/rs1698887_profile_position.png",4,220,900)</f>
        <v/>
      </c>
    </row>
    <row r="457">
      <c r="A457" t="inlineStr">
        <is>
          <t>chr11</t>
        </is>
      </c>
      <c r="B457" t="n">
        <v>19311710</v>
      </c>
      <c r="C457" t="inlineStr">
        <is>
          <t>T</t>
        </is>
      </c>
      <c r="D457" t="inlineStr">
        <is>
          <t>C</t>
        </is>
      </c>
      <c r="E457" t="inlineStr">
        <is>
          <t>rs11025099</t>
        </is>
      </c>
      <c r="F457" t="n">
        <v>0.05967036</v>
      </c>
      <c r="G457" t="n">
        <v>0.09835866866152849</v>
      </c>
      <c r="H457" t="n">
        <v>0.0132577066534854</v>
      </c>
      <c r="I457" t="n">
        <v>0.3323989630609603</v>
      </c>
      <c r="J457" t="n">
        <v>0.5261282486230654</v>
      </c>
      <c r="K457" t="n">
        <v>0.0441333009780026</v>
      </c>
      <c r="L457" t="b">
        <v>0</v>
      </c>
      <c r="M457" t="b">
        <v>0</v>
      </c>
      <c r="N457" t="inlineStr">
        <is>
          <t>alt</t>
        </is>
      </c>
      <c r="O457" t="n">
        <v>-80</v>
      </c>
      <c r="P457" t="n">
        <v>0.2196</v>
      </c>
      <c r="Q457" t="n">
        <v>-80</v>
      </c>
      <c r="R457" t="n">
        <v>0.652</v>
      </c>
      <c r="S457">
        <f>IMAGE("https://mitra.stanford.edu/kundaje/oak/projects/neuro-variants/variant_position/credible/roussos_2024/variant_figures/roussos_2024.childhood.GABA/rs11025099_count_position.png",4,220,900)</f>
        <v/>
      </c>
      <c r="T457">
        <f>IMAGE("https://mitra.stanford.edu/kundaje/oak/projects/neuro-variants/variant_position/credible/roussos_2024/variant_figures/roussos_2024.childhood.GABA/rs11025099_profile_position.png",4,220,900)</f>
        <v/>
      </c>
    </row>
    <row r="458">
      <c r="A458" t="inlineStr">
        <is>
          <t>chr11</t>
        </is>
      </c>
      <c r="B458" t="n">
        <v>19314074</v>
      </c>
      <c r="C458" t="inlineStr">
        <is>
          <t>C</t>
        </is>
      </c>
      <c r="D458" t="inlineStr">
        <is>
          <t>T</t>
        </is>
      </c>
      <c r="E458" t="inlineStr">
        <is>
          <t>rs10833094</t>
        </is>
      </c>
      <c r="F458" t="n">
        <v>0.080619922</v>
      </c>
      <c r="G458" t="n">
        <v>0.0537318734441952</v>
      </c>
      <c r="H458" t="n">
        <v>0.0194370702194677</v>
      </c>
      <c r="I458" t="n">
        <v>0.08771506755388141</v>
      </c>
      <c r="J458" t="n">
        <v>0.174415195493288</v>
      </c>
      <c r="K458" t="n">
        <v>0.2495805955480896</v>
      </c>
      <c r="L458" t="b">
        <v>0</v>
      </c>
      <c r="M458" t="b">
        <v>0</v>
      </c>
      <c r="N458" t="inlineStr">
        <is>
          <t>alt</t>
        </is>
      </c>
      <c r="O458" t="n">
        <v>-90</v>
      </c>
      <c r="P458" t="n">
        <v>0.02444</v>
      </c>
      <c r="Q458" t="n">
        <v>-75</v>
      </c>
      <c r="R458" t="n">
        <v>0.1667</v>
      </c>
      <c r="S458">
        <f>IMAGE("https://mitra.stanford.edu/kundaje/oak/projects/neuro-variants/variant_position/credible/roussos_2024/variant_figures/roussos_2024.childhood.GABA/rs10833094_count_position.png",4,220,900)</f>
        <v/>
      </c>
      <c r="T458">
        <f>IMAGE("https://mitra.stanford.edu/kundaje/oak/projects/neuro-variants/variant_position/credible/roussos_2024/variant_figures/roussos_2024.childhood.GABA/rs10833094_profile_position.png",4,220,900)</f>
        <v/>
      </c>
    </row>
    <row r="459">
      <c r="A459" t="inlineStr">
        <is>
          <t>chr11</t>
        </is>
      </c>
      <c r="B459" t="n">
        <v>19321010</v>
      </c>
      <c r="C459" t="inlineStr">
        <is>
          <t>G</t>
        </is>
      </c>
      <c r="D459" t="inlineStr">
        <is>
          <t>A</t>
        </is>
      </c>
      <c r="E459" t="inlineStr">
        <is>
          <t>rs57208920</t>
        </is>
      </c>
      <c r="F459" t="n">
        <v>-0.0447153347999999</v>
      </c>
      <c r="G459" t="n">
        <v>0.1874959945733458</v>
      </c>
      <c r="H459" t="n">
        <v>0.0130837844979507</v>
      </c>
      <c r="I459" t="n">
        <v>0.3434885237750965</v>
      </c>
      <c r="J459" t="n">
        <v>0.0547716278193126</v>
      </c>
      <c r="K459" t="n">
        <v>0.4703297974926941</v>
      </c>
      <c r="L459" t="b">
        <v>0</v>
      </c>
      <c r="M459" t="b">
        <v>0</v>
      </c>
      <c r="N459" t="inlineStr">
        <is>
          <t>ref</t>
        </is>
      </c>
      <c r="O459" t="n">
        <v>90</v>
      </c>
      <c r="P459" t="n">
        <v>0.0383</v>
      </c>
      <c r="Q459" t="n">
        <v>95</v>
      </c>
      <c r="R459" t="n">
        <v>0.2351</v>
      </c>
      <c r="S459">
        <f>IMAGE("https://mitra.stanford.edu/kundaje/oak/projects/neuro-variants/variant_position/credible/roussos_2024/variant_figures/roussos_2024.childhood.GABA/rs57208920_count_position.png",4,220,900)</f>
        <v/>
      </c>
      <c r="T459">
        <f>IMAGE("https://mitra.stanford.edu/kundaje/oak/projects/neuro-variants/variant_position/credible/roussos_2024/variant_figures/roussos_2024.childhood.GABA/rs57208920_profile_position.png",4,220,900)</f>
        <v/>
      </c>
    </row>
    <row r="460">
      <c r="A460" t="inlineStr">
        <is>
          <t>chr11</t>
        </is>
      </c>
      <c r="B460" t="n">
        <v>19321717</v>
      </c>
      <c r="C460" t="inlineStr">
        <is>
          <t>C</t>
        </is>
      </c>
      <c r="D460" t="inlineStr">
        <is>
          <t>A</t>
        </is>
      </c>
      <c r="E460" t="inlineStr">
        <is>
          <t>rs10766541</t>
        </is>
      </c>
      <c r="F460" t="n">
        <v>-0.00780218704</v>
      </c>
      <c r="G460" t="n">
        <v>0.5473115948383261</v>
      </c>
      <c r="H460" t="n">
        <v>0.037281683720246</v>
      </c>
      <c r="I460" t="n">
        <v>0.0050982887086203</v>
      </c>
      <c r="J460" t="n">
        <v>0.0235105023978555</v>
      </c>
      <c r="K460" t="n">
        <v>0.6196476427942388</v>
      </c>
      <c r="L460" t="b">
        <v>1</v>
      </c>
      <c r="M460" t="b">
        <v>0</v>
      </c>
      <c r="N460" t="inlineStr">
        <is>
          <t>ref</t>
        </is>
      </c>
      <c r="O460" t="n">
        <v>-90</v>
      </c>
      <c r="P460" t="n">
        <v>0.01043</v>
      </c>
      <c r="Q460" t="n">
        <v>-100</v>
      </c>
      <c r="R460" t="n">
        <v>0.04962</v>
      </c>
      <c r="S460">
        <f>IMAGE("https://mitra.stanford.edu/kundaje/oak/projects/neuro-variants/variant_position/credible/roussos_2024/variant_figures/roussos_2024.childhood.GABA/rs10766541_count_position.png",4,220,900)</f>
        <v/>
      </c>
      <c r="T460">
        <f>IMAGE("https://mitra.stanford.edu/kundaje/oak/projects/neuro-variants/variant_position/credible/roussos_2024/variant_figures/roussos_2024.childhood.GABA/rs10766541_profile_position.png",4,220,900)</f>
        <v/>
      </c>
    </row>
    <row r="461">
      <c r="A461" t="inlineStr">
        <is>
          <t>chr11</t>
        </is>
      </c>
      <c r="B461" t="n">
        <v>19323784</v>
      </c>
      <c r="C461" t="inlineStr">
        <is>
          <t>G</t>
        </is>
      </c>
      <c r="D461" t="inlineStr">
        <is>
          <t>A</t>
        </is>
      </c>
      <c r="E461" t="inlineStr">
        <is>
          <t>rs7940014</t>
        </is>
      </c>
      <c r="F461" t="n">
        <v>0.01560181434</v>
      </c>
      <c r="G461" t="n">
        <v>0.4914446960761411</v>
      </c>
      <c r="H461" t="n">
        <v>0.0236482493872851</v>
      </c>
      <c r="I461" t="n">
        <v>0.0369925913458996</v>
      </c>
      <c r="J461" t="n">
        <v>0.008326527193147699</v>
      </c>
      <c r="K461" t="n">
        <v>0.7716994745052326</v>
      </c>
      <c r="L461" t="b">
        <v>0</v>
      </c>
      <c r="M461" t="b">
        <v>0</v>
      </c>
      <c r="N461" t="inlineStr">
        <is>
          <t>alt</t>
        </is>
      </c>
      <c r="O461" t="n">
        <v>55</v>
      </c>
      <c r="P461" t="n">
        <v>0.000725</v>
      </c>
      <c r="Q461" t="n">
        <v>55</v>
      </c>
      <c r="R461" t="n">
        <v>0.02979</v>
      </c>
      <c r="S461">
        <f>IMAGE("https://mitra.stanford.edu/kundaje/oak/projects/neuro-variants/variant_position/credible/roussos_2024/variant_figures/roussos_2024.childhood.GABA/rs7940014_count_position.png",4,220,900)</f>
        <v/>
      </c>
      <c r="T461">
        <f>IMAGE("https://mitra.stanford.edu/kundaje/oak/projects/neuro-variants/variant_position/credible/roussos_2024/variant_figures/roussos_2024.childhood.GABA/rs7940014_profile_position.png",4,220,900)</f>
        <v/>
      </c>
    </row>
    <row r="462">
      <c r="A462" t="inlineStr">
        <is>
          <t>chr11</t>
        </is>
      </c>
      <c r="B462" t="n">
        <v>19332728</v>
      </c>
      <c r="C462" t="inlineStr">
        <is>
          <t>G</t>
        </is>
      </c>
      <c r="D462" t="inlineStr">
        <is>
          <t>A</t>
        </is>
      </c>
      <c r="E462" t="inlineStr">
        <is>
          <t>rs4757792</t>
        </is>
      </c>
      <c r="F462" t="n">
        <v>-0.0754098524</v>
      </c>
      <c r="G462" t="n">
        <v>0.0600953486706835</v>
      </c>
      <c r="H462" t="n">
        <v>0.014912729264751</v>
      </c>
      <c r="I462" t="n">
        <v>0.2283943453931274</v>
      </c>
      <c r="J462" t="n">
        <v>0.0460775690561453</v>
      </c>
      <c r="K462" t="n">
        <v>0.5176555247286635</v>
      </c>
      <c r="L462" t="b">
        <v>0</v>
      </c>
      <c r="M462" t="b">
        <v>0</v>
      </c>
      <c r="N462" t="inlineStr">
        <is>
          <t>ref</t>
        </is>
      </c>
      <c r="O462" t="n">
        <v>100</v>
      </c>
      <c r="P462" t="n">
        <v>0.001747</v>
      </c>
      <c r="Q462" t="n">
        <v>10</v>
      </c>
      <c r="R462" t="n">
        <v>0.007934999999999999</v>
      </c>
      <c r="S462">
        <f>IMAGE("https://mitra.stanford.edu/kundaje/oak/projects/neuro-variants/variant_position/credible/roussos_2024/variant_figures/roussos_2024.childhood.GABA/rs4757792_count_position.png",4,220,900)</f>
        <v/>
      </c>
      <c r="T462">
        <f>IMAGE("https://mitra.stanford.edu/kundaje/oak/projects/neuro-variants/variant_position/credible/roussos_2024/variant_figures/roussos_2024.childhood.GABA/rs4757792_profile_position.png",4,220,900)</f>
        <v/>
      </c>
    </row>
    <row r="463">
      <c r="A463" t="inlineStr">
        <is>
          <t>chr11</t>
        </is>
      </c>
      <c r="B463" t="n">
        <v>24360352</v>
      </c>
      <c r="C463" t="inlineStr">
        <is>
          <t>A</t>
        </is>
      </c>
      <c r="D463" t="inlineStr">
        <is>
          <t>G</t>
        </is>
      </c>
      <c r="E463" t="inlineStr">
        <is>
          <t>rs17234749</t>
        </is>
      </c>
      <c r="F463" t="n">
        <v>-0.0548751686</v>
      </c>
      <c r="G463" t="n">
        <v>0.1368535825927988</v>
      </c>
      <c r="H463" t="n">
        <v>0.0225484303941957</v>
      </c>
      <c r="I463" t="n">
        <v>0.0444226143684913</v>
      </c>
      <c r="J463" t="n">
        <v>0.0051737136395048</v>
      </c>
      <c r="K463" t="n">
        <v>0.8095515374201833</v>
      </c>
      <c r="L463" t="b">
        <v>0</v>
      </c>
      <c r="M463" t="b">
        <v>0</v>
      </c>
      <c r="N463" t="inlineStr">
        <is>
          <t>ref</t>
        </is>
      </c>
      <c r="O463" t="n">
        <v>-80</v>
      </c>
      <c r="P463" t="n">
        <v>0.004837</v>
      </c>
      <c r="Q463" t="n">
        <v>90</v>
      </c>
      <c r="R463" t="n">
        <v>0.02133</v>
      </c>
      <c r="S463">
        <f>IMAGE("https://mitra.stanford.edu/kundaje/oak/projects/neuro-variants/variant_position/credible/roussos_2024/variant_figures/roussos_2024.childhood.GABA/rs17234749_count_position.png",4,220,900)</f>
        <v/>
      </c>
      <c r="T463">
        <f>IMAGE("https://mitra.stanford.edu/kundaje/oak/projects/neuro-variants/variant_position/credible/roussos_2024/variant_figures/roussos_2024.childhood.GABA/rs17234749_profile_position.png",4,220,900)</f>
        <v/>
      </c>
    </row>
    <row r="464">
      <c r="A464" t="inlineStr">
        <is>
          <t>chr11</t>
        </is>
      </c>
      <c r="B464" t="n">
        <v>24366037</v>
      </c>
      <c r="C464" t="inlineStr">
        <is>
          <t>C</t>
        </is>
      </c>
      <c r="D464" t="inlineStr">
        <is>
          <t>T</t>
        </is>
      </c>
      <c r="E464" t="inlineStr">
        <is>
          <t>rs1025883</t>
        </is>
      </c>
      <c r="F464" t="n">
        <v>-0.0018103122</v>
      </c>
      <c r="G464" t="n">
        <v>0.6623911160808553</v>
      </c>
      <c r="H464" t="n">
        <v>0.0225316830010633</v>
      </c>
      <c r="I464" t="n">
        <v>0.0452551567899123</v>
      </c>
      <c r="J464" t="n">
        <v>0.0057192519528386</v>
      </c>
      <c r="K464" t="n">
        <v>0.801042212080992</v>
      </c>
      <c r="L464" t="b">
        <v>0</v>
      </c>
      <c r="M464" t="b">
        <v>0</v>
      </c>
      <c r="N464" t="inlineStr">
        <is>
          <t>ref</t>
        </is>
      </c>
      <c r="O464" t="n">
        <v>95</v>
      </c>
      <c r="P464" t="n">
        <v>0.004177</v>
      </c>
      <c r="Q464" t="n">
        <v>90</v>
      </c>
      <c r="R464" t="n">
        <v>0.1005</v>
      </c>
      <c r="S464">
        <f>IMAGE("https://mitra.stanford.edu/kundaje/oak/projects/neuro-variants/variant_position/credible/roussos_2024/variant_figures/roussos_2024.childhood.GABA/rs1025883_count_position.png",4,220,900)</f>
        <v/>
      </c>
      <c r="T464">
        <f>IMAGE("https://mitra.stanford.edu/kundaje/oak/projects/neuro-variants/variant_position/credible/roussos_2024/variant_figures/roussos_2024.childhood.GABA/rs1025883_profile_position.png",4,220,900)</f>
        <v/>
      </c>
    </row>
    <row r="465">
      <c r="A465" t="inlineStr">
        <is>
          <t>chr11</t>
        </is>
      </c>
      <c r="B465" t="n">
        <v>24367332</v>
      </c>
      <c r="C465" t="inlineStr">
        <is>
          <t>A</t>
        </is>
      </c>
      <c r="D465" t="inlineStr">
        <is>
          <t>T</t>
        </is>
      </c>
      <c r="E465" t="inlineStr">
        <is>
          <t>rs11027838</t>
        </is>
      </c>
      <c r="F465" t="n">
        <v>-0.0117115186999999</v>
      </c>
      <c r="G465" t="n">
        <v>0.5979986929573147</v>
      </c>
      <c r="H465" t="n">
        <v>0.0219766693571442</v>
      </c>
      <c r="I465" t="n">
        <v>0.0501845590690166</v>
      </c>
      <c r="J465" t="n">
        <v>0.0521277041318505</v>
      </c>
      <c r="K465" t="n">
        <v>0.4775458247860603</v>
      </c>
      <c r="L465" t="b">
        <v>0</v>
      </c>
      <c r="M465" t="b">
        <v>0</v>
      </c>
      <c r="N465" t="inlineStr">
        <is>
          <t>ref</t>
        </is>
      </c>
      <c r="O465" t="n">
        <v>-90</v>
      </c>
      <c r="P465" t="n">
        <v>0.01127</v>
      </c>
      <c r="Q465" t="n">
        <v>90</v>
      </c>
      <c r="R465" t="n">
        <v>0.0159</v>
      </c>
      <c r="S465">
        <f>IMAGE("https://mitra.stanford.edu/kundaje/oak/projects/neuro-variants/variant_position/credible/roussos_2024/variant_figures/roussos_2024.childhood.GABA/rs11027838_count_position.png",4,220,900)</f>
        <v/>
      </c>
      <c r="T465">
        <f>IMAGE("https://mitra.stanford.edu/kundaje/oak/projects/neuro-variants/variant_position/credible/roussos_2024/variant_figures/roussos_2024.childhood.GABA/rs11027838_profile_position.png",4,220,900)</f>
        <v/>
      </c>
    </row>
    <row r="466">
      <c r="A466" t="inlineStr">
        <is>
          <t>chr11</t>
        </is>
      </c>
      <c r="B466" t="n">
        <v>24373675</v>
      </c>
      <c r="C466" t="inlineStr">
        <is>
          <t>T</t>
        </is>
      </c>
      <c r="D466" t="inlineStr">
        <is>
          <t>C</t>
        </is>
      </c>
      <c r="E466" t="inlineStr">
        <is>
          <t>rs72875837</t>
        </is>
      </c>
      <c r="F466" t="n">
        <v>0.0477463169999999</v>
      </c>
      <c r="G466" t="n">
        <v>0.1379908477017281</v>
      </c>
      <c r="H466" t="n">
        <v>0.0131921219159079</v>
      </c>
      <c r="I466" t="n">
        <v>0.3335051096260994</v>
      </c>
      <c r="J466" t="n">
        <v>0.1065705430252768</v>
      </c>
      <c r="K466" t="n">
        <v>0.3470675253556226</v>
      </c>
      <c r="L466" t="b">
        <v>0</v>
      </c>
      <c r="M466" t="b">
        <v>0</v>
      </c>
      <c r="N466" t="inlineStr">
        <is>
          <t>alt</t>
        </is>
      </c>
      <c r="O466" t="n">
        <v>-100</v>
      </c>
      <c r="P466" t="n">
        <v>0.03754</v>
      </c>
      <c r="Q466" t="n">
        <v>-65</v>
      </c>
      <c r="R466" t="n">
        <v>0.1382</v>
      </c>
      <c r="S466">
        <f>IMAGE("https://mitra.stanford.edu/kundaje/oak/projects/neuro-variants/variant_position/credible/roussos_2024/variant_figures/roussos_2024.childhood.GABA/rs72875837_count_position.png",4,220,900)</f>
        <v/>
      </c>
      <c r="T466">
        <f>IMAGE("https://mitra.stanford.edu/kundaje/oak/projects/neuro-variants/variant_position/credible/roussos_2024/variant_figures/roussos_2024.childhood.GABA/rs72875837_profile_position.png",4,220,900)</f>
        <v/>
      </c>
    </row>
    <row r="467">
      <c r="A467" t="inlineStr">
        <is>
          <t>chr11</t>
        </is>
      </c>
      <c r="B467" t="n">
        <v>24374405</v>
      </c>
      <c r="C467" t="inlineStr">
        <is>
          <t>G</t>
        </is>
      </c>
      <c r="D467" t="inlineStr">
        <is>
          <t>T</t>
        </is>
      </c>
      <c r="E467" t="inlineStr">
        <is>
          <t>rs1470279</t>
        </is>
      </c>
      <c r="F467" t="n">
        <v>-0.012443489568</v>
      </c>
      <c r="G467" t="n">
        <v>0.573201030613263</v>
      </c>
      <c r="H467" t="n">
        <v>0.0124574848545982</v>
      </c>
      <c r="I467" t="n">
        <v>0.3807164770082533</v>
      </c>
      <c r="J467" t="n">
        <v>0.0042983393017946</v>
      </c>
      <c r="K467" t="n">
        <v>0.8261737324014699</v>
      </c>
      <c r="L467" t="b">
        <v>0</v>
      </c>
      <c r="M467" t="b">
        <v>0</v>
      </c>
      <c r="N467" t="inlineStr">
        <is>
          <t>ref</t>
        </is>
      </c>
      <c r="O467" t="n">
        <v>-90</v>
      </c>
      <c r="P467" t="n">
        <v>0.003555</v>
      </c>
      <c r="Q467" t="n">
        <v>90</v>
      </c>
      <c r="R467" t="n">
        <v>0.0964</v>
      </c>
      <c r="S467">
        <f>IMAGE("https://mitra.stanford.edu/kundaje/oak/projects/neuro-variants/variant_position/credible/roussos_2024/variant_figures/roussos_2024.childhood.GABA/rs1470279_count_position.png",4,220,900)</f>
        <v/>
      </c>
      <c r="T467">
        <f>IMAGE("https://mitra.stanford.edu/kundaje/oak/projects/neuro-variants/variant_position/credible/roussos_2024/variant_figures/roussos_2024.childhood.GABA/rs1470279_profile_position.png",4,220,900)</f>
        <v/>
      </c>
    </row>
    <row r="468">
      <c r="A468" t="inlineStr">
        <is>
          <t>chr11</t>
        </is>
      </c>
      <c r="B468" t="n">
        <v>24375679</v>
      </c>
      <c r="C468" t="inlineStr">
        <is>
          <t>T</t>
        </is>
      </c>
      <c r="D468" t="inlineStr">
        <is>
          <t>C</t>
        </is>
      </c>
      <c r="E468" t="inlineStr">
        <is>
          <t>rs35846200</t>
        </is>
      </c>
      <c r="F468" t="n">
        <v>0.0410925832</v>
      </c>
      <c r="G468" t="n">
        <v>0.1981908132959447</v>
      </c>
      <c r="H468" t="n">
        <v>0.0104006992900852</v>
      </c>
      <c r="I468" t="n">
        <v>0.5963464221854455</v>
      </c>
      <c r="J468" t="n">
        <v>0.0132489371950325</v>
      </c>
      <c r="K468" t="n">
        <v>0.7061571993550557</v>
      </c>
      <c r="L468" t="b">
        <v>0</v>
      </c>
      <c r="M468" t="b">
        <v>0</v>
      </c>
      <c r="N468" t="inlineStr">
        <is>
          <t>alt</t>
        </is>
      </c>
      <c r="O468" t="n">
        <v>80</v>
      </c>
      <c r="P468" t="n">
        <v>0.01698</v>
      </c>
      <c r="Q468" t="n">
        <v>50</v>
      </c>
      <c r="R468" t="n">
        <v>0.0956</v>
      </c>
      <c r="S468">
        <f>IMAGE("https://mitra.stanford.edu/kundaje/oak/projects/neuro-variants/variant_position/credible/roussos_2024/variant_figures/roussos_2024.childhood.GABA/rs35846200_count_position.png",4,220,900)</f>
        <v/>
      </c>
      <c r="T468">
        <f>IMAGE("https://mitra.stanford.edu/kundaje/oak/projects/neuro-variants/variant_position/credible/roussos_2024/variant_figures/roussos_2024.childhood.GABA/rs35846200_profile_position.png",4,220,900)</f>
        <v/>
      </c>
    </row>
    <row r="469">
      <c r="A469" t="inlineStr">
        <is>
          <t>chr11</t>
        </is>
      </c>
      <c r="B469" t="n">
        <v>24384375</v>
      </c>
      <c r="C469" t="inlineStr">
        <is>
          <t>A</t>
        </is>
      </c>
      <c r="D469" t="inlineStr">
        <is>
          <t>C</t>
        </is>
      </c>
      <c r="E469" t="inlineStr">
        <is>
          <t>rs11027859</t>
        </is>
      </c>
      <c r="F469" t="n">
        <v>0.0150100194</v>
      </c>
      <c r="G469" t="n">
        <v>0.489634004132588</v>
      </c>
      <c r="H469" t="n">
        <v>0.007097666554612</v>
      </c>
      <c r="I469" t="n">
        <v>0.9255391924823444</v>
      </c>
      <c r="J469" t="n">
        <v>0.032980461142175</v>
      </c>
      <c r="K469" t="n">
        <v>0.5669066131827107</v>
      </c>
      <c r="L469" t="b">
        <v>0</v>
      </c>
      <c r="M469" t="b">
        <v>0</v>
      </c>
      <c r="N469" t="inlineStr">
        <is>
          <t>alt</t>
        </is>
      </c>
      <c r="O469" t="n">
        <v>-10</v>
      </c>
      <c r="P469" t="n">
        <v>0.0006695</v>
      </c>
      <c r="Q469" t="n">
        <v>100</v>
      </c>
      <c r="R469" t="n">
        <v>0.09125</v>
      </c>
      <c r="S469">
        <f>IMAGE("https://mitra.stanford.edu/kundaje/oak/projects/neuro-variants/variant_position/credible/roussos_2024/variant_figures/roussos_2024.childhood.GABA/rs11027859_count_position.png",4,220,900)</f>
        <v/>
      </c>
      <c r="T469">
        <f>IMAGE("https://mitra.stanford.edu/kundaje/oak/projects/neuro-variants/variant_position/credible/roussos_2024/variant_figures/roussos_2024.childhood.GABA/rs11027859_profile_position.png",4,220,900)</f>
        <v/>
      </c>
    </row>
    <row r="470">
      <c r="A470" t="inlineStr">
        <is>
          <t>chr11</t>
        </is>
      </c>
      <c r="B470" t="n">
        <v>24533602</v>
      </c>
      <c r="C470" t="inlineStr">
        <is>
          <t>G</t>
        </is>
      </c>
      <c r="D470" t="inlineStr">
        <is>
          <t>A</t>
        </is>
      </c>
      <c r="E470" t="inlineStr">
        <is>
          <t>rs11027983</t>
        </is>
      </c>
      <c r="F470" t="n">
        <v>0.0638761836</v>
      </c>
      <c r="G470" t="n">
        <v>0.0995174087679068</v>
      </c>
      <c r="H470" t="n">
        <v>0.0220812663231831</v>
      </c>
      <c r="I470" t="n">
        <v>0.049641678581153</v>
      </c>
      <c r="J470" t="n">
        <v>0.0219545140415907</v>
      </c>
      <c r="K470" t="n">
        <v>0.628696093752936</v>
      </c>
      <c r="L470" t="b">
        <v>0</v>
      </c>
      <c r="M470" t="b">
        <v>0</v>
      </c>
      <c r="N470" t="inlineStr">
        <is>
          <t>alt</t>
        </is>
      </c>
      <c r="O470" t="n">
        <v>-100</v>
      </c>
      <c r="P470" t="n">
        <v>0.00793</v>
      </c>
      <c r="Q470" t="n">
        <v>65</v>
      </c>
      <c r="R470" t="n">
        <v>0.0598</v>
      </c>
      <c r="S470">
        <f>IMAGE("https://mitra.stanford.edu/kundaje/oak/projects/neuro-variants/variant_position/credible/roussos_2024/variant_figures/roussos_2024.childhood.GABA/rs11027983_count_position.png",4,220,900)</f>
        <v/>
      </c>
      <c r="T470">
        <f>IMAGE("https://mitra.stanford.edu/kundaje/oak/projects/neuro-variants/variant_position/credible/roussos_2024/variant_figures/roussos_2024.childhood.GABA/rs11027983_profile_position.png",4,220,900)</f>
        <v/>
      </c>
    </row>
    <row r="471">
      <c r="A471" t="inlineStr">
        <is>
          <t>chr11</t>
        </is>
      </c>
      <c r="B471" t="n">
        <v>24544101</v>
      </c>
      <c r="C471" t="inlineStr">
        <is>
          <t>C</t>
        </is>
      </c>
      <c r="D471" t="inlineStr">
        <is>
          <t>T</t>
        </is>
      </c>
      <c r="E471" t="inlineStr">
        <is>
          <t>rs1396844</t>
        </is>
      </c>
      <c r="F471" t="n">
        <v>-0.227221624</v>
      </c>
      <c r="G471" t="n">
        <v>0.0037030509376861</v>
      </c>
      <c r="H471" t="n">
        <v>0.0329062025030232</v>
      </c>
      <c r="I471" t="n">
        <v>0.0103177874259422</v>
      </c>
      <c r="J471" t="n">
        <v>0.2157829155410357</v>
      </c>
      <c r="K471" t="n">
        <v>0.2022167310998491</v>
      </c>
      <c r="L471" t="b">
        <v>1</v>
      </c>
      <c r="M471" t="b">
        <v>1</v>
      </c>
      <c r="N471" t="inlineStr">
        <is>
          <t>ref</t>
        </is>
      </c>
      <c r="O471" t="n">
        <v>-100</v>
      </c>
      <c r="P471" t="n">
        <v>0.01445</v>
      </c>
      <c r="Q471" t="n">
        <v>-100</v>
      </c>
      <c r="R471" t="n">
        <v>0.1392</v>
      </c>
      <c r="S471">
        <f>IMAGE("https://mitra.stanford.edu/kundaje/oak/projects/neuro-variants/variant_position/credible/roussos_2024/variant_figures/roussos_2024.childhood.GABA/rs1396844_count_position.png",4,220,900)</f>
        <v/>
      </c>
      <c r="T471">
        <f>IMAGE("https://mitra.stanford.edu/kundaje/oak/projects/neuro-variants/variant_position/credible/roussos_2024/variant_figures/roussos_2024.childhood.GABA/rs1396844_profile_position.png",4,220,900)</f>
        <v/>
      </c>
    </row>
    <row r="472">
      <c r="A472" t="inlineStr">
        <is>
          <t>chr11</t>
        </is>
      </c>
      <c r="B472" t="n">
        <v>24547843</v>
      </c>
      <c r="C472" t="inlineStr">
        <is>
          <t>A</t>
        </is>
      </c>
      <c r="D472" t="inlineStr">
        <is>
          <t>G</t>
        </is>
      </c>
      <c r="E472" t="inlineStr">
        <is>
          <t>rs11028002</t>
        </is>
      </c>
      <c r="F472" t="n">
        <v>0.0417836162</v>
      </c>
      <c r="G472" t="n">
        <v>0.1875678567588633</v>
      </c>
      <c r="H472" t="n">
        <v>0.0148962064874771</v>
      </c>
      <c r="I472" t="n">
        <v>0.230472351408388</v>
      </c>
      <c r="J472" t="n">
        <v>0.0167598584322841</v>
      </c>
      <c r="K472" t="n">
        <v>0.6695567841252841</v>
      </c>
      <c r="L472" t="b">
        <v>0</v>
      </c>
      <c r="M472" t="b">
        <v>0</v>
      </c>
      <c r="N472" t="inlineStr">
        <is>
          <t>alt</t>
        </is>
      </c>
      <c r="O472" t="n">
        <v>-60</v>
      </c>
      <c r="P472" t="n">
        <v>0.002941</v>
      </c>
      <c r="Q472" t="n">
        <v>-60</v>
      </c>
      <c r="R472" t="n">
        <v>0.05463</v>
      </c>
      <c r="S472">
        <f>IMAGE("https://mitra.stanford.edu/kundaje/oak/projects/neuro-variants/variant_position/credible/roussos_2024/variant_figures/roussos_2024.childhood.GABA/rs11028002_count_position.png",4,220,900)</f>
        <v/>
      </c>
      <c r="T472">
        <f>IMAGE("https://mitra.stanford.edu/kundaje/oak/projects/neuro-variants/variant_position/credible/roussos_2024/variant_figures/roussos_2024.childhood.GABA/rs11028002_profile_position.png",4,220,900)</f>
        <v/>
      </c>
    </row>
    <row r="473">
      <c r="A473" t="inlineStr">
        <is>
          <t>chr11</t>
        </is>
      </c>
      <c r="B473" t="n">
        <v>24551870</v>
      </c>
      <c r="C473" t="inlineStr">
        <is>
          <t>C</t>
        </is>
      </c>
      <c r="D473" t="inlineStr">
        <is>
          <t>T</t>
        </is>
      </c>
      <c r="E473" t="inlineStr">
        <is>
          <t>rs11028007</t>
        </is>
      </c>
      <c r="F473" t="n">
        <v>-0.0853983468</v>
      </c>
      <c r="G473" t="n">
        <v>0.0489149309359004</v>
      </c>
      <c r="H473" t="n">
        <v>0.0253947528524264</v>
      </c>
      <c r="I473" t="n">
        <v>0.0263376728257902</v>
      </c>
      <c r="J473" t="n">
        <v>0.0028878976356515</v>
      </c>
      <c r="K473" t="n">
        <v>0.8656024242911057</v>
      </c>
      <c r="L473" t="b">
        <v>0</v>
      </c>
      <c r="M473" t="b">
        <v>0</v>
      </c>
      <c r="N473" t="inlineStr">
        <is>
          <t>ref</t>
        </is>
      </c>
      <c r="O473" t="n">
        <v>-95</v>
      </c>
      <c r="P473" t="n">
        <v>0.006813</v>
      </c>
      <c r="Q473" t="n">
        <v>40</v>
      </c>
      <c r="R473" t="n">
        <v>0.11414</v>
      </c>
      <c r="S473">
        <f>IMAGE("https://mitra.stanford.edu/kundaje/oak/projects/neuro-variants/variant_position/credible/roussos_2024/variant_figures/roussos_2024.childhood.GABA/rs11028007_count_position.png",4,220,900)</f>
        <v/>
      </c>
      <c r="T473">
        <f>IMAGE("https://mitra.stanford.edu/kundaje/oak/projects/neuro-variants/variant_position/credible/roussos_2024/variant_figures/roussos_2024.childhood.GABA/rs11028007_profile_position.png",4,220,900)</f>
        <v/>
      </c>
    </row>
    <row r="474">
      <c r="A474" t="inlineStr">
        <is>
          <t>chr11</t>
        </is>
      </c>
      <c r="B474" t="n">
        <v>24551903</v>
      </c>
      <c r="C474" t="inlineStr">
        <is>
          <t>T</t>
        </is>
      </c>
      <c r="D474" t="inlineStr">
        <is>
          <t>C</t>
        </is>
      </c>
      <c r="E474" t="inlineStr">
        <is>
          <t>rs10834383</t>
        </is>
      </c>
      <c r="F474" t="n">
        <v>0.018173764</v>
      </c>
      <c r="G474" t="n">
        <v>0.377984688117723</v>
      </c>
      <c r="H474" t="n">
        <v>0.009003603822538101</v>
      </c>
      <c r="I474" t="n">
        <v>0.7285806485532028</v>
      </c>
      <c r="J474" t="n">
        <v>0.0034030700927728</v>
      </c>
      <c r="K474" t="n">
        <v>0.8530559247783845</v>
      </c>
      <c r="L474" t="b">
        <v>0</v>
      </c>
      <c r="M474" t="b">
        <v>0</v>
      </c>
      <c r="N474" t="inlineStr">
        <is>
          <t>alt</t>
        </is>
      </c>
      <c r="O474" t="n">
        <v>0</v>
      </c>
      <c r="P474" t="n">
        <v>0</v>
      </c>
      <c r="Q474" t="n">
        <v>5</v>
      </c>
      <c r="R474" t="n">
        <v>0.01465</v>
      </c>
      <c r="S474">
        <f>IMAGE("https://mitra.stanford.edu/kundaje/oak/projects/neuro-variants/variant_position/credible/roussos_2024/variant_figures/roussos_2024.childhood.GABA/rs10834383_count_position.png",4,220,900)</f>
        <v/>
      </c>
      <c r="T474">
        <f>IMAGE("https://mitra.stanford.edu/kundaje/oak/projects/neuro-variants/variant_position/credible/roussos_2024/variant_figures/roussos_2024.childhood.GABA/rs10834383_profile_position.png",4,220,900)</f>
        <v/>
      </c>
    </row>
    <row r="475">
      <c r="A475" t="inlineStr">
        <is>
          <t>chr11</t>
        </is>
      </c>
      <c r="B475" t="n">
        <v>24558404</v>
      </c>
      <c r="C475" t="inlineStr">
        <is>
          <t>A</t>
        </is>
      </c>
      <c r="D475" t="inlineStr">
        <is>
          <t>G</t>
        </is>
      </c>
      <c r="E475" t="inlineStr">
        <is>
          <t>rs1509611</t>
        </is>
      </c>
      <c r="F475" t="n">
        <v>-0.152285746</v>
      </c>
      <c r="G475" t="n">
        <v>0.0107842969612141</v>
      </c>
      <c r="H475" t="n">
        <v>0.0211063894442292</v>
      </c>
      <c r="I475" t="n">
        <v>0.0646924771947755</v>
      </c>
      <c r="J475" t="n">
        <v>0.1022041423216267</v>
      </c>
      <c r="K475" t="n">
        <v>0.3436136240256067</v>
      </c>
      <c r="L475" t="b">
        <v>1</v>
      </c>
      <c r="M475" t="b">
        <v>0</v>
      </c>
      <c r="N475" t="inlineStr">
        <is>
          <t>ref</t>
        </is>
      </c>
      <c r="O475" t="n">
        <v>80</v>
      </c>
      <c r="P475" t="n">
        <v>0.02524</v>
      </c>
      <c r="Q475" t="n">
        <v>0</v>
      </c>
      <c r="R475" t="n">
        <v>0</v>
      </c>
      <c r="S475">
        <f>IMAGE("https://mitra.stanford.edu/kundaje/oak/projects/neuro-variants/variant_position/credible/roussos_2024/variant_figures/roussos_2024.childhood.GABA/rs1509611_count_position.png",4,220,900)</f>
        <v/>
      </c>
      <c r="T475">
        <f>IMAGE("https://mitra.stanford.edu/kundaje/oak/projects/neuro-variants/variant_position/credible/roussos_2024/variant_figures/roussos_2024.childhood.GABA/rs1509611_profile_position.png",4,220,900)</f>
        <v/>
      </c>
    </row>
    <row r="476">
      <c r="A476" t="inlineStr">
        <is>
          <t>chr11</t>
        </is>
      </c>
      <c r="B476" t="n">
        <v>24559498</v>
      </c>
      <c r="C476" t="inlineStr">
        <is>
          <t>A</t>
        </is>
      </c>
      <c r="D476" t="inlineStr">
        <is>
          <t>G</t>
        </is>
      </c>
      <c r="E476" t="inlineStr">
        <is>
          <t>rs11028012</t>
        </is>
      </c>
      <c r="F476" t="n">
        <v>0.090451213</v>
      </c>
      <c r="G476" t="n">
        <v>0.0380199622999307</v>
      </c>
      <c r="H476" t="n">
        <v>0.0123796137771157</v>
      </c>
      <c r="I476" t="n">
        <v>0.3863449127591172</v>
      </c>
      <c r="J476" t="n">
        <v>0.0013245795899561</v>
      </c>
      <c r="K476" t="n">
        <v>0.9030093060525928</v>
      </c>
      <c r="L476" t="b">
        <v>0</v>
      </c>
      <c r="M476" t="b">
        <v>0</v>
      </c>
      <c r="N476" t="inlineStr">
        <is>
          <t>alt</t>
        </is>
      </c>
      <c r="O476" t="n">
        <v>80</v>
      </c>
      <c r="P476" t="n">
        <v>0.00715</v>
      </c>
      <c r="Q476" t="n">
        <v>-60</v>
      </c>
      <c r="R476" t="n">
        <v>0.0214</v>
      </c>
      <c r="S476">
        <f>IMAGE("https://mitra.stanford.edu/kundaje/oak/projects/neuro-variants/variant_position/credible/roussos_2024/variant_figures/roussos_2024.childhood.GABA/rs11028012_count_position.png",4,220,900)</f>
        <v/>
      </c>
      <c r="T476">
        <f>IMAGE("https://mitra.stanford.edu/kundaje/oak/projects/neuro-variants/variant_position/credible/roussos_2024/variant_figures/roussos_2024.childhood.GABA/rs11028012_profile_position.png",4,220,900)</f>
        <v/>
      </c>
    </row>
    <row r="477">
      <c r="A477" t="inlineStr">
        <is>
          <t>chr11</t>
        </is>
      </c>
      <c r="B477" t="n">
        <v>24562187</v>
      </c>
      <c r="C477" t="inlineStr">
        <is>
          <t>A</t>
        </is>
      </c>
      <c r="D477" t="inlineStr">
        <is>
          <t>G</t>
        </is>
      </c>
      <c r="E477" t="inlineStr">
        <is>
          <t>rs1509615</t>
        </is>
      </c>
      <c r="F477" t="n">
        <v>-0.0113939492</v>
      </c>
      <c r="G477" t="n">
        <v>0.5954642836033227</v>
      </c>
      <c r="H477" t="n">
        <v>0.0350429947744922</v>
      </c>
      <c r="I477" t="n">
        <v>0.0066214164009003</v>
      </c>
      <c r="J477" t="n">
        <v>0.0265449938221188</v>
      </c>
      <c r="K477" t="n">
        <v>0.6128316979292107</v>
      </c>
      <c r="L477" t="b">
        <v>1</v>
      </c>
      <c r="M477" t="b">
        <v>0</v>
      </c>
      <c r="N477" t="inlineStr">
        <is>
          <t>ref</t>
        </is>
      </c>
      <c r="O477" t="n">
        <v>100</v>
      </c>
      <c r="P477" t="n">
        <v>0.00653</v>
      </c>
      <c r="Q477" t="n">
        <v>-100</v>
      </c>
      <c r="R477" t="n">
        <v>0.08699999999999999</v>
      </c>
      <c r="S477">
        <f>IMAGE("https://mitra.stanford.edu/kundaje/oak/projects/neuro-variants/variant_position/credible/roussos_2024/variant_figures/roussos_2024.childhood.GABA/rs1509615_count_position.png",4,220,900)</f>
        <v/>
      </c>
      <c r="T477">
        <f>IMAGE("https://mitra.stanford.edu/kundaje/oak/projects/neuro-variants/variant_position/credible/roussos_2024/variant_figures/roussos_2024.childhood.GABA/rs1509615_profile_position.png",4,220,900)</f>
        <v/>
      </c>
    </row>
    <row r="478">
      <c r="A478" t="inlineStr">
        <is>
          <t>chr11</t>
        </is>
      </c>
      <c r="B478" t="n">
        <v>24562296</v>
      </c>
      <c r="C478" t="inlineStr">
        <is>
          <t>C</t>
        </is>
      </c>
      <c r="D478" t="inlineStr">
        <is>
          <t>T</t>
        </is>
      </c>
      <c r="E478" t="inlineStr">
        <is>
          <t>rs6484058</t>
        </is>
      </c>
      <c r="F478" t="n">
        <v>-0.0005235146439998999</v>
      </c>
      <c r="G478" t="n">
        <v>0.9299309375326744</v>
      </c>
      <c r="H478" t="n">
        <v>0.0062980271378857</v>
      </c>
      <c r="I478" t="n">
        <v>0.9736495434150764</v>
      </c>
      <c r="J478" t="n">
        <v>0.0319176561747397</v>
      </c>
      <c r="K478" t="n">
        <v>0.5791985210697248</v>
      </c>
      <c r="L478" t="b">
        <v>0</v>
      </c>
      <c r="M478" t="b">
        <v>0</v>
      </c>
      <c r="N478" t="inlineStr">
        <is>
          <t>ref</t>
        </is>
      </c>
      <c r="O478" t="n">
        <v>5</v>
      </c>
      <c r="P478" t="n">
        <v>0.000778</v>
      </c>
      <c r="Q478" t="n">
        <v>-100</v>
      </c>
      <c r="R478" t="n">
        <v>0.10254</v>
      </c>
      <c r="S478">
        <f>IMAGE("https://mitra.stanford.edu/kundaje/oak/projects/neuro-variants/variant_position/credible/roussos_2024/variant_figures/roussos_2024.childhood.GABA/rs6484058_count_position.png",4,220,900)</f>
        <v/>
      </c>
      <c r="T478">
        <f>IMAGE("https://mitra.stanford.edu/kundaje/oak/projects/neuro-variants/variant_position/credible/roussos_2024/variant_figures/roussos_2024.childhood.GABA/rs6484058_profile_position.png",4,220,900)</f>
        <v/>
      </c>
    </row>
    <row r="479">
      <c r="A479" t="inlineStr">
        <is>
          <t>chr11</t>
        </is>
      </c>
      <c r="B479" t="n">
        <v>24562993</v>
      </c>
      <c r="C479" t="inlineStr">
        <is>
          <t>A</t>
        </is>
      </c>
      <c r="D479" t="inlineStr">
        <is>
          <t>G</t>
        </is>
      </c>
      <c r="E479" t="inlineStr">
        <is>
          <t>rs11028020</t>
        </is>
      </c>
      <c r="F479" t="n">
        <v>0.115046124</v>
      </c>
      <c r="G479" t="n">
        <v>0.0195274075401002</v>
      </c>
      <c r="H479" t="n">
        <v>0.0188540662151907</v>
      </c>
      <c r="I479" t="n">
        <v>0.0969582495987866</v>
      </c>
      <c r="J479" t="n">
        <v>0.1288119620531506</v>
      </c>
      <c r="K479" t="n">
        <v>0.3004729112206347</v>
      </c>
      <c r="L479" t="b">
        <v>1</v>
      </c>
      <c r="M479" t="b">
        <v>0</v>
      </c>
      <c r="N479" t="inlineStr">
        <is>
          <t>alt</t>
        </is>
      </c>
      <c r="O479" t="n">
        <v>-15</v>
      </c>
      <c r="P479" t="n">
        <v>0.001312</v>
      </c>
      <c r="Q479" t="n">
        <v>80</v>
      </c>
      <c r="R479" t="n">
        <v>0.1528</v>
      </c>
      <c r="S479">
        <f>IMAGE("https://mitra.stanford.edu/kundaje/oak/projects/neuro-variants/variant_position/credible/roussos_2024/variant_figures/roussos_2024.childhood.GABA/rs11028020_count_position.png",4,220,900)</f>
        <v/>
      </c>
      <c r="T479">
        <f>IMAGE("https://mitra.stanford.edu/kundaje/oak/projects/neuro-variants/variant_position/credible/roussos_2024/variant_figures/roussos_2024.childhood.GABA/rs11028020_profile_position.png",4,220,900)</f>
        <v/>
      </c>
    </row>
    <row r="480">
      <c r="A480" t="inlineStr">
        <is>
          <t>chr11</t>
        </is>
      </c>
      <c r="B480" t="n">
        <v>24563411</v>
      </c>
      <c r="C480" t="inlineStr">
        <is>
          <t>T</t>
        </is>
      </c>
      <c r="D480" t="inlineStr">
        <is>
          <t>C</t>
        </is>
      </c>
      <c r="E480" t="inlineStr">
        <is>
          <t>rs34167424</t>
        </is>
      </c>
      <c r="F480" t="n">
        <v>0.00739748728</v>
      </c>
      <c r="G480" t="n">
        <v>0.6839872197508383</v>
      </c>
      <c r="H480" t="n">
        <v>0.0191606338399266</v>
      </c>
      <c r="I480" t="n">
        <v>0.0896689781529493</v>
      </c>
      <c r="J480" t="n">
        <v>0.0342327909363154</v>
      </c>
      <c r="K480" t="n">
        <v>0.5594861292229408</v>
      </c>
      <c r="L480" t="b">
        <v>0</v>
      </c>
      <c r="M480" t="b">
        <v>0</v>
      </c>
      <c r="N480" t="inlineStr">
        <is>
          <t>alt</t>
        </is>
      </c>
      <c r="O480" t="n">
        <v>-10</v>
      </c>
      <c r="P480" t="n">
        <v>0.001175</v>
      </c>
      <c r="Q480" t="n">
        <v>-100</v>
      </c>
      <c r="R480" t="n">
        <v>0.05573</v>
      </c>
      <c r="S480">
        <f>IMAGE("https://mitra.stanford.edu/kundaje/oak/projects/neuro-variants/variant_position/credible/roussos_2024/variant_figures/roussos_2024.childhood.GABA/rs34167424_count_position.png",4,220,900)</f>
        <v/>
      </c>
      <c r="T480">
        <f>IMAGE("https://mitra.stanford.edu/kundaje/oak/projects/neuro-variants/variant_position/credible/roussos_2024/variant_figures/roussos_2024.childhood.GABA/rs34167424_profile_position.png",4,220,900)</f>
        <v/>
      </c>
    </row>
    <row r="481">
      <c r="A481" t="inlineStr">
        <is>
          <t>chr11</t>
        </is>
      </c>
      <c r="B481" t="n">
        <v>24569034</v>
      </c>
      <c r="C481" t="inlineStr">
        <is>
          <t>G</t>
        </is>
      </c>
      <c r="D481" t="inlineStr">
        <is>
          <t>A</t>
        </is>
      </c>
      <c r="E481" t="inlineStr">
        <is>
          <t>rs1876822</t>
        </is>
      </c>
      <c r="F481" t="n">
        <v>0.00650612112</v>
      </c>
      <c r="G481" t="n">
        <v>0.721323452285889</v>
      </c>
      <c r="H481" t="n">
        <v>0.0274993964909612</v>
      </c>
      <c r="I481" t="n">
        <v>0.0187290681908018</v>
      </c>
      <c r="J481" t="n">
        <v>0.0010701346568657</v>
      </c>
      <c r="K481" t="n">
        <v>0.9156529269132648</v>
      </c>
      <c r="L481" t="b">
        <v>0</v>
      </c>
      <c r="M481" t="b">
        <v>0</v>
      </c>
      <c r="N481" t="inlineStr">
        <is>
          <t>alt</t>
        </is>
      </c>
      <c r="O481" t="n">
        <v>-30</v>
      </c>
      <c r="P481" t="n">
        <v>0.001955</v>
      </c>
      <c r="Q481" t="n">
        <v>80</v>
      </c>
      <c r="R481" t="n">
        <v>0.04385</v>
      </c>
      <c r="S481">
        <f>IMAGE("https://mitra.stanford.edu/kundaje/oak/projects/neuro-variants/variant_position/credible/roussos_2024/variant_figures/roussos_2024.childhood.GABA/rs1876822_count_position.png",4,220,900)</f>
        <v/>
      </c>
      <c r="T481">
        <f>IMAGE("https://mitra.stanford.edu/kundaje/oak/projects/neuro-variants/variant_position/credible/roussos_2024/variant_figures/roussos_2024.childhood.GABA/rs1876822_profile_position.png",4,220,900)</f>
        <v/>
      </c>
    </row>
    <row r="482">
      <c r="A482" t="inlineStr">
        <is>
          <t>chr11</t>
        </is>
      </c>
      <c r="B482" t="n">
        <v>24572012</v>
      </c>
      <c r="C482" t="inlineStr">
        <is>
          <t>T</t>
        </is>
      </c>
      <c r="D482" t="inlineStr">
        <is>
          <t>G</t>
        </is>
      </c>
      <c r="E482" t="inlineStr">
        <is>
          <t>rs1509588</t>
        </is>
      </c>
      <c r="F482" t="n">
        <v>-0.0226933702</v>
      </c>
      <c r="G482" t="n">
        <v>0.3941831589333074</v>
      </c>
      <c r="H482" t="n">
        <v>0.0224070187218796</v>
      </c>
      <c r="I482" t="n">
        <v>0.0483550085527189</v>
      </c>
      <c r="J482" t="n">
        <v>0.0498753952796799</v>
      </c>
      <c r="K482" t="n">
        <v>0.4935927092080144</v>
      </c>
      <c r="L482" t="b">
        <v>0</v>
      </c>
      <c r="M482" t="b">
        <v>0</v>
      </c>
      <c r="N482" t="inlineStr">
        <is>
          <t>ref</t>
        </is>
      </c>
      <c r="O482" t="n">
        <v>100</v>
      </c>
      <c r="P482" t="n">
        <v>0.007225</v>
      </c>
      <c r="Q482" t="n">
        <v>-5</v>
      </c>
      <c r="R482" t="n">
        <v>0.04303</v>
      </c>
      <c r="S482">
        <f>IMAGE("https://mitra.stanford.edu/kundaje/oak/projects/neuro-variants/variant_position/credible/roussos_2024/variant_figures/roussos_2024.childhood.GABA/rs1509588_count_position.png",4,220,900)</f>
        <v/>
      </c>
      <c r="T482">
        <f>IMAGE("https://mitra.stanford.edu/kundaje/oak/projects/neuro-variants/variant_position/credible/roussos_2024/variant_figures/roussos_2024.childhood.GABA/rs1509588_profile_position.png",4,220,900)</f>
        <v/>
      </c>
    </row>
    <row r="483">
      <c r="A483" t="inlineStr">
        <is>
          <t>chr11</t>
        </is>
      </c>
      <c r="B483" t="n">
        <v>24572793</v>
      </c>
      <c r="C483" t="inlineStr">
        <is>
          <t>T</t>
        </is>
      </c>
      <c r="D483" t="inlineStr">
        <is>
          <t>G</t>
        </is>
      </c>
      <c r="E483" t="inlineStr">
        <is>
          <t>rs10834390</t>
        </is>
      </c>
      <c r="F483" t="n">
        <v>0.057664417</v>
      </c>
      <c r="G483" t="n">
        <v>0.1082803896097088</v>
      </c>
      <c r="H483" t="n">
        <v>0.0202347885205592</v>
      </c>
      <c r="I483" t="n">
        <v>0.0726751880054772</v>
      </c>
      <c r="J483" t="n">
        <v>0.1941739440011727</v>
      </c>
      <c r="K483" t="n">
        <v>0.214943178739935</v>
      </c>
      <c r="L483" t="b">
        <v>0</v>
      </c>
      <c r="M483" t="b">
        <v>0</v>
      </c>
      <c r="N483" t="inlineStr">
        <is>
          <t>alt</t>
        </is>
      </c>
      <c r="O483" t="n">
        <v>15</v>
      </c>
      <c r="P483" t="n">
        <v>0.0003662</v>
      </c>
      <c r="Q483" t="n">
        <v>0</v>
      </c>
      <c r="R483" t="n">
        <v>0</v>
      </c>
      <c r="S483">
        <f>IMAGE("https://mitra.stanford.edu/kundaje/oak/projects/neuro-variants/variant_position/credible/roussos_2024/variant_figures/roussos_2024.childhood.GABA/rs10834390_count_position.png",4,220,900)</f>
        <v/>
      </c>
      <c r="T483">
        <f>IMAGE("https://mitra.stanford.edu/kundaje/oak/projects/neuro-variants/variant_position/credible/roussos_2024/variant_figures/roussos_2024.childhood.GABA/rs10834390_profile_position.png",4,220,900)</f>
        <v/>
      </c>
    </row>
    <row r="484">
      <c r="A484" t="inlineStr">
        <is>
          <t>chr11</t>
        </is>
      </c>
      <c r="B484" t="n">
        <v>24573550</v>
      </c>
      <c r="C484" t="inlineStr">
        <is>
          <t>A</t>
        </is>
      </c>
      <c r="D484" t="inlineStr">
        <is>
          <t>G</t>
        </is>
      </c>
      <c r="E484" t="inlineStr">
        <is>
          <t>rs10767214</t>
        </is>
      </c>
      <c r="F484" t="n">
        <v>0.0012100651999999</v>
      </c>
      <c r="G484" t="n">
        <v>0.5096529186755204</v>
      </c>
      <c r="H484" t="n">
        <v>0.0131235059927027</v>
      </c>
      <c r="I484" t="n">
        <v>0.3420453813958914</v>
      </c>
      <c r="J484" t="n">
        <v>0.0220194341479759</v>
      </c>
      <c r="K484" t="n">
        <v>0.6392237455301493</v>
      </c>
      <c r="L484" t="b">
        <v>0</v>
      </c>
      <c r="M484" t="b">
        <v>0</v>
      </c>
      <c r="N484" t="inlineStr">
        <is>
          <t>alt</t>
        </is>
      </c>
      <c r="O484" t="n">
        <v>-100</v>
      </c>
      <c r="P484" t="n">
        <v>0.005836</v>
      </c>
      <c r="Q484" t="n">
        <v>55</v>
      </c>
      <c r="R484" t="n">
        <v>0.003662</v>
      </c>
      <c r="S484">
        <f>IMAGE("https://mitra.stanford.edu/kundaje/oak/projects/neuro-variants/variant_position/credible/roussos_2024/variant_figures/roussos_2024.childhood.GABA/rs10767214_count_position.png",4,220,900)</f>
        <v/>
      </c>
      <c r="T484">
        <f>IMAGE("https://mitra.stanford.edu/kundaje/oak/projects/neuro-variants/variant_position/credible/roussos_2024/variant_figures/roussos_2024.childhood.GABA/rs10767214_profile_position.png",4,220,900)</f>
        <v/>
      </c>
    </row>
    <row r="485">
      <c r="A485" t="inlineStr">
        <is>
          <t>chr11</t>
        </is>
      </c>
      <c r="B485" t="n">
        <v>24578643</v>
      </c>
      <c r="C485" t="inlineStr">
        <is>
          <t>C</t>
        </is>
      </c>
      <c r="D485" t="inlineStr">
        <is>
          <t>A</t>
        </is>
      </c>
      <c r="E485" t="inlineStr">
        <is>
          <t>rs7118822</t>
        </is>
      </c>
      <c r="F485" t="n">
        <v>-0.240500324</v>
      </c>
      <c r="G485" t="n">
        <v>0.0026196015347191</v>
      </c>
      <c r="H485" t="n">
        <v>0.0392316416453911</v>
      </c>
      <c r="I485" t="n">
        <v>0.0047172156934982</v>
      </c>
      <c r="J485" t="n">
        <v>0.0056689912253146</v>
      </c>
      <c r="K485" t="n">
        <v>0.8001366769157615</v>
      </c>
      <c r="L485" t="b">
        <v>1</v>
      </c>
      <c r="M485" t="b">
        <v>1</v>
      </c>
      <c r="N485" t="inlineStr">
        <is>
          <t>ref</t>
        </is>
      </c>
      <c r="O485" t="n">
        <v>50</v>
      </c>
      <c r="P485" t="n">
        <v>0.003159</v>
      </c>
      <c r="Q485" t="n">
        <v>15</v>
      </c>
      <c r="R485" t="n">
        <v>0.03162</v>
      </c>
      <c r="S485">
        <f>IMAGE("https://mitra.stanford.edu/kundaje/oak/projects/neuro-variants/variant_position/credible/roussos_2024/variant_figures/roussos_2024.childhood.GABA/rs7118822_count_position.png",4,220,900)</f>
        <v/>
      </c>
      <c r="T485">
        <f>IMAGE("https://mitra.stanford.edu/kundaje/oak/projects/neuro-variants/variant_position/credible/roussos_2024/variant_figures/roussos_2024.childhood.GABA/rs7118822_profile_position.png",4,220,900)</f>
        <v/>
      </c>
    </row>
    <row r="486">
      <c r="A486" t="inlineStr">
        <is>
          <t>chr11</t>
        </is>
      </c>
      <c r="B486" t="n">
        <v>24580180</v>
      </c>
      <c r="C486" t="inlineStr">
        <is>
          <t>C</t>
        </is>
      </c>
      <c r="D486" t="inlineStr">
        <is>
          <t>T</t>
        </is>
      </c>
      <c r="E486" t="inlineStr">
        <is>
          <t>rs1396842</t>
        </is>
      </c>
      <c r="F486" t="n">
        <v>-0.1648118632</v>
      </c>
      <c r="G486" t="n">
        <v>0.0085229859047115</v>
      </c>
      <c r="H486" t="n">
        <v>0.0267292696950027</v>
      </c>
      <c r="I486" t="n">
        <v>0.0243277272588249</v>
      </c>
      <c r="J486" t="n">
        <v>0.0216581851688969</v>
      </c>
      <c r="K486" t="n">
        <v>0.6445051514270723</v>
      </c>
      <c r="L486" t="b">
        <v>1</v>
      </c>
      <c r="M486" t="b">
        <v>1</v>
      </c>
      <c r="N486" t="inlineStr">
        <is>
          <t>ref</t>
        </is>
      </c>
      <c r="O486" t="n">
        <v>85</v>
      </c>
      <c r="P486" t="n">
        <v>0.009674</v>
      </c>
      <c r="Q486" t="n">
        <v>90</v>
      </c>
      <c r="R486" t="n">
        <v>0.1985</v>
      </c>
      <c r="S486">
        <f>IMAGE("https://mitra.stanford.edu/kundaje/oak/projects/neuro-variants/variant_position/credible/roussos_2024/variant_figures/roussos_2024.childhood.GABA/rs1396842_count_position.png",4,220,900)</f>
        <v/>
      </c>
      <c r="T486">
        <f>IMAGE("https://mitra.stanford.edu/kundaje/oak/projects/neuro-variants/variant_position/credible/roussos_2024/variant_figures/roussos_2024.childhood.GABA/rs1396842_profile_position.png",4,220,900)</f>
        <v/>
      </c>
    </row>
    <row r="487">
      <c r="A487" t="inlineStr">
        <is>
          <t>chr11</t>
        </is>
      </c>
      <c r="B487" t="n">
        <v>27999359</v>
      </c>
      <c r="C487" t="inlineStr">
        <is>
          <t>A</t>
        </is>
      </c>
      <c r="D487" t="inlineStr">
        <is>
          <t>G</t>
        </is>
      </c>
      <c r="E487" t="inlineStr">
        <is>
          <t>rs7113337</t>
        </is>
      </c>
      <c r="F487" t="n">
        <v>0.00219569958</v>
      </c>
      <c r="G487" t="n">
        <v>0.7566050883968627</v>
      </c>
      <c r="H487" t="n">
        <v>0.0108552916099498</v>
      </c>
      <c r="I487" t="n">
        <v>0.5527036283019179</v>
      </c>
      <c r="J487" t="n">
        <v>0.0223105275282192</v>
      </c>
      <c r="K487" t="n">
        <v>0.6344849486134082</v>
      </c>
      <c r="L487" t="b">
        <v>0</v>
      </c>
      <c r="M487" t="b">
        <v>0</v>
      </c>
      <c r="N487" t="inlineStr">
        <is>
          <t>alt</t>
        </is>
      </c>
      <c r="O487" t="n">
        <v>25</v>
      </c>
      <c r="P487" t="n">
        <v>0.003155</v>
      </c>
      <c r="Q487" t="n">
        <v>100</v>
      </c>
      <c r="R487" t="n">
        <v>0.1049</v>
      </c>
      <c r="S487">
        <f>IMAGE("https://mitra.stanford.edu/kundaje/oak/projects/neuro-variants/variant_position/credible/roussos_2024/variant_figures/roussos_2024.childhood.GABA/rs7113337_count_position.png",4,220,900)</f>
        <v/>
      </c>
      <c r="T487">
        <f>IMAGE("https://mitra.stanford.edu/kundaje/oak/projects/neuro-variants/variant_position/credible/roussos_2024/variant_figures/roussos_2024.childhood.GABA/rs7113337_profile_position.png",4,220,900)</f>
        <v/>
      </c>
    </row>
    <row r="488">
      <c r="A488" t="inlineStr">
        <is>
          <t>chr11</t>
        </is>
      </c>
      <c r="B488" t="n">
        <v>28011926</v>
      </c>
      <c r="C488" t="inlineStr">
        <is>
          <t>G</t>
        </is>
      </c>
      <c r="D488" t="inlineStr">
        <is>
          <t>A</t>
        </is>
      </c>
      <c r="E488" t="inlineStr">
        <is>
          <t>rs11606190</t>
        </is>
      </c>
      <c r="F488" t="n">
        <v>-0.01551567168</v>
      </c>
      <c r="G488" t="n">
        <v>0.5111129339592698</v>
      </c>
      <c r="H488" t="n">
        <v>0.0077896654833374</v>
      </c>
      <c r="I488" t="n">
        <v>0.8703328986364077</v>
      </c>
      <c r="J488" t="n">
        <v>0.003592594919478</v>
      </c>
      <c r="K488" t="n">
        <v>0.8436053928902669</v>
      </c>
      <c r="L488" t="b">
        <v>0</v>
      </c>
      <c r="M488" t="b">
        <v>0</v>
      </c>
      <c r="N488" t="inlineStr">
        <is>
          <t>ref</t>
        </is>
      </c>
      <c r="O488" t="n">
        <v>100</v>
      </c>
      <c r="P488" t="n">
        <v>0.0189</v>
      </c>
      <c r="Q488" t="n">
        <v>100</v>
      </c>
      <c r="R488" t="n">
        <v>0.03543</v>
      </c>
      <c r="S488">
        <f>IMAGE("https://mitra.stanford.edu/kundaje/oak/projects/neuro-variants/variant_position/credible/roussos_2024/variant_figures/roussos_2024.childhood.GABA/rs11606190_count_position.png",4,220,900)</f>
        <v/>
      </c>
      <c r="T488">
        <f>IMAGE("https://mitra.stanford.edu/kundaje/oak/projects/neuro-variants/variant_position/credible/roussos_2024/variant_figures/roussos_2024.childhood.GABA/rs11606190_profile_position.png",4,220,900)</f>
        <v/>
      </c>
    </row>
    <row r="489">
      <c r="A489" t="inlineStr">
        <is>
          <t>chr11</t>
        </is>
      </c>
      <c r="B489" t="n">
        <v>28023872</v>
      </c>
      <c r="C489" t="inlineStr">
        <is>
          <t>T</t>
        </is>
      </c>
      <c r="D489" t="inlineStr">
        <is>
          <t>C</t>
        </is>
      </c>
      <c r="E489" t="inlineStr">
        <is>
          <t>rs12273233</t>
        </is>
      </c>
      <c r="F489" t="n">
        <v>-0.00966835544</v>
      </c>
      <c r="G489" t="n">
        <v>0.6699150077509312</v>
      </c>
      <c r="H489" t="n">
        <v>0.025180457575806</v>
      </c>
      <c r="I489" t="n">
        <v>0.0275366532683542</v>
      </c>
      <c r="J489" t="n">
        <v>0.0001476408871018</v>
      </c>
      <c r="K489" t="n">
        <v>0.9690564124412822</v>
      </c>
      <c r="L489" t="b">
        <v>0</v>
      </c>
      <c r="M489" t="b">
        <v>0</v>
      </c>
      <c r="N489" t="inlineStr">
        <is>
          <t>ref</t>
        </is>
      </c>
      <c r="O489" t="n">
        <v>100</v>
      </c>
      <c r="P489" t="n">
        <v>0.01544</v>
      </c>
      <c r="Q489" t="n">
        <v>50</v>
      </c>
      <c r="R489" t="n">
        <v>0.04788</v>
      </c>
      <c r="S489">
        <f>IMAGE("https://mitra.stanford.edu/kundaje/oak/projects/neuro-variants/variant_position/credible/roussos_2024/variant_figures/roussos_2024.childhood.GABA/rs12273233_count_position.png",4,220,900)</f>
        <v/>
      </c>
      <c r="T489">
        <f>IMAGE("https://mitra.stanford.edu/kundaje/oak/projects/neuro-variants/variant_position/credible/roussos_2024/variant_figures/roussos_2024.childhood.GABA/rs12273233_profile_position.png",4,220,900)</f>
        <v/>
      </c>
    </row>
    <row r="490">
      <c r="A490" t="inlineStr">
        <is>
          <t>chr11</t>
        </is>
      </c>
      <c r="B490" t="n">
        <v>28023971</v>
      </c>
      <c r="C490" t="inlineStr">
        <is>
          <t>C</t>
        </is>
      </c>
      <c r="D490" t="inlineStr">
        <is>
          <t>T</t>
        </is>
      </c>
      <c r="E490" t="inlineStr">
        <is>
          <t>rs12292666</t>
        </is>
      </c>
      <c r="F490" t="n">
        <v>0.00153295114</v>
      </c>
      <c r="G490" t="n">
        <v>0.8318531220402094</v>
      </c>
      <c r="H490" t="n">
        <v>0.0242401677045817</v>
      </c>
      <c r="I490" t="n">
        <v>0.0325371661299642</v>
      </c>
      <c r="J490" t="n">
        <v>0.0001769596448241</v>
      </c>
      <c r="K490" t="n">
        <v>0.9665959086459532</v>
      </c>
      <c r="L490" t="b">
        <v>0</v>
      </c>
      <c r="M490" t="b">
        <v>0</v>
      </c>
      <c r="N490" t="inlineStr">
        <is>
          <t>alt</t>
        </is>
      </c>
      <c r="O490" t="n">
        <v>100</v>
      </c>
      <c r="P490" t="n">
        <v>0.02328</v>
      </c>
      <c r="Q490" t="n">
        <v>-45</v>
      </c>
      <c r="R490" t="n">
        <v>0.121</v>
      </c>
      <c r="S490">
        <f>IMAGE("https://mitra.stanford.edu/kundaje/oak/projects/neuro-variants/variant_position/credible/roussos_2024/variant_figures/roussos_2024.childhood.GABA/rs12292666_count_position.png",4,220,900)</f>
        <v/>
      </c>
      <c r="T490">
        <f>IMAGE("https://mitra.stanford.edu/kundaje/oak/projects/neuro-variants/variant_position/credible/roussos_2024/variant_figures/roussos_2024.childhood.GABA/rs12292666_profile_position.png",4,220,900)</f>
        <v/>
      </c>
    </row>
    <row r="491">
      <c r="A491" t="inlineStr">
        <is>
          <t>chr11</t>
        </is>
      </c>
      <c r="B491" t="n">
        <v>28040712</v>
      </c>
      <c r="C491" t="inlineStr">
        <is>
          <t>G</t>
        </is>
      </c>
      <c r="D491" t="inlineStr">
        <is>
          <t>T</t>
        </is>
      </c>
      <c r="E491" t="inlineStr">
        <is>
          <t>rs12278238</t>
        </is>
      </c>
      <c r="F491" t="n">
        <v>-0.008228918599999999</v>
      </c>
      <c r="G491" t="n">
        <v>0.507726718834949</v>
      </c>
      <c r="H491" t="n">
        <v>0.0146081116048565</v>
      </c>
      <c r="I491" t="n">
        <v>0.2474155816916184</v>
      </c>
      <c r="J491" t="n">
        <v>0.0160813386107096</v>
      </c>
      <c r="K491" t="n">
        <v>0.6794042521353253</v>
      </c>
      <c r="L491" t="b">
        <v>0</v>
      </c>
      <c r="M491" t="b">
        <v>0</v>
      </c>
      <c r="N491" t="inlineStr">
        <is>
          <t>ref</t>
        </is>
      </c>
      <c r="O491" t="n">
        <v>-100</v>
      </c>
      <c r="P491" t="n">
        <v>0.008026</v>
      </c>
      <c r="Q491" t="n">
        <v>-100</v>
      </c>
      <c r="R491" t="n">
        <v>0.1814</v>
      </c>
      <c r="S491">
        <f>IMAGE("https://mitra.stanford.edu/kundaje/oak/projects/neuro-variants/variant_position/credible/roussos_2024/variant_figures/roussos_2024.childhood.GABA/rs12278238_count_position.png",4,220,900)</f>
        <v/>
      </c>
      <c r="T491">
        <f>IMAGE("https://mitra.stanford.edu/kundaje/oak/projects/neuro-variants/variant_position/credible/roussos_2024/variant_figures/roussos_2024.childhood.GABA/rs12278238_profile_position.png",4,220,900)</f>
        <v/>
      </c>
    </row>
    <row r="492">
      <c r="A492" t="inlineStr">
        <is>
          <t>chr11</t>
        </is>
      </c>
      <c r="B492" t="n">
        <v>28115278</v>
      </c>
      <c r="C492" t="inlineStr">
        <is>
          <t>G</t>
        </is>
      </c>
      <c r="D492" t="inlineStr">
        <is>
          <t>A</t>
        </is>
      </c>
      <c r="E492" t="inlineStr">
        <is>
          <t>rs113123159</t>
        </is>
      </c>
      <c r="F492" t="n">
        <v>0.008498882859999999</v>
      </c>
      <c r="G492" t="n">
        <v>0.6496875311486489</v>
      </c>
      <c r="H492" t="n">
        <v>0.0216709095506373</v>
      </c>
      <c r="I492" t="n">
        <v>0.0537380334218275</v>
      </c>
      <c r="J492" t="n">
        <v>0.0079673724110489</v>
      </c>
      <c r="K492" t="n">
        <v>0.7641536025257586</v>
      </c>
      <c r="L492" t="b">
        <v>0</v>
      </c>
      <c r="M492" t="b">
        <v>0</v>
      </c>
      <c r="N492" t="inlineStr">
        <is>
          <t>alt</t>
        </is>
      </c>
      <c r="O492" t="n">
        <v>75</v>
      </c>
      <c r="P492" t="n">
        <v>0.006775</v>
      </c>
      <c r="Q492" t="n">
        <v>100</v>
      </c>
      <c r="R492" t="n">
        <v>0.0912</v>
      </c>
      <c r="S492">
        <f>IMAGE("https://mitra.stanford.edu/kundaje/oak/projects/neuro-variants/variant_position/credible/roussos_2024/variant_figures/roussos_2024.childhood.GABA/rs113123159_count_position.png",4,220,900)</f>
        <v/>
      </c>
      <c r="T492">
        <f>IMAGE("https://mitra.stanford.edu/kundaje/oak/projects/neuro-variants/variant_position/credible/roussos_2024/variant_figures/roussos_2024.childhood.GABA/rs113123159_profile_position.png",4,220,900)</f>
        <v/>
      </c>
    </row>
    <row r="493">
      <c r="A493" t="inlineStr">
        <is>
          <t>chr11</t>
        </is>
      </c>
      <c r="B493" t="n">
        <v>28144957</v>
      </c>
      <c r="C493" t="inlineStr">
        <is>
          <t>C</t>
        </is>
      </c>
      <c r="D493" t="inlineStr">
        <is>
          <t>T</t>
        </is>
      </c>
      <c r="E493" t="inlineStr">
        <is>
          <t>rs17244352</t>
        </is>
      </c>
      <c r="F493" t="n">
        <v>0.004522212884</v>
      </c>
      <c r="G493" t="n">
        <v>0.5922471980335196</v>
      </c>
      <c r="H493" t="n">
        <v>0.0069630140105032</v>
      </c>
      <c r="I493" t="n">
        <v>0.9354273554971124</v>
      </c>
      <c r="J493" t="n">
        <v>0.0400839772989047</v>
      </c>
      <c r="K493" t="n">
        <v>0.5300264434713378</v>
      </c>
      <c r="L493" t="b">
        <v>0</v>
      </c>
      <c r="M493" t="b">
        <v>0</v>
      </c>
      <c r="N493" t="inlineStr">
        <is>
          <t>alt</t>
        </is>
      </c>
      <c r="O493" t="n">
        <v>100</v>
      </c>
      <c r="P493" t="n">
        <v>0.00607</v>
      </c>
      <c r="Q493" t="n">
        <v>90</v>
      </c>
      <c r="R493" t="n">
        <v>0.198</v>
      </c>
      <c r="S493">
        <f>IMAGE("https://mitra.stanford.edu/kundaje/oak/projects/neuro-variants/variant_position/credible/roussos_2024/variant_figures/roussos_2024.childhood.GABA/rs17244352_count_position.png",4,220,900)</f>
        <v/>
      </c>
      <c r="T493">
        <f>IMAGE("https://mitra.stanford.edu/kundaje/oak/projects/neuro-variants/variant_position/credible/roussos_2024/variant_figures/roussos_2024.childhood.GABA/rs17244352_profile_position.png",4,220,900)</f>
        <v/>
      </c>
    </row>
    <row r="494">
      <c r="A494" t="inlineStr">
        <is>
          <t>chr11</t>
        </is>
      </c>
      <c r="B494" t="n">
        <v>28146351</v>
      </c>
      <c r="C494" t="inlineStr">
        <is>
          <t>T</t>
        </is>
      </c>
      <c r="D494" t="inlineStr">
        <is>
          <t>G</t>
        </is>
      </c>
      <c r="E494" t="inlineStr">
        <is>
          <t>rs12284362</t>
        </is>
      </c>
      <c r="F494" t="n">
        <v>0.161981676</v>
      </c>
      <c r="G494" t="n">
        <v>0.007991200720035301</v>
      </c>
      <c r="H494" t="n">
        <v>0.0192248330421407</v>
      </c>
      <c r="I494" t="n">
        <v>0.0929079442742715</v>
      </c>
      <c r="J494" t="n">
        <v>0.0447980147012627</v>
      </c>
      <c r="K494" t="n">
        <v>0.5332679092599465</v>
      </c>
      <c r="L494" t="b">
        <v>1</v>
      </c>
      <c r="M494" t="b">
        <v>1</v>
      </c>
      <c r="N494" t="inlineStr">
        <is>
          <t>alt</t>
        </is>
      </c>
      <c r="O494" t="n">
        <v>35</v>
      </c>
      <c r="P494" t="n">
        <v>0.008286</v>
      </c>
      <c r="Q494" t="n">
        <v>-25</v>
      </c>
      <c r="R494" t="n">
        <v>0.0635</v>
      </c>
      <c r="S494">
        <f>IMAGE("https://mitra.stanford.edu/kundaje/oak/projects/neuro-variants/variant_position/credible/roussos_2024/variant_figures/roussos_2024.childhood.GABA/rs12284362_count_position.png",4,220,900)</f>
        <v/>
      </c>
      <c r="T494">
        <f>IMAGE("https://mitra.stanford.edu/kundaje/oak/projects/neuro-variants/variant_position/credible/roussos_2024/variant_figures/roussos_2024.childhood.GABA/rs12284362_profile_position.png",4,220,900)</f>
        <v/>
      </c>
    </row>
    <row r="495">
      <c r="A495" t="inlineStr">
        <is>
          <t>chr11</t>
        </is>
      </c>
      <c r="B495" t="n">
        <v>28198959</v>
      </c>
      <c r="C495" t="inlineStr">
        <is>
          <t>G</t>
        </is>
      </c>
      <c r="D495" t="inlineStr">
        <is>
          <t>T</t>
        </is>
      </c>
      <c r="E495" t="inlineStr">
        <is>
          <t>rs11030238</t>
        </is>
      </c>
      <c r="F495" t="n">
        <v>-0.0442106947999999</v>
      </c>
      <c r="G495" t="n">
        <v>0.1956038212594494</v>
      </c>
      <c r="H495" t="n">
        <v>0.0091795650960014</v>
      </c>
      <c r="I495" t="n">
        <v>0.6909580456397929</v>
      </c>
      <c r="J495" t="n">
        <v>0.0524910473079097</v>
      </c>
      <c r="K495" t="n">
        <v>0.4777744043499303</v>
      </c>
      <c r="L495" t="b">
        <v>0</v>
      </c>
      <c r="M495" t="b">
        <v>0</v>
      </c>
      <c r="N495" t="inlineStr">
        <is>
          <t>ref</t>
        </is>
      </c>
      <c r="O495" t="n">
        <v>100</v>
      </c>
      <c r="P495" t="n">
        <v>0.01129</v>
      </c>
      <c r="Q495" t="n">
        <v>40</v>
      </c>
      <c r="R495" t="n">
        <v>0.005035</v>
      </c>
      <c r="S495">
        <f>IMAGE("https://mitra.stanford.edu/kundaje/oak/projects/neuro-variants/variant_position/credible/roussos_2024/variant_figures/roussos_2024.childhood.GABA/rs11030238_count_position.png",4,220,900)</f>
        <v/>
      </c>
      <c r="T495">
        <f>IMAGE("https://mitra.stanford.edu/kundaje/oak/projects/neuro-variants/variant_position/credible/roussos_2024/variant_figures/roussos_2024.childhood.GABA/rs11030238_profile_position.png",4,220,900)</f>
        <v/>
      </c>
    </row>
    <row r="496">
      <c r="A496" t="inlineStr">
        <is>
          <t>chr11</t>
        </is>
      </c>
      <c r="B496" t="n">
        <v>28211322</v>
      </c>
      <c r="C496" t="inlineStr">
        <is>
          <t>T</t>
        </is>
      </c>
      <c r="D496" t="inlineStr">
        <is>
          <t>C</t>
        </is>
      </c>
      <c r="E496" t="inlineStr">
        <is>
          <t>rs11030247</t>
        </is>
      </c>
      <c r="F496" t="n">
        <v>0.00667928062</v>
      </c>
      <c r="G496" t="n">
        <v>0.6533104735799793</v>
      </c>
      <c r="H496" t="n">
        <v>0.0200437027719093</v>
      </c>
      <c r="I496" t="n">
        <v>0.07453755238947959</v>
      </c>
      <c r="J496" t="n">
        <v>0.0044114259387237</v>
      </c>
      <c r="K496" t="n">
        <v>0.8260568369959601</v>
      </c>
      <c r="L496" t="b">
        <v>0</v>
      </c>
      <c r="M496" t="b">
        <v>0</v>
      </c>
      <c r="N496" t="inlineStr">
        <is>
          <t>alt</t>
        </is>
      </c>
      <c r="O496" t="n">
        <v>80</v>
      </c>
      <c r="P496" t="n">
        <v>0.01097</v>
      </c>
      <c r="Q496" t="n">
        <v>-100</v>
      </c>
      <c r="R496" t="n">
        <v>0.05185</v>
      </c>
      <c r="S496">
        <f>IMAGE("https://mitra.stanford.edu/kundaje/oak/projects/neuro-variants/variant_position/credible/roussos_2024/variant_figures/roussos_2024.childhood.GABA/rs11030247_count_position.png",4,220,900)</f>
        <v/>
      </c>
      <c r="T496">
        <f>IMAGE("https://mitra.stanford.edu/kundaje/oak/projects/neuro-variants/variant_position/credible/roussos_2024/variant_figures/roussos_2024.childhood.GABA/rs11030247_profile_position.png",4,220,900)</f>
        <v/>
      </c>
    </row>
    <row r="497">
      <c r="A497" t="inlineStr">
        <is>
          <t>chr11</t>
        </is>
      </c>
      <c r="B497" t="n">
        <v>28236730</v>
      </c>
      <c r="C497" t="inlineStr">
        <is>
          <t>T</t>
        </is>
      </c>
      <c r="D497" t="inlineStr">
        <is>
          <t>C</t>
        </is>
      </c>
      <c r="E497" t="inlineStr">
        <is>
          <t>rs6484357</t>
        </is>
      </c>
      <c r="F497" t="n">
        <v>0.117719514</v>
      </c>
      <c r="G497" t="n">
        <v>0.0196495029411543</v>
      </c>
      <c r="H497" t="n">
        <v>0.01652280325756</v>
      </c>
      <c r="I497" t="n">
        <v>0.1606399043865959</v>
      </c>
      <c r="J497" t="n">
        <v>0.0402818789135305</v>
      </c>
      <c r="K497" t="n">
        <v>0.5405213508543125</v>
      </c>
      <c r="L497" t="b">
        <v>0</v>
      </c>
      <c r="M497" t="b">
        <v>0</v>
      </c>
      <c r="N497" t="inlineStr">
        <is>
          <t>alt</t>
        </is>
      </c>
      <c r="O497" t="n">
        <v>50</v>
      </c>
      <c r="P497" t="n">
        <v>0.00978</v>
      </c>
      <c r="Q497" t="n">
        <v>40</v>
      </c>
      <c r="R497" t="n">
        <v>0.08575000000000001</v>
      </c>
      <c r="S497">
        <f>IMAGE("https://mitra.stanford.edu/kundaje/oak/projects/neuro-variants/variant_position/credible/roussos_2024/variant_figures/roussos_2024.childhood.GABA/rs6484357_count_position.png",4,220,900)</f>
        <v/>
      </c>
      <c r="T497">
        <f>IMAGE("https://mitra.stanford.edu/kundaje/oak/projects/neuro-variants/variant_position/credible/roussos_2024/variant_figures/roussos_2024.childhood.GABA/rs6484357_profile_position.png",4,220,900)</f>
        <v/>
      </c>
    </row>
    <row r="498">
      <c r="A498" t="inlineStr">
        <is>
          <t>chr11</t>
        </is>
      </c>
      <c r="B498" t="n">
        <v>28364633</v>
      </c>
      <c r="C498" t="inlineStr">
        <is>
          <t>G</t>
        </is>
      </c>
      <c r="D498" t="inlineStr">
        <is>
          <t>A</t>
        </is>
      </c>
      <c r="E498" t="inlineStr">
        <is>
          <t>rs11030297</t>
        </is>
      </c>
      <c r="F498" t="n">
        <v>0.02917326652</v>
      </c>
      <c r="G498" t="n">
        <v>0.3216558976735562</v>
      </c>
      <c r="H498" t="n">
        <v>0.0130198228338108</v>
      </c>
      <c r="I498" t="n">
        <v>0.3386577380453326</v>
      </c>
      <c r="J498" t="n">
        <v>0.0607568427886326</v>
      </c>
      <c r="K498" t="n">
        <v>0.4558173002178915</v>
      </c>
      <c r="L498" t="b">
        <v>0</v>
      </c>
      <c r="M498" t="b">
        <v>0</v>
      </c>
      <c r="N498" t="inlineStr">
        <is>
          <t>alt</t>
        </is>
      </c>
      <c r="O498" t="n">
        <v>-25</v>
      </c>
      <c r="P498" t="n">
        <v>0.00251</v>
      </c>
      <c r="Q498" t="n">
        <v>35</v>
      </c>
      <c r="R498" t="n">
        <v>0.05115</v>
      </c>
      <c r="S498">
        <f>IMAGE("https://mitra.stanford.edu/kundaje/oak/projects/neuro-variants/variant_position/credible/roussos_2024/variant_figures/roussos_2024.childhood.GABA/rs11030297_count_position.png",4,220,900)</f>
        <v/>
      </c>
      <c r="T498">
        <f>IMAGE("https://mitra.stanford.edu/kundaje/oak/projects/neuro-variants/variant_position/credible/roussos_2024/variant_figures/roussos_2024.childhood.GABA/rs11030297_profile_position.png",4,220,900)</f>
        <v/>
      </c>
    </row>
    <row r="499">
      <c r="A499" t="inlineStr">
        <is>
          <t>chr11</t>
        </is>
      </c>
      <c r="B499" t="n">
        <v>28378431</v>
      </c>
      <c r="C499" t="inlineStr">
        <is>
          <t>G</t>
        </is>
      </c>
      <c r="D499" t="inlineStr">
        <is>
          <t>A</t>
        </is>
      </c>
      <c r="E499" t="inlineStr">
        <is>
          <t>rs7124325</t>
        </is>
      </c>
      <c r="F499" t="n">
        <v>-0.038506288</v>
      </c>
      <c r="G499" t="n">
        <v>0.227976916843473</v>
      </c>
      <c r="H499" t="n">
        <v>0.0114802455834532</v>
      </c>
      <c r="I499" t="n">
        <v>0.4839340160907109</v>
      </c>
      <c r="J499" t="n">
        <v>0.2556218717932608</v>
      </c>
      <c r="K499" t="n">
        <v>0.1689006639275885</v>
      </c>
      <c r="L499" t="b">
        <v>0</v>
      </c>
      <c r="M499" t="b">
        <v>0</v>
      </c>
      <c r="N499" t="inlineStr">
        <is>
          <t>ref</t>
        </is>
      </c>
      <c r="O499" t="n">
        <v>-100</v>
      </c>
      <c r="P499" t="n">
        <v>0.0010195</v>
      </c>
      <c r="Q499" t="n">
        <v>-35</v>
      </c>
      <c r="R499" t="n">
        <v>0.02856</v>
      </c>
      <c r="S499">
        <f>IMAGE("https://mitra.stanford.edu/kundaje/oak/projects/neuro-variants/variant_position/credible/roussos_2024/variant_figures/roussos_2024.childhood.GABA/rs7124325_count_position.png",4,220,900)</f>
        <v/>
      </c>
      <c r="T499">
        <f>IMAGE("https://mitra.stanford.edu/kundaje/oak/projects/neuro-variants/variant_position/credible/roussos_2024/variant_figures/roussos_2024.childhood.GABA/rs7124325_profile_position.png",4,220,900)</f>
        <v/>
      </c>
    </row>
    <row r="500">
      <c r="A500" t="inlineStr">
        <is>
          <t>chr11</t>
        </is>
      </c>
      <c r="B500" t="n">
        <v>28381745</v>
      </c>
      <c r="C500" t="inlineStr">
        <is>
          <t>A</t>
        </is>
      </c>
      <c r="D500" t="inlineStr">
        <is>
          <t>G</t>
        </is>
      </c>
      <c r="E500" t="inlineStr">
        <is>
          <t>rs11030309</t>
        </is>
      </c>
      <c r="F500" t="n">
        <v>0.0223299382</v>
      </c>
      <c r="G500" t="n">
        <v>0.3753171000080482</v>
      </c>
      <c r="H500" t="n">
        <v>0.0152618364389518</v>
      </c>
      <c r="I500" t="n">
        <v>0.211227012859672</v>
      </c>
      <c r="J500" t="n">
        <v>6.596720487527954e-05</v>
      </c>
      <c r="K500" t="n">
        <v>0.9863037506277156</v>
      </c>
      <c r="L500" t="b">
        <v>0</v>
      </c>
      <c r="M500" t="b">
        <v>0</v>
      </c>
      <c r="N500" t="inlineStr">
        <is>
          <t>alt</t>
        </is>
      </c>
      <c r="O500" t="n">
        <v>55</v>
      </c>
      <c r="P500" t="n">
        <v>0.003906</v>
      </c>
      <c r="Q500" t="n">
        <v>-65</v>
      </c>
      <c r="R500" t="n">
        <v>0.05545</v>
      </c>
      <c r="S500">
        <f>IMAGE("https://mitra.stanford.edu/kundaje/oak/projects/neuro-variants/variant_position/credible/roussos_2024/variant_figures/roussos_2024.childhood.GABA/rs11030309_count_position.png",4,220,900)</f>
        <v/>
      </c>
      <c r="T500">
        <f>IMAGE("https://mitra.stanford.edu/kundaje/oak/projects/neuro-variants/variant_position/credible/roussos_2024/variant_figures/roussos_2024.childhood.GABA/rs11030309_profile_position.png",4,220,900)</f>
        <v/>
      </c>
    </row>
    <row r="501">
      <c r="A501" t="inlineStr">
        <is>
          <t>chr11</t>
        </is>
      </c>
      <c r="B501" t="n">
        <v>28392721</v>
      </c>
      <c r="C501" t="inlineStr">
        <is>
          <t>T</t>
        </is>
      </c>
      <c r="D501" t="inlineStr">
        <is>
          <t>C</t>
        </is>
      </c>
      <c r="E501" t="inlineStr">
        <is>
          <t>rs10835321</t>
        </is>
      </c>
      <c r="F501" t="n">
        <v>0.070716354</v>
      </c>
      <c r="G501" t="n">
        <v>0.0679791272331759</v>
      </c>
      <c r="H501" t="n">
        <v>0.0120211459057428</v>
      </c>
      <c r="I501" t="n">
        <v>0.4315087228721014</v>
      </c>
      <c r="J501" t="n">
        <v>0.005836526983728</v>
      </c>
      <c r="K501" t="n">
        <v>0.794105752442435</v>
      </c>
      <c r="L501" t="b">
        <v>0</v>
      </c>
      <c r="M501" t="b">
        <v>0</v>
      </c>
      <c r="N501" t="inlineStr">
        <is>
          <t>alt</t>
        </is>
      </c>
      <c r="O501" t="n">
        <v>35</v>
      </c>
      <c r="P501" t="n">
        <v>0.002144</v>
      </c>
      <c r="Q501" t="n">
        <v>-95</v>
      </c>
      <c r="R501" t="n">
        <v>0.09143</v>
      </c>
      <c r="S501">
        <f>IMAGE("https://mitra.stanford.edu/kundaje/oak/projects/neuro-variants/variant_position/credible/roussos_2024/variant_figures/roussos_2024.childhood.GABA/rs10835321_count_position.png",4,220,900)</f>
        <v/>
      </c>
      <c r="T501">
        <f>IMAGE("https://mitra.stanford.edu/kundaje/oak/projects/neuro-variants/variant_position/credible/roussos_2024/variant_figures/roussos_2024.childhood.GABA/rs10835321_profile_position.png",4,220,900)</f>
        <v/>
      </c>
    </row>
    <row r="502">
      <c r="A502" t="inlineStr">
        <is>
          <t>chr11</t>
        </is>
      </c>
      <c r="B502" t="n">
        <v>28395099</v>
      </c>
      <c r="C502" t="inlineStr">
        <is>
          <t>A</t>
        </is>
      </c>
      <c r="D502" t="inlineStr">
        <is>
          <t>G</t>
        </is>
      </c>
      <c r="E502" t="inlineStr">
        <is>
          <t>rs4923535</t>
        </is>
      </c>
      <c r="F502" t="n">
        <v>-0.0293460982</v>
      </c>
      <c r="G502" t="n">
        <v>0.3143845324931883</v>
      </c>
      <c r="H502" t="n">
        <v>0.0319054347875539</v>
      </c>
      <c r="I502" t="n">
        <v>0.0095142474047547</v>
      </c>
      <c r="J502" t="n">
        <v>0.0221147201105735</v>
      </c>
      <c r="K502" t="n">
        <v>0.6352916682903696</v>
      </c>
      <c r="L502" t="b">
        <v>1</v>
      </c>
      <c r="M502" t="b">
        <v>0</v>
      </c>
      <c r="N502" t="inlineStr">
        <is>
          <t>ref</t>
        </is>
      </c>
      <c r="O502" t="n">
        <v>-25</v>
      </c>
      <c r="P502" t="n">
        <v>0.002106</v>
      </c>
      <c r="Q502" t="n">
        <v>-55</v>
      </c>
      <c r="R502" t="n">
        <v>0.04663</v>
      </c>
      <c r="S502">
        <f>IMAGE("https://mitra.stanford.edu/kundaje/oak/projects/neuro-variants/variant_position/credible/roussos_2024/variant_figures/roussos_2024.childhood.GABA/rs4923535_count_position.png",4,220,900)</f>
        <v/>
      </c>
      <c r="T502">
        <f>IMAGE("https://mitra.stanford.edu/kundaje/oak/projects/neuro-variants/variant_position/credible/roussos_2024/variant_figures/roussos_2024.childhood.GABA/rs4923535_profile_position.png",4,220,900)</f>
        <v/>
      </c>
    </row>
    <row r="503">
      <c r="A503" t="inlineStr">
        <is>
          <t>chr11</t>
        </is>
      </c>
      <c r="B503" t="n">
        <v>28399518</v>
      </c>
      <c r="C503" t="inlineStr">
        <is>
          <t>G</t>
        </is>
      </c>
      <c r="D503" t="inlineStr">
        <is>
          <t>A</t>
        </is>
      </c>
      <c r="E503" t="inlineStr">
        <is>
          <t>rs11030323</t>
        </is>
      </c>
      <c r="F503" t="n">
        <v>-0.008369553700000001</v>
      </c>
      <c r="G503" t="n">
        <v>0.6682679222679141</v>
      </c>
      <c r="H503" t="n">
        <v>0.0186023011324012</v>
      </c>
      <c r="I503" t="n">
        <v>0.1006579904153131</v>
      </c>
      <c r="J503" t="n">
        <v>0.0011078302025088</v>
      </c>
      <c r="K503" t="n">
        <v>0.909283194421003</v>
      </c>
      <c r="L503" t="b">
        <v>0</v>
      </c>
      <c r="M503" t="b">
        <v>0</v>
      </c>
      <c r="N503" t="inlineStr">
        <is>
          <t>ref</t>
        </is>
      </c>
      <c r="O503" t="n">
        <v>100</v>
      </c>
      <c r="P503" t="n">
        <v>0.008059999999999999</v>
      </c>
      <c r="Q503" t="n">
        <v>15</v>
      </c>
      <c r="R503" t="n">
        <v>0.02771</v>
      </c>
      <c r="S503">
        <f>IMAGE("https://mitra.stanford.edu/kundaje/oak/projects/neuro-variants/variant_position/credible/roussos_2024/variant_figures/roussos_2024.childhood.GABA/rs11030323_count_position.png",4,220,900)</f>
        <v/>
      </c>
      <c r="T503">
        <f>IMAGE("https://mitra.stanford.edu/kundaje/oak/projects/neuro-variants/variant_position/credible/roussos_2024/variant_figures/roussos_2024.childhood.GABA/rs11030323_profile_position.png",4,220,900)</f>
        <v/>
      </c>
    </row>
    <row r="504">
      <c r="A504" t="inlineStr">
        <is>
          <t>chr11</t>
        </is>
      </c>
      <c r="B504" t="n">
        <v>28400294</v>
      </c>
      <c r="C504" t="inlineStr">
        <is>
          <t>C</t>
        </is>
      </c>
      <c r="D504" t="inlineStr">
        <is>
          <t>T</t>
        </is>
      </c>
      <c r="E504" t="inlineStr">
        <is>
          <t>rs7931626</t>
        </is>
      </c>
      <c r="F504" t="n">
        <v>-0.127790619</v>
      </c>
      <c r="G504" t="n">
        <v>0.0227634735993001</v>
      </c>
      <c r="H504" t="n">
        <v>0.019549399041101</v>
      </c>
      <c r="I504" t="n">
        <v>0.0868507380078808</v>
      </c>
      <c r="J504" t="n">
        <v>0.1725869615296014</v>
      </c>
      <c r="K504" t="n">
        <v>0.243011314123855</v>
      </c>
      <c r="L504" t="b">
        <v>0</v>
      </c>
      <c r="M504" t="b">
        <v>0</v>
      </c>
      <c r="N504" t="inlineStr">
        <is>
          <t>ref</t>
        </is>
      </c>
      <c r="O504" t="n">
        <v>65</v>
      </c>
      <c r="P504" t="n">
        <v>0.01596</v>
      </c>
      <c r="Q504" t="n">
        <v>90</v>
      </c>
      <c r="R504" t="n">
        <v>0.265</v>
      </c>
      <c r="S504">
        <f>IMAGE("https://mitra.stanford.edu/kundaje/oak/projects/neuro-variants/variant_position/credible/roussos_2024/variant_figures/roussos_2024.childhood.GABA/rs7931626_count_position.png",4,220,900)</f>
        <v/>
      </c>
      <c r="T504">
        <f>IMAGE("https://mitra.stanford.edu/kundaje/oak/projects/neuro-variants/variant_position/credible/roussos_2024/variant_figures/roussos_2024.childhood.GABA/rs7931626_profile_position.png",4,220,900)</f>
        <v/>
      </c>
    </row>
    <row r="505">
      <c r="A505" t="inlineStr">
        <is>
          <t>chr11</t>
        </is>
      </c>
      <c r="B505" t="n">
        <v>28409823</v>
      </c>
      <c r="C505" t="inlineStr">
        <is>
          <t>A</t>
        </is>
      </c>
      <c r="D505" t="inlineStr">
        <is>
          <t>G</t>
        </is>
      </c>
      <c r="E505" t="inlineStr">
        <is>
          <t>rs11030324</t>
        </is>
      </c>
      <c r="F505" t="n">
        <v>0.0188647752</v>
      </c>
      <c r="G505" t="n">
        <v>0.4291282988113788</v>
      </c>
      <c r="H505" t="n">
        <v>0.0170107430645851</v>
      </c>
      <c r="I505" t="n">
        <v>0.1423402501511845</v>
      </c>
      <c r="J505" t="n">
        <v>0.0002303616678184</v>
      </c>
      <c r="K505" t="n">
        <v>0.9602260569860926</v>
      </c>
      <c r="L505" t="b">
        <v>0</v>
      </c>
      <c r="M505" t="b">
        <v>0</v>
      </c>
      <c r="N505" t="inlineStr">
        <is>
          <t>alt</t>
        </is>
      </c>
      <c r="O505" t="n">
        <v>90</v>
      </c>
      <c r="P505" t="n">
        <v>0.00302</v>
      </c>
      <c r="Q505" t="n">
        <v>-100</v>
      </c>
      <c r="R505" t="n">
        <v>0.02698</v>
      </c>
      <c r="S505">
        <f>IMAGE("https://mitra.stanford.edu/kundaje/oak/projects/neuro-variants/variant_position/credible/roussos_2024/variant_figures/roussos_2024.childhood.GABA/rs11030324_count_position.png",4,220,900)</f>
        <v/>
      </c>
      <c r="T505">
        <f>IMAGE("https://mitra.stanford.edu/kundaje/oak/projects/neuro-variants/variant_position/credible/roussos_2024/variant_figures/roussos_2024.childhood.GABA/rs11030324_profile_position.png",4,220,900)</f>
        <v/>
      </c>
    </row>
    <row r="506">
      <c r="A506" t="inlineStr">
        <is>
          <t>chr11</t>
        </is>
      </c>
      <c r="B506" t="n">
        <v>28428661</v>
      </c>
      <c r="C506" t="inlineStr">
        <is>
          <t>G</t>
        </is>
      </c>
      <c r="D506" t="inlineStr">
        <is>
          <t>A</t>
        </is>
      </c>
      <c r="E506" t="inlineStr">
        <is>
          <t>rs11030331</t>
        </is>
      </c>
      <c r="F506" t="n">
        <v>0.0929082588</v>
      </c>
      <c r="G506" t="n">
        <v>0.0391739900492799</v>
      </c>
      <c r="H506" t="n">
        <v>0.0245955160445594</v>
      </c>
      <c r="I506" t="n">
        <v>0.0413531936627056</v>
      </c>
      <c r="J506" t="n">
        <v>0.0283878871646666</v>
      </c>
      <c r="K506" t="n">
        <v>0.5993911838168258</v>
      </c>
      <c r="L506" t="b">
        <v>0</v>
      </c>
      <c r="M506" t="b">
        <v>0</v>
      </c>
      <c r="N506" t="inlineStr">
        <is>
          <t>alt</t>
        </is>
      </c>
      <c r="O506" t="n">
        <v>25</v>
      </c>
      <c r="P506" t="n">
        <v>0.001785</v>
      </c>
      <c r="Q506" t="n">
        <v>-100</v>
      </c>
      <c r="R506" t="n">
        <v>0.04736</v>
      </c>
      <c r="S506">
        <f>IMAGE("https://mitra.stanford.edu/kundaje/oak/projects/neuro-variants/variant_position/credible/roussos_2024/variant_figures/roussos_2024.childhood.GABA/rs11030331_count_position.png",4,220,900)</f>
        <v/>
      </c>
      <c r="T506">
        <f>IMAGE("https://mitra.stanford.edu/kundaje/oak/projects/neuro-variants/variant_position/credible/roussos_2024/variant_figures/roussos_2024.childhood.GABA/rs11030331_profile_position.png",4,220,900)</f>
        <v/>
      </c>
    </row>
    <row r="507">
      <c r="A507" t="inlineStr">
        <is>
          <t>chr11</t>
        </is>
      </c>
      <c r="B507" t="n">
        <v>28434247</v>
      </c>
      <c r="C507" t="inlineStr">
        <is>
          <t>C</t>
        </is>
      </c>
      <c r="D507" t="inlineStr">
        <is>
          <t>T</t>
        </is>
      </c>
      <c r="E507" t="inlineStr">
        <is>
          <t>rs4543974</t>
        </is>
      </c>
      <c r="F507" t="n">
        <v>-0.03101582</v>
      </c>
      <c r="G507" t="n">
        <v>0.2812350159818139</v>
      </c>
      <c r="H507" t="n">
        <v>0.0100476050176779</v>
      </c>
      <c r="I507" t="n">
        <v>0.6404619274947383</v>
      </c>
      <c r="J507" t="n">
        <v>0.0198823061297145</v>
      </c>
      <c r="K507" t="n">
        <v>0.6688510762967947</v>
      </c>
      <c r="L507" t="b">
        <v>0</v>
      </c>
      <c r="M507" t="b">
        <v>0</v>
      </c>
      <c r="N507" t="inlineStr">
        <is>
          <t>ref</t>
        </is>
      </c>
      <c r="O507" t="n">
        <v>65</v>
      </c>
      <c r="P507" t="n">
        <v>0.002235</v>
      </c>
      <c r="Q507" t="n">
        <v>-85</v>
      </c>
      <c r="R507" t="n">
        <v>0.0684</v>
      </c>
      <c r="S507">
        <f>IMAGE("https://mitra.stanford.edu/kundaje/oak/projects/neuro-variants/variant_position/credible/roussos_2024/variant_figures/roussos_2024.childhood.GABA/rs4543974_count_position.png",4,220,900)</f>
        <v/>
      </c>
      <c r="T507">
        <f>IMAGE("https://mitra.stanford.edu/kundaje/oak/projects/neuro-variants/variant_position/credible/roussos_2024/variant_figures/roussos_2024.childhood.GABA/rs4543974_profile_position.png",4,220,900)</f>
        <v/>
      </c>
    </row>
    <row r="508">
      <c r="A508" t="inlineStr">
        <is>
          <t>chr11</t>
        </is>
      </c>
      <c r="B508" t="n">
        <v>28441017</v>
      </c>
      <c r="C508" t="inlineStr">
        <is>
          <t>C</t>
        </is>
      </c>
      <c r="D508" t="inlineStr">
        <is>
          <t>T</t>
        </is>
      </c>
      <c r="E508" t="inlineStr">
        <is>
          <t>rs10767724</t>
        </is>
      </c>
      <c r="F508" t="n">
        <v>-0.089642891</v>
      </c>
      <c r="G508" t="n">
        <v>0.0398392261042269</v>
      </c>
      <c r="H508" t="n">
        <v>0.0157155572802991</v>
      </c>
      <c r="I508" t="n">
        <v>0.1971552587257119</v>
      </c>
      <c r="J508" t="n">
        <v>0.0041506984146928</v>
      </c>
      <c r="K508" t="n">
        <v>0.8247416345336647</v>
      </c>
      <c r="L508" t="b">
        <v>0</v>
      </c>
      <c r="M508" t="b">
        <v>0</v>
      </c>
      <c r="N508" t="inlineStr">
        <is>
          <t>ref</t>
        </is>
      </c>
      <c r="O508" t="n">
        <v>10</v>
      </c>
      <c r="P508" t="n">
        <v>0.007095</v>
      </c>
      <c r="Q508" t="n">
        <v>95</v>
      </c>
      <c r="R508" t="n">
        <v>0.1304</v>
      </c>
      <c r="S508">
        <f>IMAGE("https://mitra.stanford.edu/kundaje/oak/projects/neuro-variants/variant_position/credible/roussos_2024/variant_figures/roussos_2024.childhood.GABA/rs10767724_count_position.png",4,220,900)</f>
        <v/>
      </c>
      <c r="T508">
        <f>IMAGE("https://mitra.stanford.edu/kundaje/oak/projects/neuro-variants/variant_position/credible/roussos_2024/variant_figures/roussos_2024.childhood.GABA/rs10767724_profile_position.png",4,220,900)</f>
        <v/>
      </c>
    </row>
    <row r="509">
      <c r="A509" t="inlineStr">
        <is>
          <t>chr11</t>
        </is>
      </c>
      <c r="B509" t="n">
        <v>28447818</v>
      </c>
      <c r="C509" t="inlineStr">
        <is>
          <t>T</t>
        </is>
      </c>
      <c r="D509" t="inlineStr">
        <is>
          <t>A</t>
        </is>
      </c>
      <c r="E509" t="inlineStr">
        <is>
          <t>rs10835338</t>
        </is>
      </c>
      <c r="F509" t="n">
        <v>0.03119659</v>
      </c>
      <c r="G509" t="n">
        <v>0.2791558787983033</v>
      </c>
      <c r="H509" t="n">
        <v>0.0137006114972785</v>
      </c>
      <c r="I509" t="n">
        <v>0.306789430592555</v>
      </c>
      <c r="J509" t="n">
        <v>0.0289878745994848</v>
      </c>
      <c r="K509" t="n">
        <v>0.5815606744771469</v>
      </c>
      <c r="L509" t="b">
        <v>0</v>
      </c>
      <c r="M509" t="b">
        <v>0</v>
      </c>
      <c r="N509" t="inlineStr">
        <is>
          <t>alt</t>
        </is>
      </c>
      <c r="O509" t="n">
        <v>-75</v>
      </c>
      <c r="P509" t="n">
        <v>0.02588</v>
      </c>
      <c r="Q509" t="n">
        <v>-45</v>
      </c>
      <c r="R509" t="n">
        <v>0.0709</v>
      </c>
      <c r="S509">
        <f>IMAGE("https://mitra.stanford.edu/kundaje/oak/projects/neuro-variants/variant_position/credible/roussos_2024/variant_figures/roussos_2024.childhood.GABA/rs10835338_count_position.png",4,220,900)</f>
        <v/>
      </c>
      <c r="T509">
        <f>IMAGE("https://mitra.stanford.edu/kundaje/oak/projects/neuro-variants/variant_position/credible/roussos_2024/variant_figures/roussos_2024.childhood.GABA/rs10835338_profile_position.png",4,220,900)</f>
        <v/>
      </c>
    </row>
    <row r="510">
      <c r="A510" t="inlineStr">
        <is>
          <t>chr11</t>
        </is>
      </c>
      <c r="B510" t="n">
        <v>28451163</v>
      </c>
      <c r="C510" t="inlineStr">
        <is>
          <t>C</t>
        </is>
      </c>
      <c r="D510" t="inlineStr">
        <is>
          <t>T</t>
        </is>
      </c>
      <c r="E510" t="inlineStr">
        <is>
          <t>rs10767725</t>
        </is>
      </c>
      <c r="F510" t="n">
        <v>-0.103770168</v>
      </c>
      <c r="G510" t="n">
        <v>0.0281844709627551</v>
      </c>
      <c r="H510" t="n">
        <v>0.0115232332697782</v>
      </c>
      <c r="I510" t="n">
        <v>0.4749341283724231</v>
      </c>
      <c r="J510" t="n">
        <v>0.0551925614123264</v>
      </c>
      <c r="K510" t="n">
        <v>0.4903205359068976</v>
      </c>
      <c r="L510" t="b">
        <v>0</v>
      </c>
      <c r="M510" t="b">
        <v>0</v>
      </c>
      <c r="N510" t="inlineStr">
        <is>
          <t>ref</t>
        </is>
      </c>
      <c r="O510" t="n">
        <v>70</v>
      </c>
      <c r="P510" t="n">
        <v>0.002522</v>
      </c>
      <c r="Q510" t="n">
        <v>20</v>
      </c>
      <c r="R510" t="n">
        <v>0.05383</v>
      </c>
      <c r="S510">
        <f>IMAGE("https://mitra.stanford.edu/kundaje/oak/projects/neuro-variants/variant_position/credible/roussos_2024/variant_figures/roussos_2024.childhood.GABA/rs10767725_count_position.png",4,220,900)</f>
        <v/>
      </c>
      <c r="T510">
        <f>IMAGE("https://mitra.stanford.edu/kundaje/oak/projects/neuro-variants/variant_position/credible/roussos_2024/variant_figures/roussos_2024.childhood.GABA/rs10767725_profile_position.png",4,220,900)</f>
        <v/>
      </c>
    </row>
    <row r="511">
      <c r="A511" t="inlineStr">
        <is>
          <t>chr11</t>
        </is>
      </c>
      <c r="B511" t="n">
        <v>28451754</v>
      </c>
      <c r="C511" t="inlineStr">
        <is>
          <t>G</t>
        </is>
      </c>
      <c r="D511" t="inlineStr">
        <is>
          <t>T</t>
        </is>
      </c>
      <c r="E511" t="inlineStr">
        <is>
          <t>rs11030341</t>
        </is>
      </c>
      <c r="F511" t="n">
        <v>-0.1355756976</v>
      </c>
      <c r="G511" t="n">
        <v>0.0168853942677656</v>
      </c>
      <c r="H511" t="n">
        <v>0.0155259313683613</v>
      </c>
      <c r="I511" t="n">
        <v>0.2055536446825371</v>
      </c>
      <c r="J511" t="n">
        <v>0.1402441833678875</v>
      </c>
      <c r="K511" t="n">
        <v>0.2997822503601346</v>
      </c>
      <c r="L511" t="b">
        <v>1</v>
      </c>
      <c r="M511" t="b">
        <v>0</v>
      </c>
      <c r="N511" t="inlineStr">
        <is>
          <t>ref</t>
        </is>
      </c>
      <c r="O511" t="n">
        <v>-45</v>
      </c>
      <c r="P511" t="n">
        <v>0.02838</v>
      </c>
      <c r="Q511" t="n">
        <v>-50</v>
      </c>
      <c r="R511" t="n">
        <v>0.042</v>
      </c>
      <c r="S511">
        <f>IMAGE("https://mitra.stanford.edu/kundaje/oak/projects/neuro-variants/variant_position/credible/roussos_2024/variant_figures/roussos_2024.childhood.GABA/rs11030341_count_position.png",4,220,900)</f>
        <v/>
      </c>
      <c r="T511">
        <f>IMAGE("https://mitra.stanford.edu/kundaje/oak/projects/neuro-variants/variant_position/credible/roussos_2024/variant_figures/roussos_2024.childhood.GABA/rs11030341_profile_position.png",4,220,900)</f>
        <v/>
      </c>
    </row>
    <row r="512">
      <c r="A512" t="inlineStr">
        <is>
          <t>chr11</t>
        </is>
      </c>
      <c r="B512" t="n">
        <v>28452419</v>
      </c>
      <c r="C512" t="inlineStr">
        <is>
          <t>C</t>
        </is>
      </c>
      <c r="D512" t="inlineStr">
        <is>
          <t>A</t>
        </is>
      </c>
      <c r="E512" t="inlineStr">
        <is>
          <t>rs7130732</t>
        </is>
      </c>
      <c r="F512" t="n">
        <v>-0.020049904</v>
      </c>
      <c r="G512" t="n">
        <v>0.3639408053417806</v>
      </c>
      <c r="H512" t="n">
        <v>0.0223447515156035</v>
      </c>
      <c r="I512" t="n">
        <v>0.0463067594006505</v>
      </c>
      <c r="J512" t="n">
        <v>0.1054470063454168</v>
      </c>
      <c r="K512" t="n">
        <v>0.3613069165478358</v>
      </c>
      <c r="L512" t="b">
        <v>0</v>
      </c>
      <c r="M512" t="b">
        <v>0</v>
      </c>
      <c r="N512" t="inlineStr">
        <is>
          <t>ref</t>
        </is>
      </c>
      <c r="O512" t="n">
        <v>60</v>
      </c>
      <c r="P512" t="n">
        <v>0.011284</v>
      </c>
      <c r="Q512" t="n">
        <v>-50</v>
      </c>
      <c r="R512" t="n">
        <v>0.03857</v>
      </c>
      <c r="S512">
        <f>IMAGE("https://mitra.stanford.edu/kundaje/oak/projects/neuro-variants/variant_position/credible/roussos_2024/variant_figures/roussos_2024.childhood.GABA/rs7130732_count_position.png",4,220,900)</f>
        <v/>
      </c>
      <c r="T512">
        <f>IMAGE("https://mitra.stanford.edu/kundaje/oak/projects/neuro-variants/variant_position/credible/roussos_2024/variant_figures/roussos_2024.childhood.GABA/rs7130732_profile_position.png",4,220,900)</f>
        <v/>
      </c>
    </row>
    <row r="513">
      <c r="A513" t="inlineStr">
        <is>
          <t>chr11</t>
        </is>
      </c>
      <c r="B513" t="n">
        <v>28453859</v>
      </c>
      <c r="C513" t="inlineStr">
        <is>
          <t>G</t>
        </is>
      </c>
      <c r="D513" t="inlineStr">
        <is>
          <t>T</t>
        </is>
      </c>
      <c r="E513" t="inlineStr">
        <is>
          <t>rs7105555</t>
        </is>
      </c>
      <c r="F513" t="n">
        <v>0.0047594364753999</v>
      </c>
      <c r="G513" t="n">
        <v>0.492835036358106</v>
      </c>
      <c r="H513" t="n">
        <v>0.0123470599481893</v>
      </c>
      <c r="I513" t="n">
        <v>0.4089295475110561</v>
      </c>
      <c r="J513" t="n">
        <v>0.0814862515968251</v>
      </c>
      <c r="K513" t="n">
        <v>0.3906501943004952</v>
      </c>
      <c r="L513" t="b">
        <v>0</v>
      </c>
      <c r="M513" t="b">
        <v>0</v>
      </c>
      <c r="N513" t="inlineStr">
        <is>
          <t>alt</t>
        </is>
      </c>
      <c r="O513" t="n">
        <v>-80</v>
      </c>
      <c r="P513" t="n">
        <v>0.02231</v>
      </c>
      <c r="Q513" t="n">
        <v>-80</v>
      </c>
      <c r="R513" t="n">
        <v>0.2185</v>
      </c>
      <c r="S513">
        <f>IMAGE("https://mitra.stanford.edu/kundaje/oak/projects/neuro-variants/variant_position/credible/roussos_2024/variant_figures/roussos_2024.childhood.GABA/rs7105555_count_position.png",4,220,900)</f>
        <v/>
      </c>
      <c r="T513">
        <f>IMAGE("https://mitra.stanford.edu/kundaje/oak/projects/neuro-variants/variant_position/credible/roussos_2024/variant_figures/roussos_2024.childhood.GABA/rs7105555_profile_position.png",4,220,900)</f>
        <v/>
      </c>
    </row>
    <row r="514">
      <c r="A514" t="inlineStr">
        <is>
          <t>chr11</t>
        </is>
      </c>
      <c r="B514" t="n">
        <v>28460852</v>
      </c>
      <c r="C514" t="inlineStr">
        <is>
          <t>G</t>
        </is>
      </c>
      <c r="D514" t="inlineStr">
        <is>
          <t>A</t>
        </is>
      </c>
      <c r="E514" t="inlineStr">
        <is>
          <t>rs11603115</t>
        </is>
      </c>
      <c r="F514" t="n">
        <v>-0.032467829</v>
      </c>
      <c r="G514" t="n">
        <v>0.2678456873387424</v>
      </c>
      <c r="H514" t="n">
        <v>0.0094694180203569</v>
      </c>
      <c r="I514" t="n">
        <v>0.7035846695144815</v>
      </c>
      <c r="J514" t="n">
        <v>0.0014963037423299</v>
      </c>
      <c r="K514" t="n">
        <v>0.897535528817227</v>
      </c>
      <c r="L514" t="b">
        <v>0</v>
      </c>
      <c r="M514" t="b">
        <v>0</v>
      </c>
      <c r="N514" t="inlineStr">
        <is>
          <t>ref</t>
        </is>
      </c>
      <c r="O514" t="n">
        <v>0</v>
      </c>
      <c r="P514" t="n">
        <v>0</v>
      </c>
      <c r="Q514" t="n">
        <v>-100</v>
      </c>
      <c r="R514" t="n">
        <v>0.04425</v>
      </c>
      <c r="S514">
        <f>IMAGE("https://mitra.stanford.edu/kundaje/oak/projects/neuro-variants/variant_position/credible/roussos_2024/variant_figures/roussos_2024.childhood.GABA/rs11603115_count_position.png",4,220,900)</f>
        <v/>
      </c>
      <c r="T514">
        <f>IMAGE("https://mitra.stanford.edu/kundaje/oak/projects/neuro-variants/variant_position/credible/roussos_2024/variant_figures/roussos_2024.childhood.GABA/rs11603115_profile_position.png",4,220,900)</f>
        <v/>
      </c>
    </row>
    <row r="515">
      <c r="A515" t="inlineStr">
        <is>
          <t>chr11</t>
        </is>
      </c>
      <c r="B515" t="n">
        <v>28479446</v>
      </c>
      <c r="C515" t="inlineStr">
        <is>
          <t>G</t>
        </is>
      </c>
      <c r="D515" t="inlineStr">
        <is>
          <t>A</t>
        </is>
      </c>
      <c r="E515" t="inlineStr">
        <is>
          <t>rs1811450</t>
        </is>
      </c>
      <c r="F515" t="n">
        <v>-0.02046680916</v>
      </c>
      <c r="G515" t="n">
        <v>0.4349909761849518</v>
      </c>
      <c r="H515" t="n">
        <v>0.0108808444920265</v>
      </c>
      <c r="I515" t="n">
        <v>0.5446058411186855</v>
      </c>
      <c r="J515" t="n">
        <v>0.009065778727147001</v>
      </c>
      <c r="K515" t="n">
        <v>0.7557665348277417</v>
      </c>
      <c r="L515" t="b">
        <v>0</v>
      </c>
      <c r="M515" t="b">
        <v>0</v>
      </c>
      <c r="N515" t="inlineStr">
        <is>
          <t>ref</t>
        </is>
      </c>
      <c r="O515" t="n">
        <v>-30</v>
      </c>
      <c r="P515" t="n">
        <v>0.000557</v>
      </c>
      <c r="Q515" t="n">
        <v>30</v>
      </c>
      <c r="R515" t="n">
        <v>0.1008</v>
      </c>
      <c r="S515">
        <f>IMAGE("https://mitra.stanford.edu/kundaje/oak/projects/neuro-variants/variant_position/credible/roussos_2024/variant_figures/roussos_2024.childhood.GABA/rs1811450_count_position.png",4,220,900)</f>
        <v/>
      </c>
      <c r="T515">
        <f>IMAGE("https://mitra.stanford.edu/kundaje/oak/projects/neuro-variants/variant_position/credible/roussos_2024/variant_figures/roussos_2024.childhood.GABA/rs1811450_profile_position.png",4,220,900)</f>
        <v/>
      </c>
    </row>
    <row r="516">
      <c r="A516" t="inlineStr">
        <is>
          <t>chr11</t>
        </is>
      </c>
      <c r="B516" t="n">
        <v>28488553</v>
      </c>
      <c r="C516" t="inlineStr">
        <is>
          <t>G</t>
        </is>
      </c>
      <c r="D516" t="inlineStr">
        <is>
          <t>A</t>
        </is>
      </c>
      <c r="E516" t="inlineStr">
        <is>
          <t>rs2582905</t>
        </is>
      </c>
      <c r="F516" t="n">
        <v>-0.0876980192</v>
      </c>
      <c r="G516" t="n">
        <v>0.0424004754813231</v>
      </c>
      <c r="H516" t="n">
        <v>0.0132887853591946</v>
      </c>
      <c r="I516" t="n">
        <v>0.3290884154442228</v>
      </c>
      <c r="J516" t="n">
        <v>0.056509811312852</v>
      </c>
      <c r="K516" t="n">
        <v>0.4601761929423385</v>
      </c>
      <c r="L516" t="b">
        <v>0</v>
      </c>
      <c r="M516" t="b">
        <v>0</v>
      </c>
      <c r="N516" t="inlineStr">
        <is>
          <t>ref</t>
        </is>
      </c>
      <c r="O516" t="n">
        <v>-100</v>
      </c>
      <c r="P516" t="n">
        <v>0.0261</v>
      </c>
      <c r="Q516" t="n">
        <v>-10</v>
      </c>
      <c r="R516" t="n">
        <v>0.00293</v>
      </c>
      <c r="S516">
        <f>IMAGE("https://mitra.stanford.edu/kundaje/oak/projects/neuro-variants/variant_position/credible/roussos_2024/variant_figures/roussos_2024.childhood.GABA/rs2582905_count_position.png",4,220,900)</f>
        <v/>
      </c>
      <c r="T516">
        <f>IMAGE("https://mitra.stanford.edu/kundaje/oak/projects/neuro-variants/variant_position/credible/roussos_2024/variant_figures/roussos_2024.childhood.GABA/rs2582905_profile_position.png",4,220,900)</f>
        <v/>
      </c>
    </row>
    <row r="517">
      <c r="A517" t="inlineStr">
        <is>
          <t>chr11</t>
        </is>
      </c>
      <c r="B517" t="n">
        <v>28580626</v>
      </c>
      <c r="C517" t="inlineStr">
        <is>
          <t>C</t>
        </is>
      </c>
      <c r="D517" t="inlineStr">
        <is>
          <t>A</t>
        </is>
      </c>
      <c r="E517" t="inlineStr">
        <is>
          <t>rs2582895</t>
        </is>
      </c>
      <c r="F517" t="n">
        <v>0.00319634014</v>
      </c>
      <c r="G517" t="n">
        <v>0.8528836656303688</v>
      </c>
      <c r="H517" t="n">
        <v>0.0272017183126096</v>
      </c>
      <c r="I517" t="n">
        <v>0.0207964365760206</v>
      </c>
      <c r="J517" t="n">
        <v>0.0128950179053841</v>
      </c>
      <c r="K517" t="n">
        <v>0.7112894190351779</v>
      </c>
      <c r="L517" t="b">
        <v>0</v>
      </c>
      <c r="M517" t="b">
        <v>0</v>
      </c>
      <c r="N517" t="inlineStr">
        <is>
          <t>alt</t>
        </is>
      </c>
      <c r="O517" t="n">
        <v>50</v>
      </c>
      <c r="P517" t="n">
        <v>0.007034</v>
      </c>
      <c r="Q517" t="n">
        <v>-85</v>
      </c>
      <c r="R517" t="n">
        <v>0.04785</v>
      </c>
      <c r="S517">
        <f>IMAGE("https://mitra.stanford.edu/kundaje/oak/projects/neuro-variants/variant_position/credible/roussos_2024/variant_figures/roussos_2024.childhood.GABA/rs2582895_count_position.png",4,220,900)</f>
        <v/>
      </c>
      <c r="T517">
        <f>IMAGE("https://mitra.stanford.edu/kundaje/oak/projects/neuro-variants/variant_position/credible/roussos_2024/variant_figures/roussos_2024.childhood.GABA/rs2582895_profile_position.png",4,220,900)</f>
        <v/>
      </c>
    </row>
    <row r="518">
      <c r="A518" t="inlineStr">
        <is>
          <t>chr11</t>
        </is>
      </c>
      <c r="B518" t="n">
        <v>28580674</v>
      </c>
      <c r="C518" t="inlineStr">
        <is>
          <t>A</t>
        </is>
      </c>
      <c r="D518" t="inlineStr">
        <is>
          <t>G</t>
        </is>
      </c>
      <c r="E518" t="inlineStr">
        <is>
          <t>rs2585817</t>
        </is>
      </c>
      <c r="F518" t="n">
        <v>0.0305494668</v>
      </c>
      <c r="G518" t="n">
        <v>0.2877574416683481</v>
      </c>
      <c r="H518" t="n">
        <v>0.0246665168488562</v>
      </c>
      <c r="I518" t="n">
        <v>0.0348671152018021</v>
      </c>
      <c r="J518" t="n">
        <v>0.0142258800862808</v>
      </c>
      <c r="K518" t="n">
        <v>0.6992487983210884</v>
      </c>
      <c r="L518" t="b">
        <v>0</v>
      </c>
      <c r="M518" t="b">
        <v>0</v>
      </c>
      <c r="N518" t="inlineStr">
        <is>
          <t>alt</t>
        </is>
      </c>
      <c r="O518" t="n">
        <v>15</v>
      </c>
      <c r="P518" t="n">
        <v>0.0007324</v>
      </c>
      <c r="Q518" t="n">
        <v>75</v>
      </c>
      <c r="R518" t="n">
        <v>0.03625</v>
      </c>
      <c r="S518">
        <f>IMAGE("https://mitra.stanford.edu/kundaje/oak/projects/neuro-variants/variant_position/credible/roussos_2024/variant_figures/roussos_2024.childhood.GABA/rs2585817_count_position.png",4,220,900)</f>
        <v/>
      </c>
      <c r="T518">
        <f>IMAGE("https://mitra.stanford.edu/kundaje/oak/projects/neuro-variants/variant_position/credible/roussos_2024/variant_figures/roussos_2024.childhood.GABA/rs2585817_profile_position.png",4,220,900)</f>
        <v/>
      </c>
    </row>
    <row r="519">
      <c r="A519" t="inlineStr">
        <is>
          <t>chr11</t>
        </is>
      </c>
      <c r="B519" t="n">
        <v>28594152</v>
      </c>
      <c r="C519" t="inlineStr">
        <is>
          <t>A</t>
        </is>
      </c>
      <c r="D519" t="inlineStr">
        <is>
          <t>G</t>
        </is>
      </c>
      <c r="E519" t="inlineStr">
        <is>
          <t>rs2582896</t>
        </is>
      </c>
      <c r="F519" t="n">
        <v>-0.108679265</v>
      </c>
      <c r="G519" t="n">
        <v>0.0271476795722754</v>
      </c>
      <c r="H519" t="n">
        <v>0.032048118792906</v>
      </c>
      <c r="I519" t="n">
        <v>0.009609489666986</v>
      </c>
      <c r="J519" t="n">
        <v>0.0828213021716822</v>
      </c>
      <c r="K519" t="n">
        <v>0.3920848749970551</v>
      </c>
      <c r="L519" t="b">
        <v>1</v>
      </c>
      <c r="M519" t="b">
        <v>1</v>
      </c>
      <c r="N519" t="inlineStr">
        <is>
          <t>ref</t>
        </is>
      </c>
      <c r="O519" t="n">
        <v>55</v>
      </c>
      <c r="P519" t="n">
        <v>0.002518</v>
      </c>
      <c r="Q519" t="n">
        <v>55</v>
      </c>
      <c r="R519" t="n">
        <v>0.0299</v>
      </c>
      <c r="S519">
        <f>IMAGE("https://mitra.stanford.edu/kundaje/oak/projects/neuro-variants/variant_position/credible/roussos_2024/variant_figures/roussos_2024.childhood.GABA/rs2582896_count_position.png",4,220,900)</f>
        <v/>
      </c>
      <c r="T519">
        <f>IMAGE("https://mitra.stanford.edu/kundaje/oak/projects/neuro-variants/variant_position/credible/roussos_2024/variant_figures/roussos_2024.childhood.GABA/rs2582896_profile_position.png",4,220,900)</f>
        <v/>
      </c>
    </row>
    <row r="520">
      <c r="A520" t="inlineStr">
        <is>
          <t>chr11</t>
        </is>
      </c>
      <c r="B520" t="n">
        <v>28594704</v>
      </c>
      <c r="C520" t="inlineStr">
        <is>
          <t>T</t>
        </is>
      </c>
      <c r="D520" t="inlineStr">
        <is>
          <t>C</t>
        </is>
      </c>
      <c r="E520" t="inlineStr">
        <is>
          <t>rs10742196</t>
        </is>
      </c>
      <c r="F520" t="n">
        <v>-0.0299404648599999</v>
      </c>
      <c r="G520" t="n">
        <v>0.1531424217992836</v>
      </c>
      <c r="H520" t="n">
        <v>0.0124030268766978</v>
      </c>
      <c r="I520" t="n">
        <v>0.3874128615045258</v>
      </c>
      <c r="J520" t="n">
        <v>0.0199713095013716</v>
      </c>
      <c r="K520" t="n">
        <v>0.6528796910289688</v>
      </c>
      <c r="L520" t="b">
        <v>0</v>
      </c>
      <c r="M520" t="b">
        <v>0</v>
      </c>
      <c r="N520" t="inlineStr">
        <is>
          <t>ref</t>
        </is>
      </c>
      <c r="O520" t="n">
        <v>100</v>
      </c>
      <c r="P520" t="n">
        <v>0.0056</v>
      </c>
      <c r="Q520" t="n">
        <v>-75</v>
      </c>
      <c r="R520" t="n">
        <v>0.0526</v>
      </c>
      <c r="S520">
        <f>IMAGE("https://mitra.stanford.edu/kundaje/oak/projects/neuro-variants/variant_position/credible/roussos_2024/variant_figures/roussos_2024.childhood.GABA/rs10742196_count_position.png",4,220,900)</f>
        <v/>
      </c>
      <c r="T520">
        <f>IMAGE("https://mitra.stanford.edu/kundaje/oak/projects/neuro-variants/variant_position/credible/roussos_2024/variant_figures/roussos_2024.childhood.GABA/rs10742196_profile_position.png",4,220,900)</f>
        <v/>
      </c>
    </row>
    <row r="521">
      <c r="A521" t="inlineStr">
        <is>
          <t>chr11</t>
        </is>
      </c>
      <c r="B521" t="n">
        <v>28609701</v>
      </c>
      <c r="C521" t="inlineStr">
        <is>
          <t>C</t>
        </is>
      </c>
      <c r="D521" t="inlineStr">
        <is>
          <t>A</t>
        </is>
      </c>
      <c r="E521" t="inlineStr">
        <is>
          <t>rs11030386</t>
        </is>
      </c>
      <c r="F521" t="n">
        <v>-0.0703713352</v>
      </c>
      <c r="G521" t="n">
        <v>0.0825062473714523</v>
      </c>
      <c r="H521" t="n">
        <v>0.0221776701287914</v>
      </c>
      <c r="I521" t="n">
        <v>0.0543475974526411</v>
      </c>
      <c r="J521" t="n">
        <v>0.027195241984461</v>
      </c>
      <c r="K521" t="n">
        <v>0.6074571428837066</v>
      </c>
      <c r="L521" t="b">
        <v>0</v>
      </c>
      <c r="M521" t="b">
        <v>0</v>
      </c>
      <c r="N521" t="inlineStr">
        <is>
          <t>ref</t>
        </is>
      </c>
      <c r="O521" t="n">
        <v>95</v>
      </c>
      <c r="P521" t="n">
        <v>0.0005035</v>
      </c>
      <c r="Q521" t="n">
        <v>65</v>
      </c>
      <c r="R521" t="n">
        <v>0.02551</v>
      </c>
      <c r="S521">
        <f>IMAGE("https://mitra.stanford.edu/kundaje/oak/projects/neuro-variants/variant_position/credible/roussos_2024/variant_figures/roussos_2024.childhood.GABA/rs11030386_count_position.png",4,220,900)</f>
        <v/>
      </c>
      <c r="T521">
        <f>IMAGE("https://mitra.stanford.edu/kundaje/oak/projects/neuro-variants/variant_position/credible/roussos_2024/variant_figures/roussos_2024.childhood.GABA/rs11030386_profile_position.png",4,220,900)</f>
        <v/>
      </c>
    </row>
    <row r="522">
      <c r="A522" t="inlineStr">
        <is>
          <t>chr11</t>
        </is>
      </c>
      <c r="B522" t="n">
        <v>28619515</v>
      </c>
      <c r="C522" t="inlineStr">
        <is>
          <t>G</t>
        </is>
      </c>
      <c r="D522" t="inlineStr">
        <is>
          <t>A</t>
        </is>
      </c>
      <c r="E522" t="inlineStr">
        <is>
          <t>rs12226518</t>
        </is>
      </c>
      <c r="F522" t="n">
        <v>-0.0209911322</v>
      </c>
      <c r="G522" t="n">
        <v>0.4222988970764774</v>
      </c>
      <c r="H522" t="n">
        <v>0.0113082209402438</v>
      </c>
      <c r="I522" t="n">
        <v>0.4973563338041701</v>
      </c>
      <c r="J522" t="n">
        <v>0.1128667462461519</v>
      </c>
      <c r="K522" t="n">
        <v>0.3245060290065287</v>
      </c>
      <c r="L522" t="b">
        <v>0</v>
      </c>
      <c r="M522" t="b">
        <v>0</v>
      </c>
      <c r="N522" t="inlineStr">
        <is>
          <t>ref</t>
        </is>
      </c>
      <c r="O522" t="n">
        <v>0</v>
      </c>
      <c r="P522" t="n">
        <v>0</v>
      </c>
      <c r="Q522" t="n">
        <v>-40</v>
      </c>
      <c r="R522" t="n">
        <v>0.02249</v>
      </c>
      <c r="S522">
        <f>IMAGE("https://mitra.stanford.edu/kundaje/oak/projects/neuro-variants/variant_position/credible/roussos_2024/variant_figures/roussos_2024.childhood.GABA/rs12226518_count_position.png",4,220,900)</f>
        <v/>
      </c>
      <c r="T522">
        <f>IMAGE("https://mitra.stanford.edu/kundaje/oak/projects/neuro-variants/variant_position/credible/roussos_2024/variant_figures/roussos_2024.childhood.GABA/rs12226518_profile_position.png",4,220,900)</f>
        <v/>
      </c>
    </row>
    <row r="523">
      <c r="A523" t="inlineStr">
        <is>
          <t>chr11</t>
        </is>
      </c>
      <c r="B523" t="n">
        <v>28620721</v>
      </c>
      <c r="C523" t="inlineStr">
        <is>
          <t>G</t>
        </is>
      </c>
      <c r="D523" t="inlineStr">
        <is>
          <t>A</t>
        </is>
      </c>
      <c r="E523" t="inlineStr">
        <is>
          <t>rs10767732</t>
        </is>
      </c>
      <c r="F523" t="n">
        <v>-0.035831786</v>
      </c>
      <c r="G523" t="n">
        <v>0.2437079901405547</v>
      </c>
      <c r="H523" t="n">
        <v>0.0088020917911139</v>
      </c>
      <c r="I523" t="n">
        <v>0.7793232386234734</v>
      </c>
      <c r="J523" t="n">
        <v>0.0463843689137399</v>
      </c>
      <c r="K523" t="n">
        <v>0.5093042305010433</v>
      </c>
      <c r="L523" t="b">
        <v>0</v>
      </c>
      <c r="M523" t="b">
        <v>0</v>
      </c>
      <c r="N523" t="inlineStr">
        <is>
          <t>ref</t>
        </is>
      </c>
      <c r="O523" t="n">
        <v>40</v>
      </c>
      <c r="P523" t="n">
        <v>0.003113</v>
      </c>
      <c r="Q523" t="n">
        <v>-70</v>
      </c>
      <c r="R523" t="n">
        <v>0.04193</v>
      </c>
      <c r="S523">
        <f>IMAGE("https://mitra.stanford.edu/kundaje/oak/projects/neuro-variants/variant_position/credible/roussos_2024/variant_figures/roussos_2024.childhood.GABA/rs10767732_count_position.png",4,220,900)</f>
        <v/>
      </c>
      <c r="T523">
        <f>IMAGE("https://mitra.stanford.edu/kundaje/oak/projects/neuro-variants/variant_position/credible/roussos_2024/variant_figures/roussos_2024.childhood.GABA/rs10767732_profile_position.png",4,220,900)</f>
        <v/>
      </c>
    </row>
    <row r="524">
      <c r="A524" t="inlineStr">
        <is>
          <t>chr11</t>
        </is>
      </c>
      <c r="B524" t="n">
        <v>28621752</v>
      </c>
      <c r="C524" t="inlineStr">
        <is>
          <t>T</t>
        </is>
      </c>
      <c r="D524" t="inlineStr">
        <is>
          <t>C</t>
        </is>
      </c>
      <c r="E524" t="inlineStr">
        <is>
          <t>rs10835368</t>
        </is>
      </c>
      <c r="F524" t="n">
        <v>0.0237914894</v>
      </c>
      <c r="G524" t="n">
        <v>0.3578335273845435</v>
      </c>
      <c r="H524" t="n">
        <v>0.0094124420088863</v>
      </c>
      <c r="I524" t="n">
        <v>0.6772588801675646</v>
      </c>
      <c r="J524" t="n">
        <v>0.2500303658562124</v>
      </c>
      <c r="K524" t="n">
        <v>0.1714067468765348</v>
      </c>
      <c r="L524" t="b">
        <v>0</v>
      </c>
      <c r="M524" t="b">
        <v>0</v>
      </c>
      <c r="N524" t="inlineStr">
        <is>
          <t>alt</t>
        </is>
      </c>
      <c r="O524" t="n">
        <v>95</v>
      </c>
      <c r="P524" t="n">
        <v>0.01874</v>
      </c>
      <c r="Q524" t="n">
        <v>95</v>
      </c>
      <c r="R524" t="n">
        <v>0.3013</v>
      </c>
      <c r="S524">
        <f>IMAGE("https://mitra.stanford.edu/kundaje/oak/projects/neuro-variants/variant_position/credible/roussos_2024/variant_figures/roussos_2024.childhood.GABA/rs10835368_count_position.png",4,220,900)</f>
        <v/>
      </c>
      <c r="T524">
        <f>IMAGE("https://mitra.stanford.edu/kundaje/oak/projects/neuro-variants/variant_position/credible/roussos_2024/variant_figures/roussos_2024.childhood.GABA/rs10835368_profile_position.png",4,220,900)</f>
        <v/>
      </c>
    </row>
    <row r="525">
      <c r="A525" t="inlineStr">
        <is>
          <t>chr11</t>
        </is>
      </c>
      <c r="B525" t="n">
        <v>28622395</v>
      </c>
      <c r="C525" t="inlineStr">
        <is>
          <t>T</t>
        </is>
      </c>
      <c r="D525" t="inlineStr">
        <is>
          <t>C</t>
        </is>
      </c>
      <c r="E525" t="inlineStr">
        <is>
          <t>rs10835373</t>
        </is>
      </c>
      <c r="F525" t="n">
        <v>0.1192320671999999</v>
      </c>
      <c r="G525" t="n">
        <v>0.0187827791279208</v>
      </c>
      <c r="H525" t="n">
        <v>0.0375691283806091</v>
      </c>
      <c r="I525" t="n">
        <v>0.0049447863146593</v>
      </c>
      <c r="J525" t="n">
        <v>0.2949833511340076</v>
      </c>
      <c r="K525" t="n">
        <v>0.1402682233940555</v>
      </c>
      <c r="L525" t="b">
        <v>1</v>
      </c>
      <c r="M525" t="b">
        <v>1</v>
      </c>
      <c r="N525" t="inlineStr">
        <is>
          <t>alt</t>
        </is>
      </c>
      <c r="O525" t="n">
        <v>-100</v>
      </c>
      <c r="P525" t="n">
        <v>0.01133</v>
      </c>
      <c r="Q525" t="n">
        <v>15</v>
      </c>
      <c r="R525" t="n">
        <v>0.009094</v>
      </c>
      <c r="S525">
        <f>IMAGE("https://mitra.stanford.edu/kundaje/oak/projects/neuro-variants/variant_position/credible/roussos_2024/variant_figures/roussos_2024.childhood.GABA/rs10835373_count_position.png",4,220,900)</f>
        <v/>
      </c>
      <c r="T525">
        <f>IMAGE("https://mitra.stanford.edu/kundaje/oak/projects/neuro-variants/variant_position/credible/roussos_2024/variant_figures/roussos_2024.childhood.GABA/rs10835373_profile_position.png",4,220,900)</f>
        <v/>
      </c>
    </row>
    <row r="526">
      <c r="A526" t="inlineStr">
        <is>
          <t>chr11</t>
        </is>
      </c>
      <c r="B526" t="n">
        <v>28622565</v>
      </c>
      <c r="C526" t="inlineStr">
        <is>
          <t>G</t>
        </is>
      </c>
      <c r="D526" t="inlineStr">
        <is>
          <t>T</t>
        </is>
      </c>
      <c r="E526" t="inlineStr">
        <is>
          <t>rs11030388</t>
        </is>
      </c>
      <c r="F526" t="n">
        <v>0.00156528724</v>
      </c>
      <c r="G526" t="n">
        <v>0.7336813121875665</v>
      </c>
      <c r="H526" t="n">
        <v>0.015014795190601</v>
      </c>
      <c r="I526" t="n">
        <v>0.2250259551902318</v>
      </c>
      <c r="J526" t="n">
        <v>0.1700236644258758</v>
      </c>
      <c r="K526" t="n">
        <v>0.2536251117135081</v>
      </c>
      <c r="L526" t="b">
        <v>0</v>
      </c>
      <c r="M526" t="b">
        <v>0</v>
      </c>
      <c r="N526" t="inlineStr">
        <is>
          <t>alt</t>
        </is>
      </c>
      <c r="O526" t="n">
        <v>85</v>
      </c>
      <c r="P526" t="n">
        <v>0.00993</v>
      </c>
      <c r="Q526" t="n">
        <v>-90</v>
      </c>
      <c r="R526" t="n">
        <v>0.05823</v>
      </c>
      <c r="S526">
        <f>IMAGE("https://mitra.stanford.edu/kundaje/oak/projects/neuro-variants/variant_position/credible/roussos_2024/variant_figures/roussos_2024.childhood.GABA/rs11030388_count_position.png",4,220,900)</f>
        <v/>
      </c>
      <c r="T526">
        <f>IMAGE("https://mitra.stanford.edu/kundaje/oak/projects/neuro-variants/variant_position/credible/roussos_2024/variant_figures/roussos_2024.childhood.GABA/rs11030388_profile_position.png",4,220,900)</f>
        <v/>
      </c>
    </row>
    <row r="527">
      <c r="A527" t="inlineStr">
        <is>
          <t>chr11</t>
        </is>
      </c>
      <c r="B527" t="n">
        <v>28624925</v>
      </c>
      <c r="C527" t="inlineStr">
        <is>
          <t>C</t>
        </is>
      </c>
      <c r="D527" t="inlineStr">
        <is>
          <t>T</t>
        </is>
      </c>
      <c r="E527" t="inlineStr">
        <is>
          <t>rs4576808</t>
        </is>
      </c>
      <c r="F527" t="n">
        <v>-0.0270630086</v>
      </c>
      <c r="G527" t="n">
        <v>0.3444151568746303</v>
      </c>
      <c r="H527" t="n">
        <v>0.0133959521225035</v>
      </c>
      <c r="I527" t="n">
        <v>0.3236522941761219</v>
      </c>
      <c r="J527" t="n">
        <v>0.0145337270423655</v>
      </c>
      <c r="K527" t="n">
        <v>0.7061348690793713</v>
      </c>
      <c r="L527" t="b">
        <v>0</v>
      </c>
      <c r="M527" t="b">
        <v>0</v>
      </c>
      <c r="N527" t="inlineStr">
        <is>
          <t>ref</t>
        </is>
      </c>
      <c r="O527" t="n">
        <v>45</v>
      </c>
      <c r="P527" t="n">
        <v>0.003933</v>
      </c>
      <c r="Q527" t="n">
        <v>-55</v>
      </c>
      <c r="R527" t="n">
        <v>0.003288</v>
      </c>
      <c r="S527">
        <f>IMAGE("https://mitra.stanford.edu/kundaje/oak/projects/neuro-variants/variant_position/credible/roussos_2024/variant_figures/roussos_2024.childhood.GABA/rs4576808_count_position.png",4,220,900)</f>
        <v/>
      </c>
      <c r="T527">
        <f>IMAGE("https://mitra.stanford.edu/kundaje/oak/projects/neuro-variants/variant_position/credible/roussos_2024/variant_figures/roussos_2024.childhood.GABA/rs4576808_profile_position.png",4,220,900)</f>
        <v/>
      </c>
    </row>
    <row r="528">
      <c r="A528" t="inlineStr">
        <is>
          <t>chr11</t>
        </is>
      </c>
      <c r="B528" t="n">
        <v>28632479</v>
      </c>
      <c r="C528" t="inlineStr">
        <is>
          <t>C</t>
        </is>
      </c>
      <c r="D528" t="inlineStr">
        <is>
          <t>T</t>
        </is>
      </c>
      <c r="E528" t="inlineStr">
        <is>
          <t>rs4290216</t>
        </is>
      </c>
      <c r="F528" t="n">
        <v>-0.0011231531399999</v>
      </c>
      <c r="G528" t="n">
        <v>0.7273882989848041</v>
      </c>
      <c r="H528" t="n">
        <v>0.0310058406465878</v>
      </c>
      <c r="I528" t="n">
        <v>0.0107920743777027</v>
      </c>
      <c r="J528" t="n">
        <v>0.09141169818433111</v>
      </c>
      <c r="K528" t="n">
        <v>0.3825440403146866</v>
      </c>
      <c r="L528" t="b">
        <v>1</v>
      </c>
      <c r="M528" t="b">
        <v>0</v>
      </c>
      <c r="N528" t="inlineStr">
        <is>
          <t>ref</t>
        </is>
      </c>
      <c r="O528" t="n">
        <v>5</v>
      </c>
      <c r="P528" t="n">
        <v>0.0008087</v>
      </c>
      <c r="Q528" t="n">
        <v>30</v>
      </c>
      <c r="R528" t="n">
        <v>0.02087</v>
      </c>
      <c r="S528">
        <f>IMAGE("https://mitra.stanford.edu/kundaje/oak/projects/neuro-variants/variant_position/credible/roussos_2024/variant_figures/roussos_2024.childhood.GABA/rs4290216_count_position.png",4,220,900)</f>
        <v/>
      </c>
      <c r="T528">
        <f>IMAGE("https://mitra.stanford.edu/kundaje/oak/projects/neuro-variants/variant_position/credible/roussos_2024/variant_figures/roussos_2024.childhood.GABA/rs4290216_profile_position.png",4,220,900)</f>
        <v/>
      </c>
    </row>
    <row r="529">
      <c r="A529" t="inlineStr">
        <is>
          <t>chr11</t>
        </is>
      </c>
      <c r="B529" t="n">
        <v>28633321</v>
      </c>
      <c r="C529" t="inlineStr">
        <is>
          <t>G</t>
        </is>
      </c>
      <c r="D529" t="inlineStr">
        <is>
          <t>A</t>
        </is>
      </c>
      <c r="E529" t="inlineStr">
        <is>
          <t>rs7935241</t>
        </is>
      </c>
      <c r="F529" t="n">
        <v>-0.0488749681999999</v>
      </c>
      <c r="G529" t="n">
        <v>0.1742338908966648</v>
      </c>
      <c r="H529" t="n">
        <v>0.011386729137324</v>
      </c>
      <c r="I529" t="n">
        <v>0.494998397112968</v>
      </c>
      <c r="J529" t="n">
        <v>0.0612782978366944</v>
      </c>
      <c r="K529" t="n">
        <v>0.4678449711108186</v>
      </c>
      <c r="L529" t="b">
        <v>0</v>
      </c>
      <c r="M529" t="b">
        <v>0</v>
      </c>
      <c r="N529" t="inlineStr">
        <is>
          <t>ref</t>
        </is>
      </c>
      <c r="O529" t="n">
        <v>-100</v>
      </c>
      <c r="P529" t="n">
        <v>0.002731</v>
      </c>
      <c r="Q529" t="n">
        <v>-95</v>
      </c>
      <c r="R529" t="n">
        <v>0.03284</v>
      </c>
      <c r="S529">
        <f>IMAGE("https://mitra.stanford.edu/kundaje/oak/projects/neuro-variants/variant_position/credible/roussos_2024/variant_figures/roussos_2024.childhood.GABA/rs7935241_count_position.png",4,220,900)</f>
        <v/>
      </c>
      <c r="T529">
        <f>IMAGE("https://mitra.stanford.edu/kundaje/oak/projects/neuro-variants/variant_position/credible/roussos_2024/variant_figures/roussos_2024.childhood.GABA/rs7935241_profile_position.png",4,220,900)</f>
        <v/>
      </c>
    </row>
    <row r="530">
      <c r="A530" t="inlineStr">
        <is>
          <t>chr11</t>
        </is>
      </c>
      <c r="B530" t="n">
        <v>28634462</v>
      </c>
      <c r="C530" t="inlineStr">
        <is>
          <t>T</t>
        </is>
      </c>
      <c r="D530" t="inlineStr">
        <is>
          <t>G</t>
        </is>
      </c>
      <c r="E530" t="inlineStr">
        <is>
          <t>rs7928893</t>
        </is>
      </c>
      <c r="F530" t="n">
        <v>-0.00347014472</v>
      </c>
      <c r="G530" t="n">
        <v>0.7873741049933769</v>
      </c>
      <c r="H530" t="n">
        <v>0.0300565340148246</v>
      </c>
      <c r="I530" t="n">
        <v>0.0123748981671859</v>
      </c>
      <c r="J530" t="n">
        <v>0.0224843458775731</v>
      </c>
      <c r="K530" t="n">
        <v>0.6312800132016401</v>
      </c>
      <c r="L530" t="b">
        <v>1</v>
      </c>
      <c r="M530" t="b">
        <v>0</v>
      </c>
      <c r="N530" t="inlineStr">
        <is>
          <t>ref</t>
        </is>
      </c>
      <c r="O530" t="n">
        <v>-90</v>
      </c>
      <c r="P530" t="n">
        <v>0.001787</v>
      </c>
      <c r="Q530" t="n">
        <v>-65</v>
      </c>
      <c r="R530" t="n">
        <v>0.07480000000000001</v>
      </c>
      <c r="S530">
        <f>IMAGE("https://mitra.stanford.edu/kundaje/oak/projects/neuro-variants/variant_position/credible/roussos_2024/variant_figures/roussos_2024.childhood.GABA/rs7928893_count_position.png",4,220,900)</f>
        <v/>
      </c>
      <c r="T530">
        <f>IMAGE("https://mitra.stanford.edu/kundaje/oak/projects/neuro-variants/variant_position/credible/roussos_2024/variant_figures/roussos_2024.childhood.GABA/rs7928893_profile_position.png",4,220,900)</f>
        <v/>
      </c>
    </row>
    <row r="531">
      <c r="A531" t="inlineStr">
        <is>
          <t>chr11</t>
        </is>
      </c>
      <c r="B531" t="n">
        <v>38894025</v>
      </c>
      <c r="C531" t="inlineStr">
        <is>
          <t>G</t>
        </is>
      </c>
      <c r="D531" t="inlineStr">
        <is>
          <t>A</t>
        </is>
      </c>
      <c r="E531" t="inlineStr">
        <is>
          <t>rs7122369</t>
        </is>
      </c>
      <c r="F531" t="n">
        <v>-0.06751483179999999</v>
      </c>
      <c r="G531" t="n">
        <v>0.0771312217762111</v>
      </c>
      <c r="H531" t="n">
        <v>0.0096998620068407</v>
      </c>
      <c r="I531" t="n">
        <v>0.680908847924218</v>
      </c>
      <c r="J531" t="n">
        <v>0.0236340600196853</v>
      </c>
      <c r="K531" t="n">
        <v>0.6299225783337711</v>
      </c>
      <c r="L531" t="b">
        <v>0</v>
      </c>
      <c r="M531" t="b">
        <v>0</v>
      </c>
      <c r="N531" t="inlineStr">
        <is>
          <t>ref</t>
        </is>
      </c>
      <c r="O531" t="n">
        <v>-100</v>
      </c>
      <c r="P531" t="n">
        <v>0.004936</v>
      </c>
      <c r="Q531" t="n">
        <v>-65</v>
      </c>
      <c r="R531" t="n">
        <v>0.0361</v>
      </c>
      <c r="S531">
        <f>IMAGE("https://mitra.stanford.edu/kundaje/oak/projects/neuro-variants/variant_position/credible/roussos_2024/variant_figures/roussos_2024.childhood.GABA/rs7122369_count_position.png",4,220,900)</f>
        <v/>
      </c>
      <c r="T531">
        <f>IMAGE("https://mitra.stanford.edu/kundaje/oak/projects/neuro-variants/variant_position/credible/roussos_2024/variant_figures/roussos_2024.childhood.GABA/rs7122369_profile_position.png",4,220,900)</f>
        <v/>
      </c>
    </row>
    <row r="532">
      <c r="A532" t="inlineStr">
        <is>
          <t>chr11</t>
        </is>
      </c>
      <c r="B532" t="n">
        <v>38895917</v>
      </c>
      <c r="C532" t="inlineStr">
        <is>
          <t>T</t>
        </is>
      </c>
      <c r="D532" t="inlineStr">
        <is>
          <t>C</t>
        </is>
      </c>
      <c r="E532" t="inlineStr">
        <is>
          <t>rs11034985</t>
        </is>
      </c>
      <c r="F532" t="n">
        <v>0.0583072442</v>
      </c>
      <c r="G532" t="n">
        <v>0.1036134189709517</v>
      </c>
      <c r="H532" t="n">
        <v>0.0158680539565282</v>
      </c>
      <c r="I532" t="n">
        <v>0.1857491456988004</v>
      </c>
      <c r="J532" t="n">
        <v>0.0881070553496261</v>
      </c>
      <c r="K532" t="n">
        <v>0.3833959077684551</v>
      </c>
      <c r="L532" t="b">
        <v>0</v>
      </c>
      <c r="M532" t="b">
        <v>0</v>
      </c>
      <c r="N532" t="inlineStr">
        <is>
          <t>alt</t>
        </is>
      </c>
      <c r="O532" t="n">
        <v>-65</v>
      </c>
      <c r="P532" t="n">
        <v>0.01913</v>
      </c>
      <c r="Q532" t="n">
        <v>-65</v>
      </c>
      <c r="R532" t="n">
        <v>0.12305</v>
      </c>
      <c r="S532">
        <f>IMAGE("https://mitra.stanford.edu/kundaje/oak/projects/neuro-variants/variant_position/credible/roussos_2024/variant_figures/roussos_2024.childhood.GABA/rs11034985_count_position.png",4,220,900)</f>
        <v/>
      </c>
      <c r="T532">
        <f>IMAGE("https://mitra.stanford.edu/kundaje/oak/projects/neuro-variants/variant_position/credible/roussos_2024/variant_figures/roussos_2024.childhood.GABA/rs11034985_profile_position.png",4,220,900)</f>
        <v/>
      </c>
    </row>
    <row r="533">
      <c r="A533" t="inlineStr">
        <is>
          <t>chr11</t>
        </is>
      </c>
      <c r="B533" t="n">
        <v>38901131</v>
      </c>
      <c r="C533" t="inlineStr">
        <is>
          <t>A</t>
        </is>
      </c>
      <c r="D533" t="inlineStr">
        <is>
          <t>G</t>
        </is>
      </c>
      <c r="E533" t="inlineStr">
        <is>
          <t>rs10837065</t>
        </is>
      </c>
      <c r="F533" t="n">
        <v>-0.00502501368</v>
      </c>
      <c r="G533" t="n">
        <v>0.7442067155532657</v>
      </c>
      <c r="H533" t="n">
        <v>0.0438672680788343</v>
      </c>
      <c r="I533" t="n">
        <v>0.0026942671767823</v>
      </c>
      <c r="J533" t="n">
        <v>0.0657808213440555</v>
      </c>
      <c r="K533" t="n">
        <v>0.4442383254843317</v>
      </c>
      <c r="L533" t="b">
        <v>1</v>
      </c>
      <c r="M533" t="b">
        <v>1</v>
      </c>
      <c r="N533" t="inlineStr">
        <is>
          <t>ref</t>
        </is>
      </c>
      <c r="O533" t="n">
        <v>100</v>
      </c>
      <c r="P533" t="n">
        <v>0.02237</v>
      </c>
      <c r="Q533" t="n">
        <v>100</v>
      </c>
      <c r="R533" t="n">
        <v>0.01007</v>
      </c>
      <c r="S533">
        <f>IMAGE("https://mitra.stanford.edu/kundaje/oak/projects/neuro-variants/variant_position/credible/roussos_2024/variant_figures/roussos_2024.childhood.GABA/rs10837065_count_position.png",4,220,900)</f>
        <v/>
      </c>
      <c r="T533">
        <f>IMAGE("https://mitra.stanford.edu/kundaje/oak/projects/neuro-variants/variant_position/credible/roussos_2024/variant_figures/roussos_2024.childhood.GABA/rs10837065_profile_position.png",4,220,900)</f>
        <v/>
      </c>
    </row>
    <row r="534">
      <c r="A534" t="inlineStr">
        <is>
          <t>chr11</t>
        </is>
      </c>
      <c r="B534" t="n">
        <v>38901349</v>
      </c>
      <c r="C534" t="inlineStr">
        <is>
          <t>G</t>
        </is>
      </c>
      <c r="D534" t="inlineStr">
        <is>
          <t>A</t>
        </is>
      </c>
      <c r="E534" t="inlineStr">
        <is>
          <t>rs10837066</t>
        </is>
      </c>
      <c r="F534" t="n">
        <v>-0.03686025612</v>
      </c>
      <c r="G534" t="n">
        <v>0.2214297187895027</v>
      </c>
      <c r="H534" t="n">
        <v>0.0167752736252601</v>
      </c>
      <c r="I534" t="n">
        <v>0.1589645868516417</v>
      </c>
      <c r="J534" t="n">
        <v>0.0359646918389143</v>
      </c>
      <c r="K534" t="n">
        <v>0.5506952712515871</v>
      </c>
      <c r="L534" t="b">
        <v>0</v>
      </c>
      <c r="M534" t="b">
        <v>0</v>
      </c>
      <c r="N534" t="inlineStr">
        <is>
          <t>ref</t>
        </is>
      </c>
      <c r="O534" t="n">
        <v>-90</v>
      </c>
      <c r="P534" t="n">
        <v>0.0576</v>
      </c>
      <c r="Q534" t="n">
        <v>100</v>
      </c>
      <c r="R534" t="n">
        <v>0.03014</v>
      </c>
      <c r="S534">
        <f>IMAGE("https://mitra.stanford.edu/kundaje/oak/projects/neuro-variants/variant_position/credible/roussos_2024/variant_figures/roussos_2024.childhood.GABA/rs10837066_count_position.png",4,220,900)</f>
        <v/>
      </c>
      <c r="T534">
        <f>IMAGE("https://mitra.stanford.edu/kundaje/oak/projects/neuro-variants/variant_position/credible/roussos_2024/variant_figures/roussos_2024.childhood.GABA/rs10837066_profile_position.png",4,220,900)</f>
        <v/>
      </c>
    </row>
    <row r="535">
      <c r="A535" t="inlineStr">
        <is>
          <t>chr11</t>
        </is>
      </c>
      <c r="B535" t="n">
        <v>38910929</v>
      </c>
      <c r="C535" t="inlineStr">
        <is>
          <t>A</t>
        </is>
      </c>
      <c r="D535" t="inlineStr">
        <is>
          <t>C</t>
        </is>
      </c>
      <c r="E535" t="inlineStr">
        <is>
          <t>rs12365929</t>
        </is>
      </c>
      <c r="F535" t="n">
        <v>-0.008890129680000001</v>
      </c>
      <c r="G535" t="n">
        <v>0.6811827363184659</v>
      </c>
      <c r="H535" t="n">
        <v>0.0059860499619388</v>
      </c>
      <c r="I535" t="n">
        <v>0.9833495213610728</v>
      </c>
      <c r="J535" t="n">
        <v>0.0240926891583421</v>
      </c>
      <c r="K535" t="n">
        <v>0.6188979750204889</v>
      </c>
      <c r="L535" t="b">
        <v>0</v>
      </c>
      <c r="M535" t="b">
        <v>0</v>
      </c>
      <c r="N535" t="inlineStr">
        <is>
          <t>ref</t>
        </is>
      </c>
      <c r="O535" t="n">
        <v>45</v>
      </c>
      <c r="P535" t="n">
        <v>0.003702</v>
      </c>
      <c r="Q535" t="n">
        <v>25</v>
      </c>
      <c r="R535" t="n">
        <v>0.1135</v>
      </c>
      <c r="S535">
        <f>IMAGE("https://mitra.stanford.edu/kundaje/oak/projects/neuro-variants/variant_position/credible/roussos_2024/variant_figures/roussos_2024.childhood.GABA/rs12365929_count_position.png",4,220,900)</f>
        <v/>
      </c>
      <c r="T535">
        <f>IMAGE("https://mitra.stanford.edu/kundaje/oak/projects/neuro-variants/variant_position/credible/roussos_2024/variant_figures/roussos_2024.childhood.GABA/rs12365929_profile_position.png",4,220,900)</f>
        <v/>
      </c>
    </row>
    <row r="536">
      <c r="A536" t="inlineStr">
        <is>
          <t>chr11</t>
        </is>
      </c>
      <c r="B536" t="n">
        <v>38939996</v>
      </c>
      <c r="C536" t="inlineStr">
        <is>
          <t>A</t>
        </is>
      </c>
      <c r="D536" t="inlineStr">
        <is>
          <t>C</t>
        </is>
      </c>
      <c r="E536" t="inlineStr">
        <is>
          <t>rs67617610</t>
        </is>
      </c>
      <c r="F536" t="n">
        <v>0.0007976649400000001</v>
      </c>
      <c r="G536" t="n">
        <v>0.7600939248927419</v>
      </c>
      <c r="H536" t="n">
        <v>0.0245886970948614</v>
      </c>
      <c r="I536" t="n">
        <v>0.0310559511779549</v>
      </c>
      <c r="J536" t="n">
        <v>0.0947236707084668</v>
      </c>
      <c r="K536" t="n">
        <v>0.3748359420662371</v>
      </c>
      <c r="L536" t="b">
        <v>0</v>
      </c>
      <c r="M536" t="b">
        <v>0</v>
      </c>
      <c r="N536" t="inlineStr">
        <is>
          <t>alt</t>
        </is>
      </c>
      <c r="O536" t="n">
        <v>-95</v>
      </c>
      <c r="P536" t="n">
        <v>0.09705</v>
      </c>
      <c r="Q536" t="n">
        <v>100</v>
      </c>
      <c r="R536" t="n">
        <v>0.0985</v>
      </c>
      <c r="S536">
        <f>IMAGE("https://mitra.stanford.edu/kundaje/oak/projects/neuro-variants/variant_position/credible/roussos_2024/variant_figures/roussos_2024.childhood.GABA/rs67617610_count_position.png",4,220,900)</f>
        <v/>
      </c>
      <c r="T536">
        <f>IMAGE("https://mitra.stanford.edu/kundaje/oak/projects/neuro-variants/variant_position/credible/roussos_2024/variant_figures/roussos_2024.childhood.GABA/rs67617610_profile_position.png",4,220,900)</f>
        <v/>
      </c>
    </row>
    <row r="537">
      <c r="A537" t="inlineStr">
        <is>
          <t>chr11</t>
        </is>
      </c>
      <c r="B537" t="n">
        <v>38944032</v>
      </c>
      <c r="C537" t="inlineStr">
        <is>
          <t>G</t>
        </is>
      </c>
      <c r="D537" t="inlineStr">
        <is>
          <t>A</t>
        </is>
      </c>
      <c r="E537" t="inlineStr">
        <is>
          <t>rs10837072</t>
        </is>
      </c>
      <c r="F537" t="n">
        <v>-0.09486560400000001</v>
      </c>
      <c r="G537" t="n">
        <v>0.0348338671987464</v>
      </c>
      <c r="H537" t="n">
        <v>0.0149859048912581</v>
      </c>
      <c r="I537" t="n">
        <v>0.2276216786435394</v>
      </c>
      <c r="J537" t="n">
        <v>0.0055768465581872</v>
      </c>
      <c r="K537" t="n">
        <v>0.8025845422877413</v>
      </c>
      <c r="L537" t="b">
        <v>0</v>
      </c>
      <c r="M537" t="b">
        <v>0</v>
      </c>
      <c r="N537" t="inlineStr">
        <is>
          <t>ref</t>
        </is>
      </c>
      <c r="O537" t="n">
        <v>-100</v>
      </c>
      <c r="P537" t="n">
        <v>0.01433</v>
      </c>
      <c r="Q537" t="n">
        <v>-90</v>
      </c>
      <c r="R537" t="n">
        <v>0.05157</v>
      </c>
      <c r="S537">
        <f>IMAGE("https://mitra.stanford.edu/kundaje/oak/projects/neuro-variants/variant_position/credible/roussos_2024/variant_figures/roussos_2024.childhood.GABA/rs10837072_count_position.png",4,220,900)</f>
        <v/>
      </c>
      <c r="T537">
        <f>IMAGE("https://mitra.stanford.edu/kundaje/oak/projects/neuro-variants/variant_position/credible/roussos_2024/variant_figures/roussos_2024.childhood.GABA/rs10837072_profile_position.png",4,220,900)</f>
        <v/>
      </c>
    </row>
    <row r="538">
      <c r="A538" t="inlineStr">
        <is>
          <t>chr11</t>
        </is>
      </c>
      <c r="B538" t="n">
        <v>38948510</v>
      </c>
      <c r="C538" t="inlineStr">
        <is>
          <t>G</t>
        </is>
      </c>
      <c r="D538" t="inlineStr">
        <is>
          <t>A</t>
        </is>
      </c>
      <c r="E538" t="inlineStr">
        <is>
          <t>rs12277025</t>
        </is>
      </c>
      <c r="F538" t="n">
        <v>0.0059954508399999</v>
      </c>
      <c r="G538" t="n">
        <v>0.730912851841139</v>
      </c>
      <c r="H538" t="n">
        <v>0.0287514947451939</v>
      </c>
      <c r="I538" t="n">
        <v>0.0154940076077959</v>
      </c>
      <c r="J538" t="n">
        <v>0.0014334778329249</v>
      </c>
      <c r="K538" t="n">
        <v>0.9034929117593938</v>
      </c>
      <c r="L538" t="b">
        <v>0</v>
      </c>
      <c r="M538" t="b">
        <v>0</v>
      </c>
      <c r="N538" t="inlineStr">
        <is>
          <t>alt</t>
        </is>
      </c>
      <c r="O538" t="n">
        <v>-95</v>
      </c>
      <c r="P538" t="n">
        <v>0.006165</v>
      </c>
      <c r="Q538" t="n">
        <v>15</v>
      </c>
      <c r="R538" t="n">
        <v>0.01068</v>
      </c>
      <c r="S538">
        <f>IMAGE("https://mitra.stanford.edu/kundaje/oak/projects/neuro-variants/variant_position/credible/roussos_2024/variant_figures/roussos_2024.childhood.GABA/rs12277025_count_position.png",4,220,900)</f>
        <v/>
      </c>
      <c r="T538">
        <f>IMAGE("https://mitra.stanford.edu/kundaje/oak/projects/neuro-variants/variant_position/credible/roussos_2024/variant_figures/roussos_2024.childhood.GABA/rs12277025_profile_position.png",4,220,900)</f>
        <v/>
      </c>
    </row>
    <row r="539">
      <c r="A539" t="inlineStr">
        <is>
          <t>chr11</t>
        </is>
      </c>
      <c r="B539" t="n">
        <v>38953272</v>
      </c>
      <c r="C539" t="inlineStr">
        <is>
          <t>A</t>
        </is>
      </c>
      <c r="D539" t="inlineStr">
        <is>
          <t>T</t>
        </is>
      </c>
      <c r="E539" t="inlineStr">
        <is>
          <t>rs10837077</t>
        </is>
      </c>
      <c r="F539" t="n">
        <v>-0.003718443868</v>
      </c>
      <c r="G539" t="n">
        <v>0.8557458783490156</v>
      </c>
      <c r="H539" t="n">
        <v>0.0241173963827978</v>
      </c>
      <c r="I539" t="n">
        <v>0.0333139423745942</v>
      </c>
      <c r="J539" t="n">
        <v>0.0163588197105819</v>
      </c>
      <c r="K539" t="n">
        <v>0.6733632744850111</v>
      </c>
      <c r="L539" t="b">
        <v>0</v>
      </c>
      <c r="M539" t="b">
        <v>0</v>
      </c>
      <c r="N539" t="inlineStr">
        <is>
          <t>ref</t>
        </is>
      </c>
      <c r="O539" t="n">
        <v>-20</v>
      </c>
      <c r="P539" t="n">
        <v>0.003555</v>
      </c>
      <c r="Q539" t="n">
        <v>-55</v>
      </c>
      <c r="R539" t="n">
        <v>0.03262</v>
      </c>
      <c r="S539">
        <f>IMAGE("https://mitra.stanford.edu/kundaje/oak/projects/neuro-variants/variant_position/credible/roussos_2024/variant_figures/roussos_2024.childhood.GABA/rs10837077_count_position.png",4,220,900)</f>
        <v/>
      </c>
      <c r="T539">
        <f>IMAGE("https://mitra.stanford.edu/kundaje/oak/projects/neuro-variants/variant_position/credible/roussos_2024/variant_figures/roussos_2024.childhood.GABA/rs10837077_profile_position.png",4,220,900)</f>
        <v/>
      </c>
    </row>
    <row r="540">
      <c r="A540" t="inlineStr">
        <is>
          <t>chr11</t>
        </is>
      </c>
      <c r="B540" t="n">
        <v>38961066</v>
      </c>
      <c r="C540" t="inlineStr">
        <is>
          <t>G</t>
        </is>
      </c>
      <c r="D540" t="inlineStr">
        <is>
          <t>A</t>
        </is>
      </c>
      <c r="E540" t="inlineStr">
        <is>
          <t>rs10501212</t>
        </is>
      </c>
      <c r="F540" t="n">
        <v>0.00436633896</v>
      </c>
      <c r="G540" t="n">
        <v>0.811417694229298</v>
      </c>
      <c r="H540" t="n">
        <v>0.0254008825578655</v>
      </c>
      <c r="I540" t="n">
        <v>0.0266016126942559</v>
      </c>
      <c r="J540" t="n">
        <v>0.0023884316558815</v>
      </c>
      <c r="K540" t="n">
        <v>0.8966098341884818</v>
      </c>
      <c r="L540" t="b">
        <v>0</v>
      </c>
      <c r="M540" t="b">
        <v>0</v>
      </c>
      <c r="N540" t="inlineStr">
        <is>
          <t>alt</t>
        </is>
      </c>
      <c r="O540" t="n">
        <v>100</v>
      </c>
      <c r="P540" t="n">
        <v>0.00967</v>
      </c>
      <c r="Q540" t="n">
        <v>85</v>
      </c>
      <c r="R540" t="n">
        <v>0.06207</v>
      </c>
      <c r="S540">
        <f>IMAGE("https://mitra.stanford.edu/kundaje/oak/projects/neuro-variants/variant_position/credible/roussos_2024/variant_figures/roussos_2024.childhood.GABA/rs10501212_count_position.png",4,220,900)</f>
        <v/>
      </c>
      <c r="T540">
        <f>IMAGE("https://mitra.stanford.edu/kundaje/oak/projects/neuro-variants/variant_position/credible/roussos_2024/variant_figures/roussos_2024.childhood.GABA/rs10501212_profile_position.png",4,220,900)</f>
        <v/>
      </c>
    </row>
    <row r="541">
      <c r="A541" t="inlineStr">
        <is>
          <t>chr11</t>
        </is>
      </c>
      <c r="B541" t="n">
        <v>38963520</v>
      </c>
      <c r="C541" t="inlineStr">
        <is>
          <t>T</t>
        </is>
      </c>
      <c r="D541" t="inlineStr">
        <is>
          <t>C</t>
        </is>
      </c>
      <c r="E541" t="inlineStr">
        <is>
          <t>rs10837082</t>
        </is>
      </c>
      <c r="F541" t="n">
        <v>0.0817228814</v>
      </c>
      <c r="G541" t="n">
        <v>0.0567642141858689</v>
      </c>
      <c r="H541" t="n">
        <v>0.0201328804957832</v>
      </c>
      <c r="I541" t="n">
        <v>0.0741780862225649</v>
      </c>
      <c r="J541" t="n">
        <v>0.0832108228099934</v>
      </c>
      <c r="K541" t="n">
        <v>0.3850782615263849</v>
      </c>
      <c r="L541" t="b">
        <v>0</v>
      </c>
      <c r="M541" t="b">
        <v>0</v>
      </c>
      <c r="N541" t="inlineStr">
        <is>
          <t>alt</t>
        </is>
      </c>
      <c r="O541" t="n">
        <v>100</v>
      </c>
      <c r="P541" t="n">
        <v>0.01483</v>
      </c>
      <c r="Q541" t="n">
        <v>100</v>
      </c>
      <c r="R541" t="n">
        <v>0.10876</v>
      </c>
      <c r="S541">
        <f>IMAGE("https://mitra.stanford.edu/kundaje/oak/projects/neuro-variants/variant_position/credible/roussos_2024/variant_figures/roussos_2024.childhood.GABA/rs10837082_count_position.png",4,220,900)</f>
        <v/>
      </c>
      <c r="T541">
        <f>IMAGE("https://mitra.stanford.edu/kundaje/oak/projects/neuro-variants/variant_position/credible/roussos_2024/variant_figures/roussos_2024.childhood.GABA/rs10837082_profile_position.png",4,220,900)</f>
        <v/>
      </c>
    </row>
    <row r="542">
      <c r="A542" t="inlineStr">
        <is>
          <t>chr11</t>
        </is>
      </c>
      <c r="B542" t="n">
        <v>38964832</v>
      </c>
      <c r="C542" t="inlineStr">
        <is>
          <t>G</t>
        </is>
      </c>
      <c r="D542" t="inlineStr">
        <is>
          <t>A</t>
        </is>
      </c>
      <c r="E542" t="inlineStr">
        <is>
          <t>rs11035025</t>
        </is>
      </c>
      <c r="F542" t="n">
        <v>0.0062473815</v>
      </c>
      <c r="G542" t="n">
        <v>0.719964724214491</v>
      </c>
      <c r="H542" t="n">
        <v>0.0269307442598496</v>
      </c>
      <c r="I542" t="n">
        <v>0.0206319765819572</v>
      </c>
      <c r="J542" t="n">
        <v>6.701430336535534e-05</v>
      </c>
      <c r="K542" t="n">
        <v>0.9838175083905596</v>
      </c>
      <c r="L542" t="b">
        <v>0</v>
      </c>
      <c r="M542" t="b">
        <v>0</v>
      </c>
      <c r="N542" t="inlineStr">
        <is>
          <t>alt</t>
        </is>
      </c>
      <c r="O542" t="n">
        <v>100</v>
      </c>
      <c r="P542" t="n">
        <v>0.1016</v>
      </c>
      <c r="Q542" t="n">
        <v>100</v>
      </c>
      <c r="R542" t="n">
        <v>0.06850000000000001</v>
      </c>
      <c r="S542">
        <f>IMAGE("https://mitra.stanford.edu/kundaje/oak/projects/neuro-variants/variant_position/credible/roussos_2024/variant_figures/roussos_2024.childhood.GABA/rs11035025_count_position.png",4,220,900)</f>
        <v/>
      </c>
      <c r="T542">
        <f>IMAGE("https://mitra.stanford.edu/kundaje/oak/projects/neuro-variants/variant_position/credible/roussos_2024/variant_figures/roussos_2024.childhood.GABA/rs11035025_profile_position.png",4,220,900)</f>
        <v/>
      </c>
    </row>
    <row r="543">
      <c r="A543" t="inlineStr">
        <is>
          <t>chr11</t>
        </is>
      </c>
      <c r="B543" t="n">
        <v>38965745</v>
      </c>
      <c r="C543" t="inlineStr">
        <is>
          <t>C</t>
        </is>
      </c>
      <c r="D543" t="inlineStr">
        <is>
          <t>A</t>
        </is>
      </c>
      <c r="E543" t="inlineStr">
        <is>
          <t>rs7119965</t>
        </is>
      </c>
      <c r="F543" t="n">
        <v>0.054632731</v>
      </c>
      <c r="G543" t="n">
        <v>0.1072798466613945</v>
      </c>
      <c r="H543" t="n">
        <v>0.0200238535317137</v>
      </c>
      <c r="I543" t="n">
        <v>0.0774202728122059</v>
      </c>
      <c r="J543" t="n">
        <v>0.0195933069464513</v>
      </c>
      <c r="K543" t="n">
        <v>0.6491201963111817</v>
      </c>
      <c r="L543" t="b">
        <v>0</v>
      </c>
      <c r="M543" t="b">
        <v>0</v>
      </c>
      <c r="N543" t="inlineStr">
        <is>
          <t>alt</t>
        </is>
      </c>
      <c r="O543" t="n">
        <v>70</v>
      </c>
      <c r="P543" t="n">
        <v>0.002422</v>
      </c>
      <c r="Q543" t="n">
        <v>5</v>
      </c>
      <c r="R543" t="n">
        <v>0.000977</v>
      </c>
      <c r="S543">
        <f>IMAGE("https://mitra.stanford.edu/kundaje/oak/projects/neuro-variants/variant_position/credible/roussos_2024/variant_figures/roussos_2024.childhood.GABA/rs7119965_count_position.png",4,220,900)</f>
        <v/>
      </c>
      <c r="T543">
        <f>IMAGE("https://mitra.stanford.edu/kundaje/oak/projects/neuro-variants/variant_position/credible/roussos_2024/variant_figures/roussos_2024.childhood.GABA/rs7119965_profile_position.png",4,220,900)</f>
        <v/>
      </c>
    </row>
    <row r="544">
      <c r="A544" t="inlineStr">
        <is>
          <t>chr11</t>
        </is>
      </c>
      <c r="B544" t="n">
        <v>38975206</v>
      </c>
      <c r="C544" t="inlineStr">
        <is>
          <t>G</t>
        </is>
      </c>
      <c r="D544" t="inlineStr">
        <is>
          <t>A</t>
        </is>
      </c>
      <c r="E544" t="inlineStr">
        <is>
          <t>rs10768438</t>
        </is>
      </c>
      <c r="F544" t="n">
        <v>-0.1160096747999999</v>
      </c>
      <c r="G544" t="n">
        <v>0.0219469760067877</v>
      </c>
      <c r="H544" t="n">
        <v>0.0167585501058235</v>
      </c>
      <c r="I544" t="n">
        <v>0.1546706256395656</v>
      </c>
      <c r="J544" t="n">
        <v>0.0212592406441749</v>
      </c>
      <c r="K544" t="n">
        <v>0.6391038446755107</v>
      </c>
      <c r="L544" t="b">
        <v>0</v>
      </c>
      <c r="M544" t="b">
        <v>0</v>
      </c>
      <c r="N544" t="inlineStr">
        <is>
          <t>ref</t>
        </is>
      </c>
      <c r="O544" t="n">
        <v>5</v>
      </c>
      <c r="P544" t="n">
        <v>0.0003796</v>
      </c>
      <c r="Q544" t="n">
        <v>-15</v>
      </c>
      <c r="R544" t="n">
        <v>0.02783</v>
      </c>
      <c r="S544">
        <f>IMAGE("https://mitra.stanford.edu/kundaje/oak/projects/neuro-variants/variant_position/credible/roussos_2024/variant_figures/roussos_2024.childhood.GABA/rs10768438_count_position.png",4,220,900)</f>
        <v/>
      </c>
      <c r="T544">
        <f>IMAGE("https://mitra.stanford.edu/kundaje/oak/projects/neuro-variants/variant_position/credible/roussos_2024/variant_figures/roussos_2024.childhood.GABA/rs10768438_profile_position.png",4,220,900)</f>
        <v/>
      </c>
    </row>
    <row r="545">
      <c r="A545" t="inlineStr">
        <is>
          <t>chr11</t>
        </is>
      </c>
      <c r="B545" t="n">
        <v>38989193</v>
      </c>
      <c r="C545" t="inlineStr">
        <is>
          <t>C</t>
        </is>
      </c>
      <c r="D545" t="inlineStr">
        <is>
          <t>T</t>
        </is>
      </c>
      <c r="E545" t="inlineStr">
        <is>
          <t>rs10837090</t>
        </is>
      </c>
      <c r="F545" t="n">
        <v>-0.00056500424</v>
      </c>
      <c r="G545" t="n">
        <v>0.8242223343078043</v>
      </c>
      <c r="H545" t="n">
        <v>0.0247794370442559</v>
      </c>
      <c r="I545" t="n">
        <v>0.0292579643557378</v>
      </c>
      <c r="J545" t="n">
        <v>0.0257690938409666</v>
      </c>
      <c r="K545" t="n">
        <v>0.6212746485127145</v>
      </c>
      <c r="L545" t="b">
        <v>0</v>
      </c>
      <c r="M545" t="b">
        <v>0</v>
      </c>
      <c r="N545" t="inlineStr">
        <is>
          <t>ref</t>
        </is>
      </c>
      <c r="O545" t="n">
        <v>100</v>
      </c>
      <c r="P545" t="n">
        <v>0.01062</v>
      </c>
      <c r="Q545" t="n">
        <v>5</v>
      </c>
      <c r="R545" t="n">
        <v>0.003906</v>
      </c>
      <c r="S545">
        <f>IMAGE("https://mitra.stanford.edu/kundaje/oak/projects/neuro-variants/variant_position/credible/roussos_2024/variant_figures/roussos_2024.childhood.GABA/rs10837090_count_position.png",4,220,900)</f>
        <v/>
      </c>
      <c r="T545">
        <f>IMAGE("https://mitra.stanford.edu/kundaje/oak/projects/neuro-variants/variant_position/credible/roussos_2024/variant_figures/roussos_2024.childhood.GABA/rs10837090_profile_position.png",4,220,900)</f>
        <v/>
      </c>
    </row>
    <row r="546">
      <c r="A546" t="inlineStr">
        <is>
          <t>chr11</t>
        </is>
      </c>
      <c r="B546" t="n">
        <v>46373500</v>
      </c>
      <c r="C546" t="inlineStr">
        <is>
          <t>T</t>
        </is>
      </c>
      <c r="D546" t="inlineStr">
        <is>
          <t>G</t>
        </is>
      </c>
      <c r="E546" t="inlineStr">
        <is>
          <t>rs200720298</t>
        </is>
      </c>
      <c r="F546" t="n">
        <v>-0.0034727454</v>
      </c>
      <c r="G546" t="n">
        <v>0.7497008955450081</v>
      </c>
      <c r="H546" t="n">
        <v>0.030531006826808</v>
      </c>
      <c r="I546" t="n">
        <v>0.0120329614942968</v>
      </c>
      <c r="J546" t="n">
        <v>0.2876777449686917</v>
      </c>
      <c r="K546" t="n">
        <v>0.1446364042335031</v>
      </c>
      <c r="L546" t="b">
        <v>1</v>
      </c>
      <c r="M546" t="b">
        <v>0</v>
      </c>
      <c r="N546" t="inlineStr">
        <is>
          <t>ref</t>
        </is>
      </c>
      <c r="O546" t="n">
        <v>-100</v>
      </c>
      <c r="P546" t="n">
        <v>0.05914</v>
      </c>
      <c r="Q546" t="n">
        <v>100</v>
      </c>
      <c r="R546" t="n">
        <v>0.0327</v>
      </c>
      <c r="S546">
        <f>IMAGE("https://mitra.stanford.edu/kundaje/oak/projects/neuro-variants/variant_position/credible/roussos_2024/variant_figures/roussos_2024.childhood.GABA/rs200720298_count_position.png",4,220,900)</f>
        <v/>
      </c>
      <c r="T546">
        <f>IMAGE("https://mitra.stanford.edu/kundaje/oak/projects/neuro-variants/variant_position/credible/roussos_2024/variant_figures/roussos_2024.childhood.GABA/rs200720298_profile_position.png",4,220,900)</f>
        <v/>
      </c>
    </row>
    <row r="547">
      <c r="A547" t="inlineStr">
        <is>
          <t>chr11</t>
        </is>
      </c>
      <c r="B547" t="n">
        <v>46375773</v>
      </c>
      <c r="C547" t="inlineStr">
        <is>
          <t>A</t>
        </is>
      </c>
      <c r="D547" t="inlineStr">
        <is>
          <t>C</t>
        </is>
      </c>
      <c r="E547" t="inlineStr">
        <is>
          <t>rs3740974</t>
        </is>
      </c>
      <c r="F547" t="n">
        <v>0.02152731886</v>
      </c>
      <c r="G547" t="n">
        <v>0.4167774795546037</v>
      </c>
      <c r="H547" t="n">
        <v>0.0269821029870411</v>
      </c>
      <c r="I547" t="n">
        <v>0.0212518086886649</v>
      </c>
      <c r="J547" t="n">
        <v>0.6433079935498732</v>
      </c>
      <c r="K547" t="n">
        <v>0.021521959518039</v>
      </c>
      <c r="L547" t="b">
        <v>0</v>
      </c>
      <c r="M547" t="b">
        <v>0</v>
      </c>
      <c r="N547" t="inlineStr">
        <is>
          <t>alt</t>
        </is>
      </c>
      <c r="O547" t="n">
        <v>-95</v>
      </c>
      <c r="P547" t="n">
        <v>0.010155</v>
      </c>
      <c r="Q547" t="n">
        <v>-100</v>
      </c>
      <c r="R547" t="n">
        <v>0.1082</v>
      </c>
      <c r="S547">
        <f>IMAGE("https://mitra.stanford.edu/kundaje/oak/projects/neuro-variants/variant_position/credible/roussos_2024/variant_figures/roussos_2024.childhood.GABA/rs3740974_count_position.png",4,220,900)</f>
        <v/>
      </c>
      <c r="T547">
        <f>IMAGE("https://mitra.stanford.edu/kundaje/oak/projects/neuro-variants/variant_position/credible/roussos_2024/variant_figures/roussos_2024.childhood.GABA/rs3740974_profile_position.png",4,220,900)</f>
        <v/>
      </c>
    </row>
    <row r="548">
      <c r="A548" t="inlineStr">
        <is>
          <t>chr11</t>
        </is>
      </c>
      <c r="B548" t="n">
        <v>46420976</v>
      </c>
      <c r="C548" t="inlineStr">
        <is>
          <t>C</t>
        </is>
      </c>
      <c r="D548" t="inlineStr">
        <is>
          <t>T</t>
        </is>
      </c>
      <c r="E548" t="inlineStr">
        <is>
          <t>rs12283172</t>
        </is>
      </c>
      <c r="F548" t="n">
        <v>-0.0041173478999999</v>
      </c>
      <c r="G548" t="n">
        <v>0.733426275417329</v>
      </c>
      <c r="H548" t="n">
        <v>0.008645491229246601</v>
      </c>
      <c r="I548" t="n">
        <v>0.7853914988118487</v>
      </c>
      <c r="J548" t="n">
        <v>0.055923436158405</v>
      </c>
      <c r="K548" t="n">
        <v>0.4786150339947773</v>
      </c>
      <c r="L548" t="b">
        <v>0</v>
      </c>
      <c r="M548" t="b">
        <v>0</v>
      </c>
      <c r="N548" t="inlineStr">
        <is>
          <t>ref</t>
        </is>
      </c>
      <c r="O548" t="n">
        <v>-80</v>
      </c>
      <c r="P548" t="n">
        <v>0.001255</v>
      </c>
      <c r="Q548" t="n">
        <v>20</v>
      </c>
      <c r="R548" t="n">
        <v>0.01007</v>
      </c>
      <c r="S548">
        <f>IMAGE("https://mitra.stanford.edu/kundaje/oak/projects/neuro-variants/variant_position/credible/roussos_2024/variant_figures/roussos_2024.childhood.GABA/rs12283172_count_position.png",4,220,900)</f>
        <v/>
      </c>
      <c r="T548">
        <f>IMAGE("https://mitra.stanford.edu/kundaje/oak/projects/neuro-variants/variant_position/credible/roussos_2024/variant_figures/roussos_2024.childhood.GABA/rs12283172_profile_position.png",4,220,900)</f>
        <v/>
      </c>
    </row>
    <row r="549">
      <c r="A549" t="inlineStr">
        <is>
          <t>chr11</t>
        </is>
      </c>
      <c r="B549" t="n">
        <v>46438488</v>
      </c>
      <c r="C549" t="inlineStr">
        <is>
          <t>C</t>
        </is>
      </c>
      <c r="D549" t="inlineStr">
        <is>
          <t>T</t>
        </is>
      </c>
      <c r="E549" t="inlineStr">
        <is>
          <t>rs2864076</t>
        </is>
      </c>
      <c r="F549" t="n">
        <v>-0.0358958402</v>
      </c>
      <c r="G549" t="n">
        <v>0.231479037452418</v>
      </c>
      <c r="H549" t="n">
        <v>0.0104198343307229</v>
      </c>
      <c r="I549" t="n">
        <v>0.587017678654026</v>
      </c>
      <c r="J549" t="n">
        <v>0.223592176080082</v>
      </c>
      <c r="K549" t="n">
        <v>0.1920843428059524</v>
      </c>
      <c r="L549" t="b">
        <v>0</v>
      </c>
      <c r="M549" t="b">
        <v>0</v>
      </c>
      <c r="N549" t="inlineStr">
        <is>
          <t>ref</t>
        </is>
      </c>
      <c r="O549" t="n">
        <v>-100</v>
      </c>
      <c r="P549" t="n">
        <v>0.02069</v>
      </c>
      <c r="Q549" t="n">
        <v>-80</v>
      </c>
      <c r="R549" t="n">
        <v>0.1301</v>
      </c>
      <c r="S549">
        <f>IMAGE("https://mitra.stanford.edu/kundaje/oak/projects/neuro-variants/variant_position/credible/roussos_2024/variant_figures/roussos_2024.childhood.GABA/rs2864076_count_position.png",4,220,900)</f>
        <v/>
      </c>
      <c r="T549">
        <f>IMAGE("https://mitra.stanford.edu/kundaje/oak/projects/neuro-variants/variant_position/credible/roussos_2024/variant_figures/roussos_2024.childhood.GABA/rs2864076_profile_position.png",4,220,900)</f>
        <v/>
      </c>
    </row>
    <row r="550">
      <c r="A550" t="inlineStr">
        <is>
          <t>chr11</t>
        </is>
      </c>
      <c r="B550" t="n">
        <v>46452336</v>
      </c>
      <c r="C550" t="inlineStr">
        <is>
          <t>T</t>
        </is>
      </c>
      <c r="D550" t="inlineStr">
        <is>
          <t>G</t>
        </is>
      </c>
      <c r="E550" t="inlineStr">
        <is>
          <t>rs115292163</t>
        </is>
      </c>
      <c r="F550" t="n">
        <v>-0.0008883085</v>
      </c>
      <c r="G550" t="n">
        <v>0.8354664611102491</v>
      </c>
      <c r="H550" t="n">
        <v>0.0247617119587085</v>
      </c>
      <c r="I550" t="n">
        <v>0.0296809820108146</v>
      </c>
      <c r="J550" t="n">
        <v>0.0181964775606793</v>
      </c>
      <c r="K550" t="n">
        <v>0.6573221214134368</v>
      </c>
      <c r="L550" t="b">
        <v>0</v>
      </c>
      <c r="M550" t="b">
        <v>0</v>
      </c>
      <c r="N550" t="inlineStr">
        <is>
          <t>ref</t>
        </is>
      </c>
      <c r="O550" t="n">
        <v>100</v>
      </c>
      <c r="P550" t="n">
        <v>0.00906</v>
      </c>
      <c r="Q550" t="n">
        <v>100</v>
      </c>
      <c r="R550" t="n">
        <v>0.09143</v>
      </c>
      <c r="S550">
        <f>IMAGE("https://mitra.stanford.edu/kundaje/oak/projects/neuro-variants/variant_position/credible/roussos_2024/variant_figures/roussos_2024.childhood.GABA/rs115292163_count_position.png",4,220,900)</f>
        <v/>
      </c>
      <c r="T550">
        <f>IMAGE("https://mitra.stanford.edu/kundaje/oak/projects/neuro-variants/variant_position/credible/roussos_2024/variant_figures/roussos_2024.childhood.GABA/rs115292163_profile_position.png",4,220,900)</f>
        <v/>
      </c>
    </row>
    <row r="551">
      <c r="A551" t="inlineStr">
        <is>
          <t>chr11</t>
        </is>
      </c>
      <c r="B551" t="n">
        <v>46478324</v>
      </c>
      <c r="C551" t="inlineStr">
        <is>
          <t>C</t>
        </is>
      </c>
      <c r="D551" t="inlineStr">
        <is>
          <t>T</t>
        </is>
      </c>
      <c r="E551" t="inlineStr">
        <is>
          <t>rs7130141</t>
        </is>
      </c>
      <c r="F551" t="n">
        <v>-0.0144451358</v>
      </c>
      <c r="G551" t="n">
        <v>0.2895793681250774</v>
      </c>
      <c r="H551" t="n">
        <v>0.009199697240158299</v>
      </c>
      <c r="I551" t="n">
        <v>0.6883710241948545</v>
      </c>
      <c r="J551" t="n">
        <v>0.0254455404075306</v>
      </c>
      <c r="K551" t="n">
        <v>0.6205022074431847</v>
      </c>
      <c r="L551" t="b">
        <v>0</v>
      </c>
      <c r="M551" t="b">
        <v>0</v>
      </c>
      <c r="N551" t="inlineStr">
        <is>
          <t>ref</t>
        </is>
      </c>
      <c r="O551" t="n">
        <v>60</v>
      </c>
      <c r="P551" t="n">
        <v>0.006042</v>
      </c>
      <c r="Q551" t="n">
        <v>-20</v>
      </c>
      <c r="R551" t="n">
        <v>0.02145</v>
      </c>
      <c r="S551">
        <f>IMAGE("https://mitra.stanford.edu/kundaje/oak/projects/neuro-variants/variant_position/credible/roussos_2024/variant_figures/roussos_2024.childhood.GABA/rs7130141_count_position.png",4,220,900)</f>
        <v/>
      </c>
      <c r="T551">
        <f>IMAGE("https://mitra.stanford.edu/kundaje/oak/projects/neuro-variants/variant_position/credible/roussos_2024/variant_figures/roussos_2024.childhood.GABA/rs7130141_profile_position.png",4,220,900)</f>
        <v/>
      </c>
    </row>
    <row r="552">
      <c r="A552" t="inlineStr">
        <is>
          <t>chr11</t>
        </is>
      </c>
      <c r="B552" t="n">
        <v>46494352</v>
      </c>
      <c r="C552" t="inlineStr">
        <is>
          <t>A</t>
        </is>
      </c>
      <c r="D552" t="inlineStr">
        <is>
          <t>G</t>
        </is>
      </c>
      <c r="E552" t="inlineStr">
        <is>
          <t>rs3802888</t>
        </is>
      </c>
      <c r="F552" t="n">
        <v>0.01152367306</v>
      </c>
      <c r="G552" t="n">
        <v>0.5111919240829774</v>
      </c>
      <c r="H552" t="n">
        <v>0.0155314968762375</v>
      </c>
      <c r="I552" t="n">
        <v>0.1998659169021423</v>
      </c>
      <c r="J552" t="n">
        <v>0.08299197922556591</v>
      </c>
      <c r="K552" t="n">
        <v>0.395500097264819</v>
      </c>
      <c r="L552" t="b">
        <v>0</v>
      </c>
      <c r="M552" t="b">
        <v>0</v>
      </c>
      <c r="N552" t="inlineStr">
        <is>
          <t>alt</t>
        </is>
      </c>
      <c r="O552" t="n">
        <v>-80</v>
      </c>
      <c r="P552" t="n">
        <v>0.008670000000000001</v>
      </c>
      <c r="Q552" t="n">
        <v>100</v>
      </c>
      <c r="R552" t="n">
        <v>0.02875</v>
      </c>
      <c r="S552">
        <f>IMAGE("https://mitra.stanford.edu/kundaje/oak/projects/neuro-variants/variant_position/credible/roussos_2024/variant_figures/roussos_2024.childhood.GABA/rs3802888_count_position.png",4,220,900)</f>
        <v/>
      </c>
      <c r="T552">
        <f>IMAGE("https://mitra.stanford.edu/kundaje/oak/projects/neuro-variants/variant_position/credible/roussos_2024/variant_figures/roussos_2024.childhood.GABA/rs3802888_profile_position.png",4,220,900)</f>
        <v/>
      </c>
    </row>
    <row r="553">
      <c r="A553" t="inlineStr">
        <is>
          <t>chr11</t>
        </is>
      </c>
      <c r="B553" t="n">
        <v>46498752</v>
      </c>
      <c r="C553" t="inlineStr">
        <is>
          <t>T</t>
        </is>
      </c>
      <c r="D553" t="inlineStr">
        <is>
          <t>C</t>
        </is>
      </c>
      <c r="E553" t="inlineStr">
        <is>
          <t>rs17197116</t>
        </is>
      </c>
      <c r="F553" t="n">
        <v>-0.00779588386</v>
      </c>
      <c r="G553" t="n">
        <v>0.7221927724772926</v>
      </c>
      <c r="H553" t="n">
        <v>0.006836248210524</v>
      </c>
      <c r="I553" t="n">
        <v>0.9520959785973486</v>
      </c>
      <c r="J553" t="n">
        <v>0.2717304349647128</v>
      </c>
      <c r="K553" t="n">
        <v>0.1528668391974433</v>
      </c>
      <c r="L553" t="b">
        <v>0</v>
      </c>
      <c r="M553" t="b">
        <v>0</v>
      </c>
      <c r="N553" t="inlineStr">
        <is>
          <t>ref</t>
        </is>
      </c>
      <c r="O553" t="n">
        <v>-95</v>
      </c>
      <c r="P553" t="n">
        <v>0.03265</v>
      </c>
      <c r="Q553" t="n">
        <v>-80</v>
      </c>
      <c r="R553" t="n">
        <v>0.2634</v>
      </c>
      <c r="S553">
        <f>IMAGE("https://mitra.stanford.edu/kundaje/oak/projects/neuro-variants/variant_position/credible/roussos_2024/variant_figures/roussos_2024.childhood.GABA/rs17197116_count_position.png",4,220,900)</f>
        <v/>
      </c>
      <c r="T553">
        <f>IMAGE("https://mitra.stanford.edu/kundaje/oak/projects/neuro-variants/variant_position/credible/roussos_2024/variant_figures/roussos_2024.childhood.GABA/rs17197116_profile_position.png",4,220,900)</f>
        <v/>
      </c>
    </row>
    <row r="554">
      <c r="A554" t="inlineStr">
        <is>
          <t>chr11</t>
        </is>
      </c>
      <c r="B554" t="n">
        <v>46526544</v>
      </c>
      <c r="C554" t="inlineStr">
        <is>
          <t>A</t>
        </is>
      </c>
      <c r="D554" t="inlineStr">
        <is>
          <t>G</t>
        </is>
      </c>
      <c r="E554" t="inlineStr">
        <is>
          <t>rs7932866</t>
        </is>
      </c>
      <c r="F554" t="n">
        <v>-0.0126612353</v>
      </c>
      <c r="G554" t="n">
        <v>0.5874481866710672</v>
      </c>
      <c r="H554" t="n">
        <v>0.0437305414785835</v>
      </c>
      <c r="I554" t="n">
        <v>0.0029334493744355</v>
      </c>
      <c r="J554" t="n">
        <v>0.0518680237063097</v>
      </c>
      <c r="K554" t="n">
        <v>0.4797677115714694</v>
      </c>
      <c r="L554" t="b">
        <v>1</v>
      </c>
      <c r="M554" t="b">
        <v>1</v>
      </c>
      <c r="N554" t="inlineStr">
        <is>
          <t>ref</t>
        </is>
      </c>
      <c r="O554" t="n">
        <v>-100</v>
      </c>
      <c r="P554" t="n">
        <v>0.003357</v>
      </c>
      <c r="Q554" t="n">
        <v>-75</v>
      </c>
      <c r="R554" t="n">
        <v>0.1987</v>
      </c>
      <c r="S554">
        <f>IMAGE("https://mitra.stanford.edu/kundaje/oak/projects/neuro-variants/variant_position/credible/roussos_2024/variant_figures/roussos_2024.childhood.GABA/rs7932866_count_position.png",4,220,900)</f>
        <v/>
      </c>
      <c r="T554">
        <f>IMAGE("https://mitra.stanford.edu/kundaje/oak/projects/neuro-variants/variant_position/credible/roussos_2024/variant_figures/roussos_2024.childhood.GABA/rs7932866_profile_position.png",4,220,900)</f>
        <v/>
      </c>
    </row>
    <row r="555">
      <c r="A555" t="inlineStr">
        <is>
          <t>chr11</t>
        </is>
      </c>
      <c r="B555" t="n">
        <v>46564231</v>
      </c>
      <c r="C555" t="inlineStr">
        <is>
          <t>A</t>
        </is>
      </c>
      <c r="D555" t="inlineStr">
        <is>
          <t>G</t>
        </is>
      </c>
      <c r="E555" t="inlineStr">
        <is>
          <t>rs11038919</t>
        </is>
      </c>
      <c r="F555" t="n">
        <v>-0.0029067133999999</v>
      </c>
      <c r="G555" t="n">
        <v>0.8852454071086362</v>
      </c>
      <c r="H555" t="n">
        <v>0.0228676029423065</v>
      </c>
      <c r="I555" t="n">
        <v>0.0422052393133834</v>
      </c>
      <c r="J555" t="n">
        <v>0.0292946744570793</v>
      </c>
      <c r="K555" t="n">
        <v>0.5849236977069818</v>
      </c>
      <c r="L555" t="b">
        <v>0</v>
      </c>
      <c r="M555" t="b">
        <v>0</v>
      </c>
      <c r="N555" t="inlineStr">
        <is>
          <t>ref</t>
        </is>
      </c>
      <c r="O555" t="n">
        <v>35</v>
      </c>
      <c r="P555" t="n">
        <v>0.0003967</v>
      </c>
      <c r="Q555" t="n">
        <v>-100</v>
      </c>
      <c r="R555" t="n">
        <v>0.06006</v>
      </c>
      <c r="S555">
        <f>IMAGE("https://mitra.stanford.edu/kundaje/oak/projects/neuro-variants/variant_position/credible/roussos_2024/variant_figures/roussos_2024.childhood.GABA/rs11038919_count_position.png",4,220,900)</f>
        <v/>
      </c>
      <c r="T555">
        <f>IMAGE("https://mitra.stanford.edu/kundaje/oak/projects/neuro-variants/variant_position/credible/roussos_2024/variant_figures/roussos_2024.childhood.GABA/rs11038919_profile_position.png",4,220,900)</f>
        <v/>
      </c>
    </row>
    <row r="556">
      <c r="A556" t="inlineStr">
        <is>
          <t>chr11</t>
        </is>
      </c>
      <c r="B556" t="n">
        <v>46589689</v>
      </c>
      <c r="C556" t="inlineStr">
        <is>
          <t>G</t>
        </is>
      </c>
      <c r="D556" t="inlineStr">
        <is>
          <t>A</t>
        </is>
      </c>
      <c r="E556" t="inlineStr">
        <is>
          <t>rs61882757</t>
        </is>
      </c>
      <c r="F556" t="n">
        <v>-0.0214186587599999</v>
      </c>
      <c r="G556" t="n">
        <v>0.4495052705410812</v>
      </c>
      <c r="H556" t="n">
        <v>0.013680225857931</v>
      </c>
      <c r="I556" t="n">
        <v>0.3026925608542288</v>
      </c>
      <c r="J556" t="n">
        <v>0.061372536700802</v>
      </c>
      <c r="K556" t="n">
        <v>0.4549826778913478</v>
      </c>
      <c r="L556" t="b">
        <v>0</v>
      </c>
      <c r="M556" t="b">
        <v>0</v>
      </c>
      <c r="N556" t="inlineStr">
        <is>
          <t>ref</t>
        </is>
      </c>
      <c r="O556" t="n">
        <v>-100</v>
      </c>
      <c r="P556" t="n">
        <v>0.0004044</v>
      </c>
      <c r="Q556" t="n">
        <v>-100</v>
      </c>
      <c r="R556" t="n">
        <v>0.11035</v>
      </c>
      <c r="S556">
        <f>IMAGE("https://mitra.stanford.edu/kundaje/oak/projects/neuro-variants/variant_position/credible/roussos_2024/variant_figures/roussos_2024.childhood.GABA/rs61882757_count_position.png",4,220,900)</f>
        <v/>
      </c>
      <c r="T556">
        <f>IMAGE("https://mitra.stanford.edu/kundaje/oak/projects/neuro-variants/variant_position/credible/roussos_2024/variant_figures/roussos_2024.childhood.GABA/rs61882757_profile_position.png",4,220,900)</f>
        <v/>
      </c>
    </row>
    <row r="557">
      <c r="A557" t="inlineStr">
        <is>
          <t>chr11</t>
        </is>
      </c>
      <c r="B557" t="n">
        <v>46613413</v>
      </c>
      <c r="C557" t="inlineStr">
        <is>
          <t>T</t>
        </is>
      </c>
      <c r="D557" t="inlineStr">
        <is>
          <t>A</t>
        </is>
      </c>
      <c r="E557" t="inlineStr">
        <is>
          <t>rs55657382</t>
        </is>
      </c>
      <c r="F557" t="n">
        <v>0.01049261502</v>
      </c>
      <c r="G557" t="n">
        <v>0.5959791091623641</v>
      </c>
      <c r="H557" t="n">
        <v>0.0081810959505504</v>
      </c>
      <c r="I557" t="n">
        <v>0.8365494758397464</v>
      </c>
      <c r="J557" t="n">
        <v>0.0170059265774538</v>
      </c>
      <c r="K557" t="n">
        <v>0.6785859572363959</v>
      </c>
      <c r="L557" t="b">
        <v>0</v>
      </c>
      <c r="M557" t="b">
        <v>0</v>
      </c>
      <c r="N557" t="inlineStr">
        <is>
          <t>alt</t>
        </is>
      </c>
      <c r="O557" t="n">
        <v>20</v>
      </c>
      <c r="P557" t="n">
        <v>0.002182</v>
      </c>
      <c r="Q557" t="n">
        <v>90</v>
      </c>
      <c r="R557" t="n">
        <v>0.04407</v>
      </c>
      <c r="S557">
        <f>IMAGE("https://mitra.stanford.edu/kundaje/oak/projects/neuro-variants/variant_position/credible/roussos_2024/variant_figures/roussos_2024.childhood.GABA/rs55657382_count_position.png",4,220,900)</f>
        <v/>
      </c>
      <c r="T557">
        <f>IMAGE("https://mitra.stanford.edu/kundaje/oak/projects/neuro-variants/variant_position/credible/roussos_2024/variant_figures/roussos_2024.childhood.GABA/rs55657382_profile_position.png",4,220,900)</f>
        <v/>
      </c>
    </row>
    <row r="558">
      <c r="A558" t="inlineStr">
        <is>
          <t>chr11</t>
        </is>
      </c>
      <c r="B558" t="n">
        <v>46634411</v>
      </c>
      <c r="C558" t="inlineStr">
        <is>
          <t>T</t>
        </is>
      </c>
      <c r="D558" t="inlineStr">
        <is>
          <t>A</t>
        </is>
      </c>
      <c r="E558" t="inlineStr">
        <is>
          <t>rs7128092</t>
        </is>
      </c>
      <c r="F558" t="n">
        <v>-0.00711322354</v>
      </c>
      <c r="G558" t="n">
        <v>0.727297646592193</v>
      </c>
      <c r="H558" t="n">
        <v>0.0296620666859696</v>
      </c>
      <c r="I558" t="n">
        <v>0.0131299169463635</v>
      </c>
      <c r="J558" t="n">
        <v>0.034614981885196</v>
      </c>
      <c r="K558" t="n">
        <v>0.5775635348526981</v>
      </c>
      <c r="L558" t="b">
        <v>1</v>
      </c>
      <c r="M558" t="b">
        <v>0</v>
      </c>
      <c r="N558" t="inlineStr">
        <is>
          <t>ref</t>
        </is>
      </c>
      <c r="O558" t="n">
        <v>-10</v>
      </c>
      <c r="P558" t="n">
        <v>0.00116</v>
      </c>
      <c r="Q558" t="n">
        <v>-30</v>
      </c>
      <c r="R558" t="n">
        <v>0.0609</v>
      </c>
      <c r="S558">
        <f>IMAGE("https://mitra.stanford.edu/kundaje/oak/projects/neuro-variants/variant_position/credible/roussos_2024/variant_figures/roussos_2024.childhood.GABA/rs7128092_count_position.png",4,220,900)</f>
        <v/>
      </c>
      <c r="T558">
        <f>IMAGE("https://mitra.stanford.edu/kundaje/oak/projects/neuro-variants/variant_position/credible/roussos_2024/variant_figures/roussos_2024.childhood.GABA/rs7128092_profile_position.png",4,220,900)</f>
        <v/>
      </c>
    </row>
    <row r="559">
      <c r="A559" t="inlineStr">
        <is>
          <t>chr11</t>
        </is>
      </c>
      <c r="B559" t="n">
        <v>46645114</v>
      </c>
      <c r="C559" t="inlineStr">
        <is>
          <t>A</t>
        </is>
      </c>
      <c r="D559" t="inlineStr">
        <is>
          <t>G</t>
        </is>
      </c>
      <c r="E559" t="inlineStr">
        <is>
          <t>rs61884274</t>
        </is>
      </c>
      <c r="F559" t="n">
        <v>0.02912264422</v>
      </c>
      <c r="G559" t="n">
        <v>0.2896327770858017</v>
      </c>
      <c r="H559" t="n">
        <v>0.0167714436257494</v>
      </c>
      <c r="I559" t="n">
        <v>0.161522302454645</v>
      </c>
      <c r="J559" t="n">
        <v>0.0056051182174194</v>
      </c>
      <c r="K559" t="n">
        <v>0.8114547673677697</v>
      </c>
      <c r="L559" t="b">
        <v>0</v>
      </c>
      <c r="M559" t="b">
        <v>0</v>
      </c>
      <c r="N559" t="inlineStr">
        <is>
          <t>alt</t>
        </is>
      </c>
      <c r="O559" t="n">
        <v>90</v>
      </c>
      <c r="P559" t="n">
        <v>0.004726</v>
      </c>
      <c r="Q559" t="n">
        <v>40</v>
      </c>
      <c r="R559" t="n">
        <v>0.07587000000000001</v>
      </c>
      <c r="S559">
        <f>IMAGE("https://mitra.stanford.edu/kundaje/oak/projects/neuro-variants/variant_position/credible/roussos_2024/variant_figures/roussos_2024.childhood.GABA/rs61884274_count_position.png",4,220,900)</f>
        <v/>
      </c>
      <c r="T559">
        <f>IMAGE("https://mitra.stanford.edu/kundaje/oak/projects/neuro-variants/variant_position/credible/roussos_2024/variant_figures/roussos_2024.childhood.GABA/rs61884274_profile_position.png",4,220,900)</f>
        <v/>
      </c>
    </row>
    <row r="560">
      <c r="A560" t="inlineStr">
        <is>
          <t>chr11</t>
        </is>
      </c>
      <c r="B560" t="n">
        <v>46664710</v>
      </c>
      <c r="C560" t="inlineStr">
        <is>
          <t>G</t>
        </is>
      </c>
      <c r="D560" t="inlineStr">
        <is>
          <t>A</t>
        </is>
      </c>
      <c r="E560" t="inlineStr">
        <is>
          <t>rs10838610</t>
        </is>
      </c>
      <c r="F560" t="n">
        <v>-0.08135953479999999</v>
      </c>
      <c r="G560" t="n">
        <v>0.052162997388759</v>
      </c>
      <c r="H560" t="n">
        <v>0.0124262144969831</v>
      </c>
      <c r="I560" t="n">
        <v>0.3755255608855067</v>
      </c>
      <c r="J560" t="n">
        <v>0.4020900085862076</v>
      </c>
      <c r="K560" t="n">
        <v>0.0851880603769113</v>
      </c>
      <c r="L560" t="b">
        <v>0</v>
      </c>
      <c r="M560" t="b">
        <v>0</v>
      </c>
      <c r="N560" t="inlineStr">
        <is>
          <t>ref</t>
        </is>
      </c>
      <c r="O560" t="n">
        <v>-5</v>
      </c>
      <c r="P560" t="n">
        <v>0.000576</v>
      </c>
      <c r="Q560" t="n">
        <v>-70</v>
      </c>
      <c r="R560" t="n">
        <v>0.11914</v>
      </c>
      <c r="S560">
        <f>IMAGE("https://mitra.stanford.edu/kundaje/oak/projects/neuro-variants/variant_position/credible/roussos_2024/variant_figures/roussos_2024.childhood.GABA/rs10838610_count_position.png",4,220,900)</f>
        <v/>
      </c>
      <c r="T560">
        <f>IMAGE("https://mitra.stanford.edu/kundaje/oak/projects/neuro-variants/variant_position/credible/roussos_2024/variant_figures/roussos_2024.childhood.GABA/rs10838610_profile_position.png",4,220,900)</f>
        <v/>
      </c>
    </row>
    <row r="561">
      <c r="A561" t="inlineStr">
        <is>
          <t>chr11</t>
        </is>
      </c>
      <c r="B561" t="n">
        <v>46760922</v>
      </c>
      <c r="C561" t="inlineStr">
        <is>
          <t>C</t>
        </is>
      </c>
      <c r="D561" t="inlineStr">
        <is>
          <t>A</t>
        </is>
      </c>
      <c r="E561" t="inlineStr">
        <is>
          <t>rs10466477</t>
        </is>
      </c>
      <c r="F561" t="n">
        <v>0.094475316</v>
      </c>
      <c r="G561" t="n">
        <v>0.0333036868644626</v>
      </c>
      <c r="H561" t="n">
        <v>0.0259059270322809</v>
      </c>
      <c r="I561" t="n">
        <v>0.0265033417342231</v>
      </c>
      <c r="J561" t="n">
        <v>0.1393887039014889</v>
      </c>
      <c r="K561" t="n">
        <v>0.2885593602075025</v>
      </c>
      <c r="L561" t="b">
        <v>0</v>
      </c>
      <c r="M561" t="b">
        <v>0</v>
      </c>
      <c r="N561" t="inlineStr">
        <is>
          <t>alt</t>
        </is>
      </c>
      <c r="O561" t="n">
        <v>20</v>
      </c>
      <c r="P561" t="n">
        <v>0.001556</v>
      </c>
      <c r="Q561" t="n">
        <v>-80</v>
      </c>
      <c r="R561" t="n">
        <v>0.2666</v>
      </c>
      <c r="S561">
        <f>IMAGE("https://mitra.stanford.edu/kundaje/oak/projects/neuro-variants/variant_position/credible/roussos_2024/variant_figures/roussos_2024.childhood.GABA/rs10466477_count_position.png",4,220,900)</f>
        <v/>
      </c>
      <c r="T561">
        <f>IMAGE("https://mitra.stanford.edu/kundaje/oak/projects/neuro-variants/variant_position/credible/roussos_2024/variant_figures/roussos_2024.childhood.GABA/rs10466477_profile_position.png",4,220,900)</f>
        <v/>
      </c>
    </row>
    <row r="562">
      <c r="A562" t="inlineStr">
        <is>
          <t>chr11</t>
        </is>
      </c>
      <c r="B562" t="n">
        <v>46775133</v>
      </c>
      <c r="C562" t="inlineStr">
        <is>
          <t>A</t>
        </is>
      </c>
      <c r="D562" t="inlineStr">
        <is>
          <t>C</t>
        </is>
      </c>
      <c r="E562" t="inlineStr">
        <is>
          <t>rs7111811</t>
        </is>
      </c>
      <c r="F562" t="n">
        <v>-0.00241583743</v>
      </c>
      <c r="G562" t="n">
        <v>0.7322186791155514</v>
      </c>
      <c r="H562" t="n">
        <v>0.0322795427936774</v>
      </c>
      <c r="I562" t="n">
        <v>0.0090457413107786</v>
      </c>
      <c r="J562" t="n">
        <v>0.00598626206781</v>
      </c>
      <c r="K562" t="n">
        <v>0.8038378629097731</v>
      </c>
      <c r="L562" t="b">
        <v>0</v>
      </c>
      <c r="M562" t="b">
        <v>0</v>
      </c>
      <c r="N562" t="inlineStr">
        <is>
          <t>ref</t>
        </is>
      </c>
      <c r="O562" t="n">
        <v>-100</v>
      </c>
      <c r="P562" t="n">
        <v>0.001846</v>
      </c>
      <c r="Q562" t="n">
        <v>-100</v>
      </c>
      <c r="R562" t="n">
        <v>0.08935999999999999</v>
      </c>
      <c r="S562">
        <f>IMAGE("https://mitra.stanford.edu/kundaje/oak/projects/neuro-variants/variant_position/credible/roussos_2024/variant_figures/roussos_2024.childhood.GABA/rs7111811_count_position.png",4,220,900)</f>
        <v/>
      </c>
      <c r="T562">
        <f>IMAGE("https://mitra.stanford.edu/kundaje/oak/projects/neuro-variants/variant_position/credible/roussos_2024/variant_figures/roussos_2024.childhood.GABA/rs7111811_profile_position.png",4,220,900)</f>
        <v/>
      </c>
    </row>
    <row r="563">
      <c r="A563" t="inlineStr">
        <is>
          <t>chr11</t>
        </is>
      </c>
      <c r="B563" t="n">
        <v>46777081</v>
      </c>
      <c r="C563" t="inlineStr">
        <is>
          <t>A</t>
        </is>
      </c>
      <c r="D563" t="inlineStr">
        <is>
          <t>G</t>
        </is>
      </c>
      <c r="E563" t="inlineStr">
        <is>
          <t>rs6485690</t>
        </is>
      </c>
      <c r="F563" t="n">
        <v>0.14177862</v>
      </c>
      <c r="G563" t="n">
        <v>0.0141283797023449</v>
      </c>
      <c r="H563" t="n">
        <v>0.0159604182184374</v>
      </c>
      <c r="I563" t="n">
        <v>0.1802250878256028</v>
      </c>
      <c r="J563" t="n">
        <v>0.0038826412012313</v>
      </c>
      <c r="K563" t="n">
        <v>0.8477765789108679</v>
      </c>
      <c r="L563" t="b">
        <v>1</v>
      </c>
      <c r="M563" t="b">
        <v>0</v>
      </c>
      <c r="N563" t="inlineStr">
        <is>
          <t>alt</t>
        </is>
      </c>
      <c r="O563" t="n">
        <v>100</v>
      </c>
      <c r="P563" t="n">
        <v>0.002777</v>
      </c>
      <c r="Q563" t="n">
        <v>100</v>
      </c>
      <c r="R563" t="n">
        <v>0.04227</v>
      </c>
      <c r="S563">
        <f>IMAGE("https://mitra.stanford.edu/kundaje/oak/projects/neuro-variants/variant_position/credible/roussos_2024/variant_figures/roussos_2024.childhood.GABA/rs6485690_count_position.png",4,220,900)</f>
        <v/>
      </c>
      <c r="T563">
        <f>IMAGE("https://mitra.stanford.edu/kundaje/oak/projects/neuro-variants/variant_position/credible/roussos_2024/variant_figures/roussos_2024.childhood.GABA/rs6485690_profile_position.png",4,220,900)</f>
        <v/>
      </c>
    </row>
    <row r="564">
      <c r="A564" t="inlineStr">
        <is>
          <t>chr11</t>
        </is>
      </c>
      <c r="B564" t="n">
        <v>46799349</v>
      </c>
      <c r="C564" t="inlineStr">
        <is>
          <t>A</t>
        </is>
      </c>
      <c r="D564" t="inlineStr">
        <is>
          <t>G</t>
        </is>
      </c>
      <c r="E564" t="inlineStr">
        <is>
          <t>rs7118097</t>
        </is>
      </c>
      <c r="F564" t="n">
        <v>0.0517955332</v>
      </c>
      <c r="G564" t="n">
        <v>0.1305857412356662</v>
      </c>
      <c r="H564" t="n">
        <v>0.0127151182861156</v>
      </c>
      <c r="I564" t="n">
        <v>0.3683132230736833</v>
      </c>
      <c r="J564" t="n">
        <v>0.0176687399216769</v>
      </c>
      <c r="K564" t="n">
        <v>0.6714759985922916</v>
      </c>
      <c r="L564" t="b">
        <v>0</v>
      </c>
      <c r="M564" t="b">
        <v>0</v>
      </c>
      <c r="N564" t="inlineStr">
        <is>
          <t>alt</t>
        </is>
      </c>
      <c r="O564" t="n">
        <v>-95</v>
      </c>
      <c r="P564" t="n">
        <v>0.02826</v>
      </c>
      <c r="Q564" t="n">
        <v>-80</v>
      </c>
      <c r="R564" t="n">
        <v>0.04016</v>
      </c>
      <c r="S564">
        <f>IMAGE("https://mitra.stanford.edu/kundaje/oak/projects/neuro-variants/variant_position/credible/roussos_2024/variant_figures/roussos_2024.childhood.GABA/rs7118097_count_position.png",4,220,900)</f>
        <v/>
      </c>
      <c r="T564">
        <f>IMAGE("https://mitra.stanford.edu/kundaje/oak/projects/neuro-variants/variant_position/credible/roussos_2024/variant_figures/roussos_2024.childhood.GABA/rs7118097_profile_position.png",4,220,900)</f>
        <v/>
      </c>
    </row>
    <row r="565">
      <c r="A565" t="inlineStr">
        <is>
          <t>chr11</t>
        </is>
      </c>
      <c r="B565" t="n">
        <v>46820494</v>
      </c>
      <c r="C565" t="inlineStr">
        <is>
          <t>C</t>
        </is>
      </c>
      <c r="D565" t="inlineStr">
        <is>
          <t>T</t>
        </is>
      </c>
      <c r="E565" t="inlineStr">
        <is>
          <t>rs6485696</t>
        </is>
      </c>
      <c r="F565" t="n">
        <v>0.004574126166</v>
      </c>
      <c r="G565" t="n">
        <v>0.8038795435970967</v>
      </c>
      <c r="H565" t="n">
        <v>0.0230978125860032</v>
      </c>
      <c r="I565" t="n">
        <v>0.0401072496310309</v>
      </c>
      <c r="J565" t="n">
        <v>0.0066071914724298</v>
      </c>
      <c r="K565" t="n">
        <v>0.7919121487981927</v>
      </c>
      <c r="L565" t="b">
        <v>0</v>
      </c>
      <c r="M565" t="b">
        <v>0</v>
      </c>
      <c r="N565" t="inlineStr">
        <is>
          <t>alt</t>
        </is>
      </c>
      <c r="O565" t="n">
        <v>25</v>
      </c>
      <c r="P565" t="n">
        <v>0.001579</v>
      </c>
      <c r="Q565" t="n">
        <v>-100</v>
      </c>
      <c r="R565" t="n">
        <v>0.10034</v>
      </c>
      <c r="S565">
        <f>IMAGE("https://mitra.stanford.edu/kundaje/oak/projects/neuro-variants/variant_position/credible/roussos_2024/variant_figures/roussos_2024.childhood.GABA/rs6485696_count_position.png",4,220,900)</f>
        <v/>
      </c>
      <c r="T565">
        <f>IMAGE("https://mitra.stanford.edu/kundaje/oak/projects/neuro-variants/variant_position/credible/roussos_2024/variant_figures/roussos_2024.childhood.GABA/rs6485696_profile_position.png",4,220,900)</f>
        <v/>
      </c>
    </row>
    <row r="566">
      <c r="A566" t="inlineStr">
        <is>
          <t>chr11</t>
        </is>
      </c>
      <c r="B566" t="n">
        <v>46843154</v>
      </c>
      <c r="C566" t="inlineStr">
        <is>
          <t>T</t>
        </is>
      </c>
      <c r="D566" t="inlineStr">
        <is>
          <t>C</t>
        </is>
      </c>
      <c r="E566" t="inlineStr">
        <is>
          <t>rs11824327</t>
        </is>
      </c>
      <c r="F566" t="n">
        <v>-0.112412909</v>
      </c>
      <c r="G566" t="n">
        <v>0.0237020266464537</v>
      </c>
      <c r="H566" t="n">
        <v>0.0176514234419246</v>
      </c>
      <c r="I566" t="n">
        <v>0.1235046385921187</v>
      </c>
      <c r="J566" t="n">
        <v>0.0761554731838076</v>
      </c>
      <c r="K566" t="n">
        <v>0.4508423222649214</v>
      </c>
      <c r="L566" t="b">
        <v>0</v>
      </c>
      <c r="M566" t="b">
        <v>0</v>
      </c>
      <c r="N566" t="inlineStr">
        <is>
          <t>ref</t>
        </is>
      </c>
      <c r="O566" t="n">
        <v>-100</v>
      </c>
      <c r="P566" t="n">
        <v>0.1225</v>
      </c>
      <c r="Q566" t="n">
        <v>-100</v>
      </c>
      <c r="R566" t="n">
        <v>0.0794</v>
      </c>
      <c r="S566">
        <f>IMAGE("https://mitra.stanford.edu/kundaje/oak/projects/neuro-variants/variant_position/credible/roussos_2024/variant_figures/roussos_2024.childhood.GABA/rs11824327_count_position.png",4,220,900)</f>
        <v/>
      </c>
      <c r="T566">
        <f>IMAGE("https://mitra.stanford.edu/kundaje/oak/projects/neuro-variants/variant_position/credible/roussos_2024/variant_figures/roussos_2024.childhood.GABA/rs11824327_profile_position.png",4,220,900)</f>
        <v/>
      </c>
    </row>
    <row r="567">
      <c r="A567" t="inlineStr">
        <is>
          <t>chr11</t>
        </is>
      </c>
      <c r="B567" t="n">
        <v>46855531</v>
      </c>
      <c r="C567" t="inlineStr">
        <is>
          <t>T</t>
        </is>
      </c>
      <c r="D567" t="inlineStr">
        <is>
          <t>C</t>
        </is>
      </c>
      <c r="E567" t="inlineStr">
        <is>
          <t>rs7938960</t>
        </is>
      </c>
      <c r="F567" t="n">
        <v>-0.01173701588</v>
      </c>
      <c r="G567" t="n">
        <v>0.5910582089990306</v>
      </c>
      <c r="H567" t="n">
        <v>0.0232054521848254</v>
      </c>
      <c r="I567" t="n">
        <v>0.0420080324769513</v>
      </c>
      <c r="J567" t="n">
        <v>0.0157672090636845</v>
      </c>
      <c r="K567" t="n">
        <v>0.6892797852168516</v>
      </c>
      <c r="L567" t="b">
        <v>0</v>
      </c>
      <c r="M567" t="b">
        <v>0</v>
      </c>
      <c r="N567" t="inlineStr">
        <is>
          <t>ref</t>
        </is>
      </c>
      <c r="O567" t="n">
        <v>-55</v>
      </c>
      <c r="P567" t="n">
        <v>0.00704</v>
      </c>
      <c r="Q567" t="n">
        <v>5</v>
      </c>
      <c r="R567" t="n">
        <v>0.003235</v>
      </c>
      <c r="S567">
        <f>IMAGE("https://mitra.stanford.edu/kundaje/oak/projects/neuro-variants/variant_position/credible/roussos_2024/variant_figures/roussos_2024.childhood.GABA/rs7938960_count_position.png",4,220,900)</f>
        <v/>
      </c>
      <c r="T567">
        <f>IMAGE("https://mitra.stanford.edu/kundaje/oak/projects/neuro-variants/variant_position/credible/roussos_2024/variant_figures/roussos_2024.childhood.GABA/rs7938960_profile_position.png",4,220,900)</f>
        <v/>
      </c>
    </row>
    <row r="568">
      <c r="A568" t="inlineStr">
        <is>
          <t>chr11</t>
        </is>
      </c>
      <c r="B568" t="n">
        <v>46861767</v>
      </c>
      <c r="C568" t="inlineStr">
        <is>
          <t>A</t>
        </is>
      </c>
      <c r="D568" t="inlineStr">
        <is>
          <t>C</t>
        </is>
      </c>
      <c r="E568" t="inlineStr">
        <is>
          <t>rs11039012</t>
        </is>
      </c>
      <c r="F568" t="n">
        <v>-0.01085860882</v>
      </c>
      <c r="G568" t="n">
        <v>0.6273181832383369</v>
      </c>
      <c r="H568" t="n">
        <v>0.0219624598659934</v>
      </c>
      <c r="I568" t="n">
        <v>0.0499180197891453</v>
      </c>
      <c r="J568" t="n">
        <v>0.009942200163347299</v>
      </c>
      <c r="K568" t="n">
        <v>0.7459545257177523</v>
      </c>
      <c r="L568" t="b">
        <v>0</v>
      </c>
      <c r="M568" t="b">
        <v>0</v>
      </c>
      <c r="N568" t="inlineStr">
        <is>
          <t>ref</t>
        </is>
      </c>
      <c r="O568" t="n">
        <v>-100</v>
      </c>
      <c r="P568" t="n">
        <v>0.0226</v>
      </c>
      <c r="Q568" t="n">
        <v>65</v>
      </c>
      <c r="R568" t="n">
        <v>0.0781</v>
      </c>
      <c r="S568">
        <f>IMAGE("https://mitra.stanford.edu/kundaje/oak/projects/neuro-variants/variant_position/credible/roussos_2024/variant_figures/roussos_2024.childhood.GABA/rs11039012_count_position.png",4,220,900)</f>
        <v/>
      </c>
      <c r="T568">
        <f>IMAGE("https://mitra.stanford.edu/kundaje/oak/projects/neuro-variants/variant_position/credible/roussos_2024/variant_figures/roussos_2024.childhood.GABA/rs11039012_profile_position.png",4,220,900)</f>
        <v/>
      </c>
    </row>
    <row r="569">
      <c r="A569" t="inlineStr">
        <is>
          <t>chr11</t>
        </is>
      </c>
      <c r="B569" t="n">
        <v>46868168</v>
      </c>
      <c r="C569" t="inlineStr">
        <is>
          <t>T</t>
        </is>
      </c>
      <c r="D569" t="inlineStr">
        <is>
          <t>C</t>
        </is>
      </c>
      <c r="E569" t="inlineStr">
        <is>
          <t>rs12273360</t>
        </is>
      </c>
      <c r="F569" t="n">
        <v>0.0604143362</v>
      </c>
      <c r="G569" t="n">
        <v>0.0962049540403575</v>
      </c>
      <c r="H569" t="n">
        <v>0.0142811852064122</v>
      </c>
      <c r="I569" t="n">
        <v>0.2647747382541293</v>
      </c>
      <c r="J569" t="n">
        <v>0.0819448807354819</v>
      </c>
      <c r="K569" t="n">
        <v>0.4220024608075886</v>
      </c>
      <c r="L569" t="b">
        <v>0</v>
      </c>
      <c r="M569" t="b">
        <v>0</v>
      </c>
      <c r="N569" t="inlineStr">
        <is>
          <t>alt</t>
        </is>
      </c>
      <c r="O569" t="n">
        <v>100</v>
      </c>
      <c r="P569" t="n">
        <v>0.001865</v>
      </c>
      <c r="Q569" t="n">
        <v>-70</v>
      </c>
      <c r="R569" t="n">
        <v>0.0736</v>
      </c>
      <c r="S569">
        <f>IMAGE("https://mitra.stanford.edu/kundaje/oak/projects/neuro-variants/variant_position/credible/roussos_2024/variant_figures/roussos_2024.childhood.GABA/rs12273360_count_position.png",4,220,900)</f>
        <v/>
      </c>
      <c r="T569">
        <f>IMAGE("https://mitra.stanford.edu/kundaje/oak/projects/neuro-variants/variant_position/credible/roussos_2024/variant_figures/roussos_2024.childhood.GABA/rs12273360_profile_position.png",4,220,900)</f>
        <v/>
      </c>
    </row>
    <row r="570">
      <c r="A570" t="inlineStr">
        <is>
          <t>chr11</t>
        </is>
      </c>
      <c r="B570" t="n">
        <v>46884180</v>
      </c>
      <c r="C570" t="inlineStr">
        <is>
          <t>G</t>
        </is>
      </c>
      <c r="D570" t="inlineStr">
        <is>
          <t>A</t>
        </is>
      </c>
      <c r="E570" t="inlineStr">
        <is>
          <t>rs61898529</t>
        </is>
      </c>
      <c r="F570" t="n">
        <v>0.03278896402</v>
      </c>
      <c r="G570" t="n">
        <v>0.2900161751585291</v>
      </c>
      <c r="H570" t="n">
        <v>0.0213289989476999</v>
      </c>
      <c r="I570" t="n">
        <v>0.0584910731912369</v>
      </c>
      <c r="J570" t="n">
        <v>0.101609390379259</v>
      </c>
      <c r="K570" t="n">
        <v>0.3640775123086976</v>
      </c>
      <c r="L570" t="b">
        <v>0</v>
      </c>
      <c r="M570" t="b">
        <v>0</v>
      </c>
      <c r="N570" t="inlineStr">
        <is>
          <t>alt</t>
        </is>
      </c>
      <c r="O570" t="n">
        <v>30</v>
      </c>
      <c r="P570" t="n">
        <v>0.00868</v>
      </c>
      <c r="Q570" t="n">
        <v>15</v>
      </c>
      <c r="R570" t="n">
        <v>0.02771</v>
      </c>
      <c r="S570">
        <f>IMAGE("https://mitra.stanford.edu/kundaje/oak/projects/neuro-variants/variant_position/credible/roussos_2024/variant_figures/roussos_2024.childhood.GABA/rs61898529_count_position.png",4,220,900)</f>
        <v/>
      </c>
      <c r="T570">
        <f>IMAGE("https://mitra.stanford.edu/kundaje/oak/projects/neuro-variants/variant_position/credible/roussos_2024/variant_figures/roussos_2024.childhood.GABA/rs61898529_profile_position.png",4,220,900)</f>
        <v/>
      </c>
    </row>
    <row r="571">
      <c r="A571" t="inlineStr">
        <is>
          <t>chr11</t>
        </is>
      </c>
      <c r="B571" t="n">
        <v>46906904</v>
      </c>
      <c r="C571" t="inlineStr">
        <is>
          <t>G</t>
        </is>
      </c>
      <c r="D571" t="inlineStr">
        <is>
          <t>A</t>
        </is>
      </c>
      <c r="E571" t="inlineStr">
        <is>
          <t>rs7128102</t>
        </is>
      </c>
      <c r="F571" t="n">
        <v>-0.0421163378</v>
      </c>
      <c r="G571" t="n">
        <v>0.1884813923612787</v>
      </c>
      <c r="H571" t="n">
        <v>0.0113815791336379</v>
      </c>
      <c r="I571" t="n">
        <v>0.485021288315353</v>
      </c>
      <c r="J571" t="n">
        <v>0.3288496575987937</v>
      </c>
      <c r="K571" t="n">
        <v>0.1200165047188416</v>
      </c>
      <c r="L571" t="b">
        <v>0</v>
      </c>
      <c r="M571" t="b">
        <v>0</v>
      </c>
      <c r="N571" t="inlineStr">
        <is>
          <t>ref</t>
        </is>
      </c>
      <c r="O571" t="n">
        <v>80</v>
      </c>
      <c r="P571" t="n">
        <v>0.003077</v>
      </c>
      <c r="Q571" t="n">
        <v>-55</v>
      </c>
      <c r="R571" t="n">
        <v>0.1375</v>
      </c>
      <c r="S571">
        <f>IMAGE("https://mitra.stanford.edu/kundaje/oak/projects/neuro-variants/variant_position/credible/roussos_2024/variant_figures/roussos_2024.childhood.GABA/rs7128102_count_position.png",4,220,900)</f>
        <v/>
      </c>
      <c r="T571">
        <f>IMAGE("https://mitra.stanford.edu/kundaje/oak/projects/neuro-variants/variant_position/credible/roussos_2024/variant_figures/roussos_2024.childhood.GABA/rs7128102_profile_position.png",4,220,900)</f>
        <v/>
      </c>
    </row>
    <row r="572">
      <c r="A572" t="inlineStr">
        <is>
          <t>chr11</t>
        </is>
      </c>
      <c r="B572" t="n">
        <v>46912818</v>
      </c>
      <c r="C572" t="inlineStr">
        <is>
          <t>C</t>
        </is>
      </c>
      <c r="D572" t="inlineStr">
        <is>
          <t>T</t>
        </is>
      </c>
      <c r="E572" t="inlineStr">
        <is>
          <t>rs7120113</t>
        </is>
      </c>
      <c r="F572" t="n">
        <v>-0.0517905526</v>
      </c>
      <c r="G572" t="n">
        <v>0.142462467079131</v>
      </c>
      <c r="H572" t="n">
        <v>0.0122227011363252</v>
      </c>
      <c r="I572" t="n">
        <v>0.4019494477543943</v>
      </c>
      <c r="J572" t="n">
        <v>0.5468157734916547</v>
      </c>
      <c r="K572" t="n">
        <v>0.0397654708732279</v>
      </c>
      <c r="L572" t="b">
        <v>0</v>
      </c>
      <c r="M572" t="b">
        <v>0</v>
      </c>
      <c r="N572" t="inlineStr">
        <is>
          <t>ref</t>
        </is>
      </c>
      <c r="O572" t="n">
        <v>65</v>
      </c>
      <c r="P572" t="n">
        <v>0.0008087</v>
      </c>
      <c r="Q572" t="n">
        <v>-65</v>
      </c>
      <c r="R572" t="n">
        <v>0.0857</v>
      </c>
      <c r="S572">
        <f>IMAGE("https://mitra.stanford.edu/kundaje/oak/projects/neuro-variants/variant_position/credible/roussos_2024/variant_figures/roussos_2024.childhood.GABA/rs7120113_count_position.png",4,220,900)</f>
        <v/>
      </c>
      <c r="T572">
        <f>IMAGE("https://mitra.stanford.edu/kundaje/oak/projects/neuro-variants/variant_position/credible/roussos_2024/variant_figures/roussos_2024.childhood.GABA/rs7120113_profile_position.png",4,220,900)</f>
        <v/>
      </c>
    </row>
    <row r="573">
      <c r="A573" t="inlineStr">
        <is>
          <t>chr11</t>
        </is>
      </c>
      <c r="B573" t="n">
        <v>47098515</v>
      </c>
      <c r="C573" t="inlineStr">
        <is>
          <t>T</t>
        </is>
      </c>
      <c r="D573" t="inlineStr">
        <is>
          <t>C</t>
        </is>
      </c>
      <c r="E573" t="inlineStr">
        <is>
          <t>rs118012321</t>
        </is>
      </c>
      <c r="F573" t="n">
        <v>-0.0038312604</v>
      </c>
      <c r="G573" t="n">
        <v>0.6615720200507226</v>
      </c>
      <c r="H573" t="n">
        <v>0.0431868719129209</v>
      </c>
      <c r="I573" t="n">
        <v>0.0029189559269966</v>
      </c>
      <c r="J573" t="n">
        <v>0.0497340369835186</v>
      </c>
      <c r="K573" t="n">
        <v>0.4958922094031079</v>
      </c>
      <c r="L573" t="b">
        <v>1</v>
      </c>
      <c r="M573" t="b">
        <v>0</v>
      </c>
      <c r="N573" t="inlineStr">
        <is>
          <t>ref</t>
        </is>
      </c>
      <c r="O573" t="n">
        <v>-100</v>
      </c>
      <c r="P573" t="n">
        <v>0.3042</v>
      </c>
      <c r="Q573" t="n">
        <v>-55</v>
      </c>
      <c r="R573" t="n">
        <v>0.02551</v>
      </c>
      <c r="S573">
        <f>IMAGE("https://mitra.stanford.edu/kundaje/oak/projects/neuro-variants/variant_position/credible/roussos_2024/variant_figures/roussos_2024.childhood.GABA/rs118012321_count_position.png",4,220,900)</f>
        <v/>
      </c>
      <c r="T573">
        <f>IMAGE("https://mitra.stanford.edu/kundaje/oak/projects/neuro-variants/variant_position/credible/roussos_2024/variant_figures/roussos_2024.childhood.GABA/rs118012321_profile_position.png",4,220,900)</f>
        <v/>
      </c>
    </row>
    <row r="574">
      <c r="A574" t="inlineStr">
        <is>
          <t>chr11</t>
        </is>
      </c>
      <c r="B574" t="n">
        <v>47130722</v>
      </c>
      <c r="C574" t="inlineStr">
        <is>
          <t>G</t>
        </is>
      </c>
      <c r="D574" t="inlineStr">
        <is>
          <t>A</t>
        </is>
      </c>
      <c r="E574" t="inlineStr">
        <is>
          <t>rs10838660</t>
        </is>
      </c>
      <c r="F574" t="n">
        <v>-0.0260465136</v>
      </c>
      <c r="G574" t="n">
        <v>0.3482354585078563</v>
      </c>
      <c r="H574" t="n">
        <v>0.0087470104701613</v>
      </c>
      <c r="I574" t="n">
        <v>0.7666737040854161</v>
      </c>
      <c r="J574" t="n">
        <v>0.1712330631819228</v>
      </c>
      <c r="K574" t="n">
        <v>0.2489504854466747</v>
      </c>
      <c r="L574" t="b">
        <v>0</v>
      </c>
      <c r="M574" t="b">
        <v>0</v>
      </c>
      <c r="N574" t="inlineStr">
        <is>
          <t>ref</t>
        </is>
      </c>
      <c r="O574" t="n">
        <v>95</v>
      </c>
      <c r="P574" t="n">
        <v>0.0064</v>
      </c>
      <c r="Q574" t="n">
        <v>45</v>
      </c>
      <c r="R574" t="n">
        <v>0.04395</v>
      </c>
      <c r="S574">
        <f>IMAGE("https://mitra.stanford.edu/kundaje/oak/projects/neuro-variants/variant_position/credible/roussos_2024/variant_figures/roussos_2024.childhood.GABA/rs10838660_count_position.png",4,220,900)</f>
        <v/>
      </c>
      <c r="T574">
        <f>IMAGE("https://mitra.stanford.edu/kundaje/oak/projects/neuro-variants/variant_position/credible/roussos_2024/variant_figures/roussos_2024.childhood.GABA/rs10838660_profile_position.png",4,220,900)</f>
        <v/>
      </c>
    </row>
    <row r="575">
      <c r="A575" t="inlineStr">
        <is>
          <t>chr11</t>
        </is>
      </c>
      <c r="B575" t="n">
        <v>47143555</v>
      </c>
      <c r="C575" t="inlineStr">
        <is>
          <t>G</t>
        </is>
      </c>
      <c r="D575" t="inlineStr">
        <is>
          <t>A</t>
        </is>
      </c>
      <c r="E575" t="inlineStr">
        <is>
          <t>rs7121418</t>
        </is>
      </c>
      <c r="F575" t="n">
        <v>0.0588386263999999</v>
      </c>
      <c r="G575" t="n">
        <v>0.1025862334233223</v>
      </c>
      <c r="H575" t="n">
        <v>0.0180020426914822</v>
      </c>
      <c r="I575" t="n">
        <v>0.1161344042694807</v>
      </c>
      <c r="J575" t="n">
        <v>0.1375709409227031</v>
      </c>
      <c r="K575" t="n">
        <v>0.2873035734960996</v>
      </c>
      <c r="L575" t="b">
        <v>0</v>
      </c>
      <c r="M575" t="b">
        <v>0</v>
      </c>
      <c r="N575" t="inlineStr">
        <is>
          <t>alt</t>
        </is>
      </c>
      <c r="O575" t="n">
        <v>-20</v>
      </c>
      <c r="P575" t="n">
        <v>0.003525</v>
      </c>
      <c r="Q575" t="n">
        <v>-70</v>
      </c>
      <c r="R575" t="n">
        <v>0.09216000000000001</v>
      </c>
      <c r="S575">
        <f>IMAGE("https://mitra.stanford.edu/kundaje/oak/projects/neuro-variants/variant_position/credible/roussos_2024/variant_figures/roussos_2024.childhood.GABA/rs7121418_count_position.png",4,220,900)</f>
        <v/>
      </c>
      <c r="T575">
        <f>IMAGE("https://mitra.stanford.edu/kundaje/oak/projects/neuro-variants/variant_position/credible/roussos_2024/variant_figures/roussos_2024.childhood.GABA/rs7121418_profile_position.png",4,220,900)</f>
        <v/>
      </c>
    </row>
    <row r="576">
      <c r="A576" t="inlineStr">
        <is>
          <t>chr11</t>
        </is>
      </c>
      <c r="B576" t="n">
        <v>57653412</v>
      </c>
      <c r="C576" t="inlineStr">
        <is>
          <t>G</t>
        </is>
      </c>
      <c r="D576" t="inlineStr">
        <is>
          <t>A</t>
        </is>
      </c>
      <c r="E576" t="inlineStr">
        <is>
          <t>rs1631684</t>
        </is>
      </c>
      <c r="F576" t="n">
        <v>-0.01694924078</v>
      </c>
      <c r="G576" t="n">
        <v>0.2917145739652292</v>
      </c>
      <c r="H576" t="n">
        <v>0.0136000780294128</v>
      </c>
      <c r="I576" t="n">
        <v>0.3018617478278286</v>
      </c>
      <c r="J576" t="n">
        <v>0.0435257900358107</v>
      </c>
      <c r="K576" t="n">
        <v>0.5420441089903418</v>
      </c>
      <c r="L576" t="b">
        <v>0</v>
      </c>
      <c r="M576" t="b">
        <v>0</v>
      </c>
      <c r="N576" t="inlineStr">
        <is>
          <t>ref</t>
        </is>
      </c>
      <c r="O576" t="n">
        <v>100</v>
      </c>
      <c r="P576" t="n">
        <v>0.0781</v>
      </c>
      <c r="Q576" t="n">
        <v>100</v>
      </c>
      <c r="R576" t="n">
        <v>0.0349</v>
      </c>
      <c r="S576">
        <f>IMAGE("https://mitra.stanford.edu/kundaje/oak/projects/neuro-variants/variant_position/credible/roussos_2024/variant_figures/roussos_2024.childhood.GABA/rs1631684_count_position.png",4,220,900)</f>
        <v/>
      </c>
      <c r="T576">
        <f>IMAGE("https://mitra.stanford.edu/kundaje/oak/projects/neuro-variants/variant_position/credible/roussos_2024/variant_figures/roussos_2024.childhood.GABA/rs1631684_profile_position.png",4,220,900)</f>
        <v/>
      </c>
    </row>
    <row r="577">
      <c r="A577" t="inlineStr">
        <is>
          <t>chr11</t>
        </is>
      </c>
      <c r="B577" t="n">
        <v>57666650</v>
      </c>
      <c r="C577" t="inlineStr">
        <is>
          <t>C</t>
        </is>
      </c>
      <c r="D577" t="inlineStr">
        <is>
          <t>A</t>
        </is>
      </c>
      <c r="E577" t="inlineStr">
        <is>
          <t>rs499188</t>
        </is>
      </c>
      <c r="F577" t="n">
        <v>-0.0063705518</v>
      </c>
      <c r="G577" t="n">
        <v>0.6941461491327078</v>
      </c>
      <c r="H577" t="n">
        <v>0.0108410932457778</v>
      </c>
      <c r="I577" t="n">
        <v>0.5385880135426996</v>
      </c>
      <c r="J577" t="n">
        <v>0.4152426127201524</v>
      </c>
      <c r="K577" t="n">
        <v>0.0793085079505958</v>
      </c>
      <c r="L577" t="b">
        <v>0</v>
      </c>
      <c r="M577" t="b">
        <v>0</v>
      </c>
      <c r="N577" t="inlineStr">
        <is>
          <t>ref</t>
        </is>
      </c>
      <c r="O577" t="n">
        <v>65</v>
      </c>
      <c r="P577" t="n">
        <v>0.01762</v>
      </c>
      <c r="Q577" t="n">
        <v>100</v>
      </c>
      <c r="R577" t="n">
        <v>0.2009</v>
      </c>
      <c r="S577">
        <f>IMAGE("https://mitra.stanford.edu/kundaje/oak/projects/neuro-variants/variant_position/credible/roussos_2024/variant_figures/roussos_2024.childhood.GABA/rs499188_count_position.png",4,220,900)</f>
        <v/>
      </c>
      <c r="T577">
        <f>IMAGE("https://mitra.stanford.edu/kundaje/oak/projects/neuro-variants/variant_position/credible/roussos_2024/variant_figures/roussos_2024.childhood.GABA/rs499188_profile_position.png",4,220,900)</f>
        <v/>
      </c>
    </row>
    <row r="578">
      <c r="A578" t="inlineStr">
        <is>
          <t>chr11</t>
        </is>
      </c>
      <c r="B578" t="n">
        <v>57741206</v>
      </c>
      <c r="C578" t="inlineStr">
        <is>
          <t>G</t>
        </is>
      </c>
      <c r="D578" t="inlineStr">
        <is>
          <t>C</t>
        </is>
      </c>
      <c r="E578" t="inlineStr">
        <is>
          <t>rs12146541</t>
        </is>
      </c>
      <c r="F578" t="n">
        <v>-0.0695516378</v>
      </c>
      <c r="G578" t="n">
        <v>0.07342242544755211</v>
      </c>
      <c r="H578" t="n">
        <v>0.0262381070037278</v>
      </c>
      <c r="I578" t="n">
        <v>0.0229760269059396</v>
      </c>
      <c r="J578" t="n">
        <v>0.8004209335930138</v>
      </c>
      <c r="K578" t="n">
        <v>0.0064568241904557</v>
      </c>
      <c r="L578" t="b">
        <v>0</v>
      </c>
      <c r="M578" t="b">
        <v>0</v>
      </c>
      <c r="N578" t="inlineStr">
        <is>
          <t>ref</t>
        </is>
      </c>
      <c r="O578" t="n">
        <v>100</v>
      </c>
      <c r="P578" t="n">
        <v>0.03082</v>
      </c>
      <c r="Q578" t="n">
        <v>95</v>
      </c>
      <c r="R578" t="n">
        <v>0.292</v>
      </c>
      <c r="S578">
        <f>IMAGE("https://mitra.stanford.edu/kundaje/oak/projects/neuro-variants/variant_position/credible/roussos_2024/variant_figures/roussos_2024.childhood.GABA/rs12146541_count_position.png",4,220,900)</f>
        <v/>
      </c>
      <c r="T578">
        <f>IMAGE("https://mitra.stanford.edu/kundaje/oak/projects/neuro-variants/variant_position/credible/roussos_2024/variant_figures/roussos_2024.childhood.GABA/rs12146541_profile_position.png",4,220,900)</f>
        <v/>
      </c>
    </row>
    <row r="579">
      <c r="A579" t="inlineStr">
        <is>
          <t>chr11</t>
        </is>
      </c>
      <c r="B579" t="n">
        <v>57779528</v>
      </c>
      <c r="C579" t="inlineStr">
        <is>
          <t>T</t>
        </is>
      </c>
      <c r="D579" t="inlineStr">
        <is>
          <t>C</t>
        </is>
      </c>
      <c r="E579" t="inlineStr">
        <is>
          <t>rs35808061</t>
        </is>
      </c>
      <c r="F579" t="n">
        <v>-0.0442195788</v>
      </c>
      <c r="G579" t="n">
        <v>0.1906455934565102</v>
      </c>
      <c r="H579" t="n">
        <v>0.0145906134914556</v>
      </c>
      <c r="I579" t="n">
        <v>0.2504970156419596</v>
      </c>
      <c r="J579" t="n">
        <v>0.0913614374568071</v>
      </c>
      <c r="K579" t="n">
        <v>0.3726090714067459</v>
      </c>
      <c r="L579" t="b">
        <v>0</v>
      </c>
      <c r="M579" t="b">
        <v>0</v>
      </c>
      <c r="N579" t="inlineStr">
        <is>
          <t>ref</t>
        </is>
      </c>
      <c r="O579" t="n">
        <v>-80</v>
      </c>
      <c r="P579" t="n">
        <v>0.002342</v>
      </c>
      <c r="Q579" t="n">
        <v>-35</v>
      </c>
      <c r="R579" t="n">
        <v>0.006958</v>
      </c>
      <c r="S579">
        <f>IMAGE("https://mitra.stanford.edu/kundaje/oak/projects/neuro-variants/variant_position/credible/roussos_2024/variant_figures/roussos_2024.childhood.GABA/rs35808061_count_position.png",4,220,900)</f>
        <v/>
      </c>
      <c r="T579">
        <f>IMAGE("https://mitra.stanford.edu/kundaje/oak/projects/neuro-variants/variant_position/credible/roussos_2024/variant_figures/roussos_2024.childhood.GABA/rs35808061_profile_position.png",4,220,900)</f>
        <v/>
      </c>
    </row>
    <row r="580">
      <c r="A580" t="inlineStr">
        <is>
          <t>chr11</t>
        </is>
      </c>
      <c r="B580" t="n">
        <v>57788298</v>
      </c>
      <c r="C580" t="inlineStr">
        <is>
          <t>T</t>
        </is>
      </c>
      <c r="D580" t="inlineStr">
        <is>
          <t>C</t>
        </is>
      </c>
      <c r="E580" t="inlineStr">
        <is>
          <t>rs11570181</t>
        </is>
      </c>
      <c r="F580" t="n">
        <v>0.0725123806</v>
      </c>
      <c r="G580" t="n">
        <v>0.0621040763142561</v>
      </c>
      <c r="H580" t="n">
        <v>0.0133521792205624</v>
      </c>
      <c r="I580" t="n">
        <v>0.3299939760120094</v>
      </c>
      <c r="J580" t="n">
        <v>0.07284245356118189</v>
      </c>
      <c r="K580" t="n">
        <v>0.4296497896389535</v>
      </c>
      <c r="L580" t="b">
        <v>0</v>
      </c>
      <c r="M580" t="b">
        <v>0</v>
      </c>
      <c r="N580" t="inlineStr">
        <is>
          <t>alt</t>
        </is>
      </c>
      <c r="O580" t="n">
        <v>-100</v>
      </c>
      <c r="P580" t="n">
        <v>0.0076</v>
      </c>
      <c r="Q580" t="n">
        <v>100</v>
      </c>
      <c r="R580" t="n">
        <v>0.09235</v>
      </c>
      <c r="S580">
        <f>IMAGE("https://mitra.stanford.edu/kundaje/oak/projects/neuro-variants/variant_position/credible/roussos_2024/variant_figures/roussos_2024.childhood.GABA/rs11570181_count_position.png",4,220,900)</f>
        <v/>
      </c>
      <c r="T580">
        <f>IMAGE("https://mitra.stanford.edu/kundaje/oak/projects/neuro-variants/variant_position/credible/roussos_2024/variant_figures/roussos_2024.childhood.GABA/rs11570181_profile_position.png",4,220,900)</f>
        <v/>
      </c>
    </row>
    <row r="581">
      <c r="A581" t="inlineStr">
        <is>
          <t>chr11</t>
        </is>
      </c>
      <c r="B581" t="n">
        <v>57807627</v>
      </c>
      <c r="C581" t="inlineStr">
        <is>
          <t>A</t>
        </is>
      </c>
      <c r="D581" t="inlineStr">
        <is>
          <t>G</t>
        </is>
      </c>
      <c r="E581" t="inlineStr">
        <is>
          <t>rs1268667</t>
        </is>
      </c>
      <c r="F581" t="n">
        <v>-0.0170103684</v>
      </c>
      <c r="G581" t="n">
        <v>0.4862781697768708</v>
      </c>
      <c r="H581" t="n">
        <v>0.0467030745259014</v>
      </c>
      <c r="I581" t="n">
        <v>0.0021703288291885</v>
      </c>
      <c r="J581" t="n">
        <v>0.0422807899311008</v>
      </c>
      <c r="K581" t="n">
        <v>0.5259730488732229</v>
      </c>
      <c r="L581" t="b">
        <v>1</v>
      </c>
      <c r="M581" t="b">
        <v>0</v>
      </c>
      <c r="N581" t="inlineStr">
        <is>
          <t>ref</t>
        </is>
      </c>
      <c r="O581" t="n">
        <v>-70</v>
      </c>
      <c r="P581" t="n">
        <v>0.00903</v>
      </c>
      <c r="Q581" t="n">
        <v>10</v>
      </c>
      <c r="R581" t="n">
        <v>0.021</v>
      </c>
      <c r="S581">
        <f>IMAGE("https://mitra.stanford.edu/kundaje/oak/projects/neuro-variants/variant_position/credible/roussos_2024/variant_figures/roussos_2024.childhood.GABA/rs1268667_count_position.png",4,220,900)</f>
        <v/>
      </c>
      <c r="T581">
        <f>IMAGE("https://mitra.stanford.edu/kundaje/oak/projects/neuro-variants/variant_position/credible/roussos_2024/variant_figures/roussos_2024.childhood.GABA/rs1268667_profile_position.png",4,220,900)</f>
        <v/>
      </c>
    </row>
    <row r="582">
      <c r="A582" t="inlineStr">
        <is>
          <t>chr11</t>
        </is>
      </c>
      <c r="B582" t="n">
        <v>63872198</v>
      </c>
      <c r="C582" t="inlineStr">
        <is>
          <t>G</t>
        </is>
      </c>
      <c r="D582" t="inlineStr">
        <is>
          <t>A</t>
        </is>
      </c>
      <c r="E582" t="inlineStr">
        <is>
          <t>rs4980505</t>
        </is>
      </c>
      <c r="F582" t="n">
        <v>-0.007996514</v>
      </c>
      <c r="G582" t="n">
        <v>0.5024641934686706</v>
      </c>
      <c r="H582" t="n">
        <v>0.0104684686632453</v>
      </c>
      <c r="I582" t="n">
        <v>0.5745494743439513</v>
      </c>
      <c r="J582" t="n">
        <v>0.4701660698205273</v>
      </c>
      <c r="K582" t="n">
        <v>0.0609329124683315</v>
      </c>
      <c r="L582" t="b">
        <v>0</v>
      </c>
      <c r="M582" t="b">
        <v>0</v>
      </c>
      <c r="N582" t="inlineStr">
        <is>
          <t>ref</t>
        </is>
      </c>
      <c r="O582" t="n">
        <v>65</v>
      </c>
      <c r="P582" t="n">
        <v>0.002625</v>
      </c>
      <c r="Q582" t="n">
        <v>-65</v>
      </c>
      <c r="R582" t="n">
        <v>0.09909999999999999</v>
      </c>
      <c r="S582">
        <f>IMAGE("https://mitra.stanford.edu/kundaje/oak/projects/neuro-variants/variant_position/credible/roussos_2024/variant_figures/roussos_2024.childhood.GABA/rs4980505_count_position.png",4,220,900)</f>
        <v/>
      </c>
      <c r="T582">
        <f>IMAGE("https://mitra.stanford.edu/kundaje/oak/projects/neuro-variants/variant_position/credible/roussos_2024/variant_figures/roussos_2024.childhood.GABA/rs4980505_profile_position.png",4,220,900)</f>
        <v/>
      </c>
    </row>
    <row r="583">
      <c r="A583" t="inlineStr">
        <is>
          <t>chr11</t>
        </is>
      </c>
      <c r="B583" t="n">
        <v>64048350</v>
      </c>
      <c r="C583" t="inlineStr">
        <is>
          <t>C</t>
        </is>
      </c>
      <c r="D583" t="inlineStr">
        <is>
          <t>T</t>
        </is>
      </c>
      <c r="E583" t="inlineStr">
        <is>
          <t>rs2014328</t>
        </is>
      </c>
      <c r="F583" t="n">
        <v>-0.0137459068</v>
      </c>
      <c r="G583" t="n">
        <v>0.540994962526532</v>
      </c>
      <c r="H583" t="n">
        <v>0.01267538040358</v>
      </c>
      <c r="I583" t="n">
        <v>0.3776386471192232</v>
      </c>
      <c r="J583" t="n">
        <v>0.5908902431362695</v>
      </c>
      <c r="K583" t="n">
        <v>0.0311620299636172</v>
      </c>
      <c r="L583" t="b">
        <v>0</v>
      </c>
      <c r="M583" t="b">
        <v>0</v>
      </c>
      <c r="N583" t="inlineStr">
        <is>
          <t>ref</t>
        </is>
      </c>
      <c r="O583" t="n">
        <v>90</v>
      </c>
      <c r="P583" t="n">
        <v>0.002321</v>
      </c>
      <c r="Q583" t="n">
        <v>-15</v>
      </c>
      <c r="R583" t="n">
        <v>0.006958</v>
      </c>
      <c r="S583">
        <f>IMAGE("https://mitra.stanford.edu/kundaje/oak/projects/neuro-variants/variant_position/credible/roussos_2024/variant_figures/roussos_2024.childhood.GABA/rs2014328_count_position.png",4,220,900)</f>
        <v/>
      </c>
      <c r="T583">
        <f>IMAGE("https://mitra.stanford.edu/kundaje/oak/projects/neuro-variants/variant_position/credible/roussos_2024/variant_figures/roussos_2024.childhood.GABA/rs2014328_profile_position.png",4,220,900)</f>
        <v/>
      </c>
    </row>
    <row r="584">
      <c r="A584" t="inlineStr">
        <is>
          <t>chr11</t>
        </is>
      </c>
      <c r="B584" t="n">
        <v>64053900</v>
      </c>
      <c r="C584" t="inlineStr">
        <is>
          <t>G</t>
        </is>
      </c>
      <c r="D584" t="inlineStr">
        <is>
          <t>A</t>
        </is>
      </c>
      <c r="E584" t="inlineStr">
        <is>
          <t>rs478294</t>
        </is>
      </c>
      <c r="F584" t="n">
        <v>-0.1817848868</v>
      </c>
      <c r="G584" t="n">
        <v>0.0062634501998579</v>
      </c>
      <c r="H584" t="n">
        <v>0.0200805303946059</v>
      </c>
      <c r="I584" t="n">
        <v>0.0796006749499036</v>
      </c>
      <c r="J584" t="n">
        <v>0.6119411111809177</v>
      </c>
      <c r="K584" t="n">
        <v>0.0269102526981518</v>
      </c>
      <c r="L584" t="b">
        <v>1</v>
      </c>
      <c r="M584" t="b">
        <v>1</v>
      </c>
      <c r="N584" t="inlineStr">
        <is>
          <t>ref</t>
        </is>
      </c>
      <c r="O584" t="n">
        <v>5</v>
      </c>
      <c r="P584" t="n">
        <v>0.0004272</v>
      </c>
      <c r="Q584" t="n">
        <v>-45</v>
      </c>
      <c r="R584" t="n">
        <v>0.03076</v>
      </c>
      <c r="S584">
        <f>IMAGE("https://mitra.stanford.edu/kundaje/oak/projects/neuro-variants/variant_position/credible/roussos_2024/variant_figures/roussos_2024.childhood.GABA/rs478294_count_position.png",4,220,900)</f>
        <v/>
      </c>
      <c r="T584">
        <f>IMAGE("https://mitra.stanford.edu/kundaje/oak/projects/neuro-variants/variant_position/credible/roussos_2024/variant_figures/roussos_2024.childhood.GABA/rs478294_profile_position.png",4,220,900)</f>
        <v/>
      </c>
    </row>
    <row r="585">
      <c r="A585" t="inlineStr">
        <is>
          <t>chr11</t>
        </is>
      </c>
      <c r="B585" t="n">
        <v>64056059</v>
      </c>
      <c r="C585" t="inlineStr">
        <is>
          <t>G</t>
        </is>
      </c>
      <c r="D585" t="inlineStr">
        <is>
          <t>A</t>
        </is>
      </c>
      <c r="E585" t="inlineStr">
        <is>
          <t>rs540741</t>
        </is>
      </c>
      <c r="F585" t="n">
        <v>-0.010520057628</v>
      </c>
      <c r="G585" t="n">
        <v>0.6524100817518038</v>
      </c>
      <c r="H585" t="n">
        <v>0.0135029898888943</v>
      </c>
      <c r="I585" t="n">
        <v>0.3138643888790337</v>
      </c>
      <c r="J585" t="n">
        <v>0.5958660551611485</v>
      </c>
      <c r="K585" t="n">
        <v>0.0297769811032754</v>
      </c>
      <c r="L585" t="b">
        <v>0</v>
      </c>
      <c r="M585" t="b">
        <v>0</v>
      </c>
      <c r="N585" t="inlineStr">
        <is>
          <t>ref</t>
        </is>
      </c>
      <c r="O585" t="n">
        <v>100</v>
      </c>
      <c r="P585" t="n">
        <v>0.003862</v>
      </c>
      <c r="Q585" t="n">
        <v>-10</v>
      </c>
      <c r="R585" t="n">
        <v>0.004944</v>
      </c>
      <c r="S585">
        <f>IMAGE("https://mitra.stanford.edu/kundaje/oak/projects/neuro-variants/variant_position/credible/roussos_2024/variant_figures/roussos_2024.childhood.GABA/rs540741_count_position.png",4,220,900)</f>
        <v/>
      </c>
      <c r="T585">
        <f>IMAGE("https://mitra.stanford.edu/kundaje/oak/projects/neuro-variants/variant_position/credible/roussos_2024/variant_figures/roussos_2024.childhood.GABA/rs540741_profile_position.png",4,220,900)</f>
        <v/>
      </c>
    </row>
    <row r="586">
      <c r="A586" t="inlineStr">
        <is>
          <t>chr11</t>
        </is>
      </c>
      <c r="B586" t="n">
        <v>64056147</v>
      </c>
      <c r="C586" t="inlineStr">
        <is>
          <t>C</t>
        </is>
      </c>
      <c r="D586" t="inlineStr">
        <is>
          <t>T</t>
        </is>
      </c>
      <c r="E586" t="inlineStr">
        <is>
          <t>rs562664</t>
        </is>
      </c>
      <c r="F586" t="n">
        <v>-0.0441363844</v>
      </c>
      <c r="G586" t="n">
        <v>0.1668760132038469</v>
      </c>
      <c r="H586" t="n">
        <v>0.016430654145833</v>
      </c>
      <c r="I586" t="n">
        <v>0.1609489346643905</v>
      </c>
      <c r="J586" t="n">
        <v>0.613790287114406</v>
      </c>
      <c r="K586" t="n">
        <v>0.0266838459433878</v>
      </c>
      <c r="L586" t="b">
        <v>0</v>
      </c>
      <c r="M586" t="b">
        <v>0</v>
      </c>
      <c r="N586" t="inlineStr">
        <is>
          <t>ref</t>
        </is>
      </c>
      <c r="O586" t="n">
        <v>100</v>
      </c>
      <c r="P586" t="n">
        <v>0.01343</v>
      </c>
      <c r="Q586" t="n">
        <v>-100</v>
      </c>
      <c r="R586" t="n">
        <v>0.1631</v>
      </c>
      <c r="S586">
        <f>IMAGE("https://mitra.stanford.edu/kundaje/oak/projects/neuro-variants/variant_position/credible/roussos_2024/variant_figures/roussos_2024.childhood.GABA/rs562664_count_position.png",4,220,900)</f>
        <v/>
      </c>
      <c r="T586">
        <f>IMAGE("https://mitra.stanford.edu/kundaje/oak/projects/neuro-variants/variant_position/credible/roussos_2024/variant_figures/roussos_2024.childhood.GABA/rs562664_profile_position.png",4,220,900)</f>
        <v/>
      </c>
    </row>
    <row r="587">
      <c r="A587" t="inlineStr">
        <is>
          <t>chr11</t>
        </is>
      </c>
      <c r="B587" t="n">
        <v>66349440</v>
      </c>
      <c r="C587" t="inlineStr">
        <is>
          <t>A</t>
        </is>
      </c>
      <c r="D587" t="inlineStr">
        <is>
          <t>G</t>
        </is>
      </c>
      <c r="E587" t="inlineStr">
        <is>
          <t>rs4930355</t>
        </is>
      </c>
      <c r="F587" t="n">
        <v>0.0530340286</v>
      </c>
      <c r="G587" t="n">
        <v>0.1206311584712315</v>
      </c>
      <c r="H587" t="n">
        <v>0.0110578919575659</v>
      </c>
      <c r="I587" t="n">
        <v>0.5322549634818606</v>
      </c>
      <c r="J587" t="n">
        <v>0.0445467110636425</v>
      </c>
      <c r="K587" t="n">
        <v>0.523159029408181</v>
      </c>
      <c r="L587" t="b">
        <v>0</v>
      </c>
      <c r="M587" t="b">
        <v>0</v>
      </c>
      <c r="N587" t="inlineStr">
        <is>
          <t>alt</t>
        </is>
      </c>
      <c r="O587" t="n">
        <v>35</v>
      </c>
      <c r="P587" t="n">
        <v>0.01176</v>
      </c>
      <c r="Q587" t="n">
        <v>-75</v>
      </c>
      <c r="R587" t="n">
        <v>0.01257</v>
      </c>
      <c r="S587">
        <f>IMAGE("https://mitra.stanford.edu/kundaje/oak/projects/neuro-variants/variant_position/credible/roussos_2024/variant_figures/roussos_2024.childhood.GABA/rs4930355_count_position.png",4,220,900)</f>
        <v/>
      </c>
      <c r="T587">
        <f>IMAGE("https://mitra.stanford.edu/kundaje/oak/projects/neuro-variants/variant_position/credible/roussos_2024/variant_figures/roussos_2024.childhood.GABA/rs4930355_profile_position.png",4,220,900)</f>
        <v/>
      </c>
    </row>
    <row r="588">
      <c r="A588" t="inlineStr">
        <is>
          <t>chr11</t>
        </is>
      </c>
      <c r="B588" t="n">
        <v>67004840</v>
      </c>
      <c r="C588" t="inlineStr">
        <is>
          <t>G</t>
        </is>
      </c>
      <c r="D588" t="inlineStr">
        <is>
          <t>T</t>
        </is>
      </c>
      <c r="E588" t="inlineStr">
        <is>
          <t>rs11227649</t>
        </is>
      </c>
      <c r="F588" t="n">
        <v>0.002710029886</v>
      </c>
      <c r="G588" t="n">
        <v>0.8460013364789414</v>
      </c>
      <c r="H588" t="n">
        <v>0.0213607529956095</v>
      </c>
      <c r="I588" t="n">
        <v>0.0572827032643075</v>
      </c>
      <c r="J588" t="n">
        <v>0.1427635023350296</v>
      </c>
      <c r="K588" t="n">
        <v>0.2887909824456212</v>
      </c>
      <c r="L588" t="b">
        <v>0</v>
      </c>
      <c r="M588" t="b">
        <v>0</v>
      </c>
      <c r="N588" t="inlineStr">
        <is>
          <t>alt</t>
        </is>
      </c>
      <c r="O588" t="n">
        <v>-90</v>
      </c>
      <c r="P588" t="n">
        <v>0.00958</v>
      </c>
      <c r="Q588" t="n">
        <v>85</v>
      </c>
      <c r="R588" t="n">
        <v>0.12</v>
      </c>
      <c r="S588">
        <f>IMAGE("https://mitra.stanford.edu/kundaje/oak/projects/neuro-variants/variant_position/credible/roussos_2024/variant_figures/roussos_2024.childhood.GABA/rs11227649_count_position.png",4,220,900)</f>
        <v/>
      </c>
      <c r="T588">
        <f>IMAGE("https://mitra.stanford.edu/kundaje/oak/projects/neuro-variants/variant_position/credible/roussos_2024/variant_figures/roussos_2024.childhood.GABA/rs11227649_profile_position.png",4,220,900)</f>
        <v/>
      </c>
    </row>
    <row r="589">
      <c r="A589" t="inlineStr">
        <is>
          <t>chr11</t>
        </is>
      </c>
      <c r="B589" t="n">
        <v>67005606</v>
      </c>
      <c r="C589" t="inlineStr">
        <is>
          <t>C</t>
        </is>
      </c>
      <c r="D589" t="inlineStr">
        <is>
          <t>T</t>
        </is>
      </c>
      <c r="E589" t="inlineStr">
        <is>
          <t>rs1253435</t>
        </is>
      </c>
      <c r="F589" t="n">
        <v>-0.173018252</v>
      </c>
      <c r="G589" t="n">
        <v>0.0074166854885609</v>
      </c>
      <c r="H589" t="n">
        <v>0.022840951588398</v>
      </c>
      <c r="I589" t="n">
        <v>0.0456409578452165</v>
      </c>
      <c r="J589" t="n">
        <v>0.2365573495843018</v>
      </c>
      <c r="K589" t="n">
        <v>0.1831641673057651</v>
      </c>
      <c r="L589" t="b">
        <v>1</v>
      </c>
      <c r="M589" t="b">
        <v>1</v>
      </c>
      <c r="N589" t="inlineStr">
        <is>
          <t>ref</t>
        </is>
      </c>
      <c r="O589" t="n">
        <v>-100</v>
      </c>
      <c r="P589" t="n">
        <v>0.005386</v>
      </c>
      <c r="Q589" t="n">
        <v>-60</v>
      </c>
      <c r="R589" t="n">
        <v>0.0641</v>
      </c>
      <c r="S589">
        <f>IMAGE("https://mitra.stanford.edu/kundaje/oak/projects/neuro-variants/variant_position/credible/roussos_2024/variant_figures/roussos_2024.childhood.GABA/rs1253435_count_position.png",4,220,900)</f>
        <v/>
      </c>
      <c r="T589">
        <f>IMAGE("https://mitra.stanford.edu/kundaje/oak/projects/neuro-variants/variant_position/credible/roussos_2024/variant_figures/roussos_2024.childhood.GABA/rs1253435_profile_position.png",4,220,900)</f>
        <v/>
      </c>
    </row>
    <row r="590">
      <c r="A590" t="inlineStr">
        <is>
          <t>chr11</t>
        </is>
      </c>
      <c r="B590" t="n">
        <v>79499415</v>
      </c>
      <c r="C590" t="inlineStr">
        <is>
          <t>A</t>
        </is>
      </c>
      <c r="D590" t="inlineStr">
        <is>
          <t>C</t>
        </is>
      </c>
      <c r="E590" t="inlineStr">
        <is>
          <t>rs112437913</t>
        </is>
      </c>
      <c r="F590" t="n">
        <v>-0.1146420049999999</v>
      </c>
      <c r="G590" t="n">
        <v>0.0217024819541631</v>
      </c>
      <c r="H590" t="n">
        <v>0.0249460119279632</v>
      </c>
      <c r="I590" t="n">
        <v>0.0347589401750057</v>
      </c>
      <c r="J590" t="n">
        <v>0.5534889321689598</v>
      </c>
      <c r="K590" t="n">
        <v>0.0370948762944724</v>
      </c>
      <c r="L590" t="b">
        <v>0</v>
      </c>
      <c r="M590" t="b">
        <v>0</v>
      </c>
      <c r="N590" t="inlineStr">
        <is>
          <t>ref</t>
        </is>
      </c>
      <c r="O590" t="n">
        <v>80</v>
      </c>
      <c r="P590" t="n">
        <v>0.004158</v>
      </c>
      <c r="Q590" t="n">
        <v>-100</v>
      </c>
      <c r="R590" t="n">
        <v>0.01453</v>
      </c>
      <c r="S590">
        <f>IMAGE("https://mitra.stanford.edu/kundaje/oak/projects/neuro-variants/variant_position/credible/roussos_2024/variant_figures/roussos_2024.childhood.GABA/rs112437913_count_position.png",4,220,900)</f>
        <v/>
      </c>
      <c r="T590">
        <f>IMAGE("https://mitra.stanford.edu/kundaje/oak/projects/neuro-variants/variant_position/credible/roussos_2024/variant_figures/roussos_2024.childhood.GABA/rs112437913_profile_position.png",4,220,900)</f>
        <v/>
      </c>
    </row>
    <row r="591">
      <c r="A591" t="inlineStr">
        <is>
          <t>chr11</t>
        </is>
      </c>
      <c r="B591" t="n">
        <v>79591215</v>
      </c>
      <c r="C591" t="inlineStr">
        <is>
          <t>T</t>
        </is>
      </c>
      <c r="D591" t="inlineStr">
        <is>
          <t>C</t>
        </is>
      </c>
      <c r="E591" t="inlineStr">
        <is>
          <t>rs1893846</t>
        </is>
      </c>
      <c r="F591" t="n">
        <v>0.1690349908</v>
      </c>
      <c r="G591" t="n">
        <v>0.0074711273804242</v>
      </c>
      <c r="H591" t="n">
        <v>0.0216542116615861</v>
      </c>
      <c r="I591" t="n">
        <v>0.0560078076477386</v>
      </c>
      <c r="J591" t="n">
        <v>0.0535433812904441</v>
      </c>
      <c r="K591" t="n">
        <v>0.485260543225312</v>
      </c>
      <c r="L591" t="b">
        <v>1</v>
      </c>
      <c r="M591" t="b">
        <v>1</v>
      </c>
      <c r="N591" t="inlineStr">
        <is>
          <t>alt</t>
        </is>
      </c>
      <c r="O591" t="n">
        <v>100</v>
      </c>
      <c r="P591" t="n">
        <v>0.0112</v>
      </c>
      <c r="Q591" t="n">
        <v>100</v>
      </c>
      <c r="R591" t="n">
        <v>0.1489</v>
      </c>
      <c r="S591">
        <f>IMAGE("https://mitra.stanford.edu/kundaje/oak/projects/neuro-variants/variant_position/credible/roussos_2024/variant_figures/roussos_2024.childhood.GABA/rs1893846_count_position.png",4,220,900)</f>
        <v/>
      </c>
      <c r="T591">
        <f>IMAGE("https://mitra.stanford.edu/kundaje/oak/projects/neuro-variants/variant_position/credible/roussos_2024/variant_figures/roussos_2024.childhood.GABA/rs1893846_profile_position.png",4,220,900)</f>
        <v/>
      </c>
    </row>
    <row r="592">
      <c r="A592" t="inlineStr">
        <is>
          <t>chr11</t>
        </is>
      </c>
      <c r="B592" t="n">
        <v>79634979</v>
      </c>
      <c r="C592" t="inlineStr">
        <is>
          <t>A</t>
        </is>
      </c>
      <c r="D592" t="inlineStr">
        <is>
          <t>G</t>
        </is>
      </c>
      <c r="E592" t="inlineStr">
        <is>
          <t>rs2457246</t>
        </is>
      </c>
      <c r="F592" t="n">
        <v>-0.00163751184</v>
      </c>
      <c r="G592" t="n">
        <v>0.743963537236781</v>
      </c>
      <c r="H592" t="n">
        <v>0.0225967009245154</v>
      </c>
      <c r="I592" t="n">
        <v>0.0441139903681566</v>
      </c>
      <c r="J592" t="n">
        <v>0.1161672006868965</v>
      </c>
      <c r="K592" t="n">
        <v>0.3234009551678813</v>
      </c>
      <c r="L592" t="b">
        <v>0</v>
      </c>
      <c r="M592" t="b">
        <v>0</v>
      </c>
      <c r="N592" t="inlineStr">
        <is>
          <t>ref</t>
        </is>
      </c>
      <c r="O592" t="n">
        <v>100</v>
      </c>
      <c r="P592" t="n">
        <v>0.01308</v>
      </c>
      <c r="Q592" t="n">
        <v>100</v>
      </c>
      <c r="R592" t="n">
        <v>0.1597</v>
      </c>
      <c r="S592">
        <f>IMAGE("https://mitra.stanford.edu/kundaje/oak/projects/neuro-variants/variant_position/credible/roussos_2024/variant_figures/roussos_2024.childhood.GABA/rs2457246_count_position.png",4,220,900)</f>
        <v/>
      </c>
      <c r="T592">
        <f>IMAGE("https://mitra.stanford.edu/kundaje/oak/projects/neuro-variants/variant_position/credible/roussos_2024/variant_figures/roussos_2024.childhood.GABA/rs2457246_profile_position.png",4,220,900)</f>
        <v/>
      </c>
    </row>
    <row r="593">
      <c r="A593" t="inlineStr">
        <is>
          <t>chr11</t>
        </is>
      </c>
      <c r="B593" t="n">
        <v>79637393</v>
      </c>
      <c r="C593" t="inlineStr">
        <is>
          <t>C</t>
        </is>
      </c>
      <c r="D593" t="inlineStr">
        <is>
          <t>T</t>
        </is>
      </c>
      <c r="E593" t="inlineStr">
        <is>
          <t>rs591699</t>
        </is>
      </c>
      <c r="F593" t="n">
        <v>0.0463642597999999</v>
      </c>
      <c r="G593" t="n">
        <v>0.1580473373224822</v>
      </c>
      <c r="H593" t="n">
        <v>0.0186778627201741</v>
      </c>
      <c r="I593" t="n">
        <v>0.1003271204411529</v>
      </c>
      <c r="J593" t="n">
        <v>0.0859437498691126</v>
      </c>
      <c r="K593" t="n">
        <v>0.3890467321373921</v>
      </c>
      <c r="L593" t="b">
        <v>0</v>
      </c>
      <c r="M593" t="b">
        <v>0</v>
      </c>
      <c r="N593" t="inlineStr">
        <is>
          <t>alt</t>
        </is>
      </c>
      <c r="O593" t="n">
        <v>-65</v>
      </c>
      <c r="P593" t="n">
        <v>0.003918</v>
      </c>
      <c r="Q593" t="n">
        <v>100</v>
      </c>
      <c r="R593" t="n">
        <v>0.0785</v>
      </c>
      <c r="S593">
        <f>IMAGE("https://mitra.stanford.edu/kundaje/oak/projects/neuro-variants/variant_position/credible/roussos_2024/variant_figures/roussos_2024.childhood.GABA/rs591699_count_position.png",4,220,900)</f>
        <v/>
      </c>
      <c r="T593">
        <f>IMAGE("https://mitra.stanford.edu/kundaje/oak/projects/neuro-variants/variant_position/credible/roussos_2024/variant_figures/roussos_2024.childhood.GABA/rs591699_profile_position.png",4,220,900)</f>
        <v/>
      </c>
    </row>
    <row r="594">
      <c r="A594" t="inlineStr">
        <is>
          <t>chr11</t>
        </is>
      </c>
      <c r="B594" t="n">
        <v>79643238</v>
      </c>
      <c r="C594" t="inlineStr">
        <is>
          <t>T</t>
        </is>
      </c>
      <c r="D594" t="inlineStr">
        <is>
          <t>C</t>
        </is>
      </c>
      <c r="E594" t="inlineStr">
        <is>
          <t>rs12789884</t>
        </is>
      </c>
      <c r="F594" t="n">
        <v>0.1408023639999999</v>
      </c>
      <c r="G594" t="n">
        <v>0.011527365299732</v>
      </c>
      <c r="H594" t="n">
        <v>0.018069668157011</v>
      </c>
      <c r="I594" t="n">
        <v>0.1161091120708469</v>
      </c>
      <c r="J594" t="n">
        <v>0.1039182425498942</v>
      </c>
      <c r="K594" t="n">
        <v>0.4119659391884169</v>
      </c>
      <c r="L594" t="b">
        <v>1</v>
      </c>
      <c r="M594" t="b">
        <v>0</v>
      </c>
      <c r="N594" t="inlineStr">
        <is>
          <t>alt</t>
        </is>
      </c>
      <c r="O594" t="n">
        <v>90</v>
      </c>
      <c r="P594" t="n">
        <v>0.006172</v>
      </c>
      <c r="Q594" t="n">
        <v>55</v>
      </c>
      <c r="R594" t="n">
        <v>0.05508</v>
      </c>
      <c r="S594">
        <f>IMAGE("https://mitra.stanford.edu/kundaje/oak/projects/neuro-variants/variant_position/credible/roussos_2024/variant_figures/roussos_2024.childhood.GABA/rs12789884_count_position.png",4,220,900)</f>
        <v/>
      </c>
      <c r="T594">
        <f>IMAGE("https://mitra.stanford.edu/kundaje/oak/projects/neuro-variants/variant_position/credible/roussos_2024/variant_figures/roussos_2024.childhood.GABA/rs12789884_profile_position.png",4,220,900)</f>
        <v/>
      </c>
    </row>
    <row r="595">
      <c r="A595" t="inlineStr">
        <is>
          <t>chr11</t>
        </is>
      </c>
      <c r="B595" t="n">
        <v>104509903</v>
      </c>
      <c r="C595" t="inlineStr">
        <is>
          <t>A</t>
        </is>
      </c>
      <c r="D595" t="inlineStr">
        <is>
          <t>G</t>
        </is>
      </c>
      <c r="E595" t="inlineStr">
        <is>
          <t>rs71464734</t>
        </is>
      </c>
      <c r="F595" t="n">
        <v>-0.09469478000000001</v>
      </c>
      <c r="G595" t="n">
        <v>0.0355475292491373</v>
      </c>
      <c r="H595" t="n">
        <v>0.0311765222214897</v>
      </c>
      <c r="I595" t="n">
        <v>0.0107531700041938</v>
      </c>
      <c r="J595" t="n">
        <v>0.0204791522690624</v>
      </c>
      <c r="K595" t="n">
        <v>0.6500750774587644</v>
      </c>
      <c r="L595" t="b">
        <v>1</v>
      </c>
      <c r="M595" t="b">
        <v>0</v>
      </c>
      <c r="N595" t="inlineStr">
        <is>
          <t>ref</t>
        </is>
      </c>
      <c r="O595" t="n">
        <v>85</v>
      </c>
      <c r="P595" t="n">
        <v>0.00327</v>
      </c>
      <c r="Q595" t="n">
        <v>-95</v>
      </c>
      <c r="R595" t="n">
        <v>0.0849</v>
      </c>
      <c r="S595">
        <f>IMAGE("https://mitra.stanford.edu/kundaje/oak/projects/neuro-variants/variant_position/credible/roussos_2024/variant_figures/roussos_2024.childhood.GABA/rs71464734_count_position.png",4,220,900)</f>
        <v/>
      </c>
      <c r="T595">
        <f>IMAGE("https://mitra.stanford.edu/kundaje/oak/projects/neuro-variants/variant_position/credible/roussos_2024/variant_figures/roussos_2024.childhood.GABA/rs71464734_profile_position.png",4,220,900)</f>
        <v/>
      </c>
    </row>
    <row r="596">
      <c r="A596" t="inlineStr">
        <is>
          <t>chr11</t>
        </is>
      </c>
      <c r="B596" t="n">
        <v>104552280</v>
      </c>
      <c r="C596" t="inlineStr">
        <is>
          <t>C</t>
        </is>
      </c>
      <c r="D596" t="inlineStr">
        <is>
          <t>T</t>
        </is>
      </c>
      <c r="E596" t="inlineStr">
        <is>
          <t>rs722354</t>
        </is>
      </c>
      <c r="F596" t="n">
        <v>0.0012717441599999</v>
      </c>
      <c r="G596" t="n">
        <v>0.6932906826383672</v>
      </c>
      <c r="H596" t="n">
        <v>0.0211160297831792</v>
      </c>
      <c r="I596" t="n">
        <v>0.0604122176519483</v>
      </c>
      <c r="J596" t="n">
        <v>0.0049360222822558</v>
      </c>
      <c r="K596" t="n">
        <v>0.8217912129219058</v>
      </c>
      <c r="L596" t="b">
        <v>0</v>
      </c>
      <c r="M596" t="b">
        <v>0</v>
      </c>
      <c r="N596" t="inlineStr">
        <is>
          <t>alt</t>
        </is>
      </c>
      <c r="O596" t="n">
        <v>-80</v>
      </c>
      <c r="P596" t="n">
        <v>0.00296</v>
      </c>
      <c r="Q596" t="n">
        <v>-25</v>
      </c>
      <c r="R596" t="n">
        <v>0.0358</v>
      </c>
      <c r="S596">
        <f>IMAGE("https://mitra.stanford.edu/kundaje/oak/projects/neuro-variants/variant_position/credible/roussos_2024/variant_figures/roussos_2024.childhood.GABA/rs722354_count_position.png",4,220,900)</f>
        <v/>
      </c>
      <c r="T596">
        <f>IMAGE("https://mitra.stanford.edu/kundaje/oak/projects/neuro-variants/variant_position/credible/roussos_2024/variant_figures/roussos_2024.childhood.GABA/rs722354_profile_position.png",4,220,900)</f>
        <v/>
      </c>
    </row>
    <row r="597">
      <c r="A597" t="inlineStr">
        <is>
          <t>chr11</t>
        </is>
      </c>
      <c r="B597" t="n">
        <v>104566928</v>
      </c>
      <c r="C597" t="inlineStr">
        <is>
          <t>G</t>
        </is>
      </c>
      <c r="D597" t="inlineStr">
        <is>
          <t>A</t>
        </is>
      </c>
      <c r="E597" t="inlineStr">
        <is>
          <t>rs34793132</t>
        </is>
      </c>
      <c r="F597" t="n">
        <v>-0.0783944961999999</v>
      </c>
      <c r="G597" t="n">
        <v>0.0559614966101137</v>
      </c>
      <c r="H597" t="n">
        <v>0.0120086428807465</v>
      </c>
      <c r="I597" t="n">
        <v>0.4379676423769392</v>
      </c>
      <c r="J597" t="n">
        <v>0.1243125798412598</v>
      </c>
      <c r="K597" t="n">
        <v>0.3052574568384563</v>
      </c>
      <c r="L597" t="b">
        <v>0</v>
      </c>
      <c r="M597" t="b">
        <v>0</v>
      </c>
      <c r="N597" t="inlineStr">
        <is>
          <t>ref</t>
        </is>
      </c>
      <c r="O597" t="n">
        <v>-90</v>
      </c>
      <c r="P597" t="n">
        <v>0.02533</v>
      </c>
      <c r="Q597" t="n">
        <v>-50</v>
      </c>
      <c r="R597" t="n">
        <v>0.1101</v>
      </c>
      <c r="S597">
        <f>IMAGE("https://mitra.stanford.edu/kundaje/oak/projects/neuro-variants/variant_position/credible/roussos_2024/variant_figures/roussos_2024.childhood.GABA/rs34793132_count_position.png",4,220,900)</f>
        <v/>
      </c>
      <c r="T597">
        <f>IMAGE("https://mitra.stanford.edu/kundaje/oak/projects/neuro-variants/variant_position/credible/roussos_2024/variant_figures/roussos_2024.childhood.GABA/rs34793132_profile_position.png",4,220,900)</f>
        <v/>
      </c>
    </row>
    <row r="598">
      <c r="A598" t="inlineStr">
        <is>
          <t>chr11</t>
        </is>
      </c>
      <c r="B598" t="n">
        <v>104574276</v>
      </c>
      <c r="C598" t="inlineStr">
        <is>
          <t>T</t>
        </is>
      </c>
      <c r="D598" t="inlineStr">
        <is>
          <t>C</t>
        </is>
      </c>
      <c r="E598" t="inlineStr">
        <is>
          <t>rs59832858</t>
        </is>
      </c>
      <c r="F598" t="n">
        <v>0.0410974122</v>
      </c>
      <c r="G598" t="n">
        <v>0.1930196520195587</v>
      </c>
      <c r="H598" t="n">
        <v>0.0147026501157591</v>
      </c>
      <c r="I598" t="n">
        <v>0.2417317446474916</v>
      </c>
      <c r="J598" t="n">
        <v>0.0085935373081191</v>
      </c>
      <c r="K598" t="n">
        <v>0.7715085346909911</v>
      </c>
      <c r="L598" t="b">
        <v>0</v>
      </c>
      <c r="M598" t="b">
        <v>0</v>
      </c>
      <c r="N598" t="inlineStr">
        <is>
          <t>alt</t>
        </is>
      </c>
      <c r="O598" t="n">
        <v>-40</v>
      </c>
      <c r="P598" t="n">
        <v>0.010864</v>
      </c>
      <c r="Q598" t="n">
        <v>-95</v>
      </c>
      <c r="R598" t="n">
        <v>0.01752</v>
      </c>
      <c r="S598">
        <f>IMAGE("https://mitra.stanford.edu/kundaje/oak/projects/neuro-variants/variant_position/credible/roussos_2024/variant_figures/roussos_2024.childhood.GABA/rs59832858_count_position.png",4,220,900)</f>
        <v/>
      </c>
      <c r="T598">
        <f>IMAGE("https://mitra.stanford.edu/kundaje/oak/projects/neuro-variants/variant_position/credible/roussos_2024/variant_figures/roussos_2024.childhood.GABA/rs59832858_profile_position.png",4,220,900)</f>
        <v/>
      </c>
    </row>
    <row r="599">
      <c r="A599" t="inlineStr">
        <is>
          <t>chr11</t>
        </is>
      </c>
      <c r="B599" t="n">
        <v>104592078</v>
      </c>
      <c r="C599" t="inlineStr">
        <is>
          <t>G</t>
        </is>
      </c>
      <c r="D599" t="inlineStr">
        <is>
          <t>C</t>
        </is>
      </c>
      <c r="E599" t="inlineStr">
        <is>
          <t>rs7927714</t>
        </is>
      </c>
      <c r="F599" t="n">
        <v>-0.356058264</v>
      </c>
      <c r="G599" t="n">
        <v>0.0008454693148573</v>
      </c>
      <c r="H599" t="n">
        <v>0.063163746100154</v>
      </c>
      <c r="I599" t="n">
        <v>0.0011994488722016</v>
      </c>
      <c r="J599" t="n">
        <v>0.075175388997089</v>
      </c>
      <c r="K599" t="n">
        <v>0.4089434638848309</v>
      </c>
      <c r="L599" t="b">
        <v>1</v>
      </c>
      <c r="M599" t="b">
        <v>1</v>
      </c>
      <c r="N599" t="inlineStr">
        <is>
          <t>ref</t>
        </is>
      </c>
      <c r="O599" t="n">
        <v>-85</v>
      </c>
      <c r="P599" t="n">
        <v>0.007965</v>
      </c>
      <c r="Q599" t="n">
        <v>-10</v>
      </c>
      <c r="R599" t="n">
        <v>0.01611</v>
      </c>
      <c r="S599">
        <f>IMAGE("https://mitra.stanford.edu/kundaje/oak/projects/neuro-variants/variant_position/credible/roussos_2024/variant_figures/roussos_2024.childhood.GABA/rs7927714_count_position.png",4,220,900)</f>
        <v/>
      </c>
      <c r="T599">
        <f>IMAGE("https://mitra.stanford.edu/kundaje/oak/projects/neuro-variants/variant_position/credible/roussos_2024/variant_figures/roussos_2024.childhood.GABA/rs7927714_profile_position.png",4,220,900)</f>
        <v/>
      </c>
    </row>
    <row r="600">
      <c r="A600" t="inlineStr">
        <is>
          <t>chr11</t>
        </is>
      </c>
      <c r="B600" t="n">
        <v>104594377</v>
      </c>
      <c r="C600" t="inlineStr">
        <is>
          <t>T</t>
        </is>
      </c>
      <c r="D600" t="inlineStr">
        <is>
          <t>G</t>
        </is>
      </c>
      <c r="E600" t="inlineStr">
        <is>
          <t>rs11226433</t>
        </is>
      </c>
      <c r="F600" t="n">
        <v>0.0232176506</v>
      </c>
      <c r="G600" t="n">
        <v>0.3781103144190937</v>
      </c>
      <c r="H600" t="n">
        <v>0.0163727310360819</v>
      </c>
      <c r="I600" t="n">
        <v>0.1669231239437278</v>
      </c>
      <c r="J600" t="n">
        <v>0.07311469916860371</v>
      </c>
      <c r="K600" t="n">
        <v>0.4116728910939069</v>
      </c>
      <c r="L600" t="b">
        <v>0</v>
      </c>
      <c r="M600" t="b">
        <v>0</v>
      </c>
      <c r="N600" t="inlineStr">
        <is>
          <t>alt</t>
        </is>
      </c>
      <c r="O600" t="n">
        <v>85</v>
      </c>
      <c r="P600" t="n">
        <v>0.00983</v>
      </c>
      <c r="Q600" t="n">
        <v>100</v>
      </c>
      <c r="R600" t="n">
        <v>0.04562</v>
      </c>
      <c r="S600">
        <f>IMAGE("https://mitra.stanford.edu/kundaje/oak/projects/neuro-variants/variant_position/credible/roussos_2024/variant_figures/roussos_2024.childhood.GABA/rs11226433_count_position.png",4,220,900)</f>
        <v/>
      </c>
      <c r="T600">
        <f>IMAGE("https://mitra.stanford.edu/kundaje/oak/projects/neuro-variants/variant_position/credible/roussos_2024/variant_figures/roussos_2024.childhood.GABA/rs11226433_profile_position.png",4,220,900)</f>
        <v/>
      </c>
    </row>
    <row r="601">
      <c r="A601" t="inlineStr">
        <is>
          <t>chr11</t>
        </is>
      </c>
      <c r="B601" t="n">
        <v>104610096</v>
      </c>
      <c r="C601" t="inlineStr">
        <is>
          <t>G</t>
        </is>
      </c>
      <c r="D601" t="inlineStr">
        <is>
          <t>C</t>
        </is>
      </c>
      <c r="E601" t="inlineStr">
        <is>
          <t>rs10895711</t>
        </is>
      </c>
      <c r="F601" t="n">
        <v>0.135497772</v>
      </c>
      <c r="G601" t="n">
        <v>0.0143720183498916</v>
      </c>
      <c r="H601" t="n">
        <v>0.0342300798260379</v>
      </c>
      <c r="I601" t="n">
        <v>0.0072166422641364</v>
      </c>
      <c r="J601" t="n">
        <v>0.216185001361228</v>
      </c>
      <c r="K601" t="n">
        <v>0.1978577754200222</v>
      </c>
      <c r="L601" t="b">
        <v>1</v>
      </c>
      <c r="M601" t="b">
        <v>1</v>
      </c>
      <c r="N601" t="inlineStr">
        <is>
          <t>alt</t>
        </is>
      </c>
      <c r="O601" t="n">
        <v>-95</v>
      </c>
      <c r="P601" t="n">
        <v>0.02983</v>
      </c>
      <c r="Q601" t="n">
        <v>-15</v>
      </c>
      <c r="R601" t="n">
        <v>0.0679</v>
      </c>
      <c r="S601">
        <f>IMAGE("https://mitra.stanford.edu/kundaje/oak/projects/neuro-variants/variant_position/credible/roussos_2024/variant_figures/roussos_2024.childhood.GABA/rs10895711_count_position.png",4,220,900)</f>
        <v/>
      </c>
      <c r="T601">
        <f>IMAGE("https://mitra.stanford.edu/kundaje/oak/projects/neuro-variants/variant_position/credible/roussos_2024/variant_figures/roussos_2024.childhood.GABA/rs10895711_profile_position.png",4,220,900)</f>
        <v/>
      </c>
    </row>
    <row r="602">
      <c r="A602" t="inlineStr">
        <is>
          <t>chr11</t>
        </is>
      </c>
      <c r="B602" t="n">
        <v>104628386</v>
      </c>
      <c r="C602" t="inlineStr">
        <is>
          <t>C</t>
        </is>
      </c>
      <c r="D602" t="inlineStr">
        <is>
          <t>T</t>
        </is>
      </c>
      <c r="E602" t="inlineStr">
        <is>
          <t>rs12418899</t>
        </is>
      </c>
      <c r="F602" t="n">
        <v>-0.073392981</v>
      </c>
      <c r="G602" t="n">
        <v>0.0639527652881226</v>
      </c>
      <c r="H602" t="n">
        <v>0.011379340200659</v>
      </c>
      <c r="I602" t="n">
        <v>0.4978672998240038</v>
      </c>
      <c r="J602" t="n">
        <v>0.0131379447550836</v>
      </c>
      <c r="K602" t="n">
        <v>0.7128967673969406</v>
      </c>
      <c r="L602" t="b">
        <v>0</v>
      </c>
      <c r="M602" t="b">
        <v>0</v>
      </c>
      <c r="N602" t="inlineStr">
        <is>
          <t>ref</t>
        </is>
      </c>
      <c r="O602" t="n">
        <v>-100</v>
      </c>
      <c r="P602" t="n">
        <v>0.01756</v>
      </c>
      <c r="Q602" t="n">
        <v>-25</v>
      </c>
      <c r="R602" t="n">
        <v>0.0304</v>
      </c>
      <c r="S602">
        <f>IMAGE("https://mitra.stanford.edu/kundaje/oak/projects/neuro-variants/variant_position/credible/roussos_2024/variant_figures/roussos_2024.childhood.GABA/rs12418899_count_position.png",4,220,900)</f>
        <v/>
      </c>
      <c r="T602">
        <f>IMAGE("https://mitra.stanford.edu/kundaje/oak/projects/neuro-variants/variant_position/credible/roussos_2024/variant_figures/roussos_2024.childhood.GABA/rs12418899_profile_position.png",4,220,900)</f>
        <v/>
      </c>
    </row>
    <row r="603">
      <c r="A603" t="inlineStr">
        <is>
          <t>chr11</t>
        </is>
      </c>
      <c r="B603" t="n">
        <v>104633688</v>
      </c>
      <c r="C603" t="inlineStr">
        <is>
          <t>G</t>
        </is>
      </c>
      <c r="D603" t="inlineStr">
        <is>
          <t>A</t>
        </is>
      </c>
      <c r="E603" t="inlineStr">
        <is>
          <t>rs16894</t>
        </is>
      </c>
      <c r="F603" t="n">
        <v>0.0220556277999999</v>
      </c>
      <c r="G603" t="n">
        <v>0.3919536757100288</v>
      </c>
      <c r="H603" t="n">
        <v>0.0209504891652099</v>
      </c>
      <c r="I603" t="n">
        <v>0.06308213387233599</v>
      </c>
      <c r="J603" t="n">
        <v>0.0856798810496114</v>
      </c>
      <c r="K603" t="n">
        <v>0.3778562021150174</v>
      </c>
      <c r="L603" t="b">
        <v>0</v>
      </c>
      <c r="M603" t="b">
        <v>0</v>
      </c>
      <c r="N603" t="inlineStr">
        <is>
          <t>alt</t>
        </is>
      </c>
      <c r="O603" t="n">
        <v>-100</v>
      </c>
      <c r="P603" t="n">
        <v>0.0454</v>
      </c>
      <c r="Q603" t="n">
        <v>-100</v>
      </c>
      <c r="R603" t="n">
        <v>0.1893</v>
      </c>
      <c r="S603">
        <f>IMAGE("https://mitra.stanford.edu/kundaje/oak/projects/neuro-variants/variant_position/credible/roussos_2024/variant_figures/roussos_2024.childhood.GABA/rs16894_count_position.png",4,220,900)</f>
        <v/>
      </c>
      <c r="T603">
        <f>IMAGE("https://mitra.stanford.edu/kundaje/oak/projects/neuro-variants/variant_position/credible/roussos_2024/variant_figures/roussos_2024.childhood.GABA/rs16894_profile_position.png",4,220,900)</f>
        <v/>
      </c>
    </row>
    <row r="604">
      <c r="A604" t="inlineStr">
        <is>
          <t>chr11</t>
        </is>
      </c>
      <c r="B604" t="n">
        <v>104653880</v>
      </c>
      <c r="C604" t="inlineStr">
        <is>
          <t>G</t>
        </is>
      </c>
      <c r="D604" t="inlineStr">
        <is>
          <t>A</t>
        </is>
      </c>
      <c r="E604" t="inlineStr">
        <is>
          <t>rs10895715</t>
        </is>
      </c>
      <c r="F604" t="n">
        <v>-0.0338743524999999</v>
      </c>
      <c r="G604" t="n">
        <v>0.2759656930303175</v>
      </c>
      <c r="H604" t="n">
        <v>0.013080453848354</v>
      </c>
      <c r="I604" t="n">
        <v>0.3385387280160393</v>
      </c>
      <c r="J604" t="n">
        <v>0.0220225754434461</v>
      </c>
      <c r="K604" t="n">
        <v>0.6332325399893869</v>
      </c>
      <c r="L604" t="b">
        <v>0</v>
      </c>
      <c r="M604" t="b">
        <v>0</v>
      </c>
      <c r="N604" t="inlineStr">
        <is>
          <t>ref</t>
        </is>
      </c>
      <c r="O604" t="n">
        <v>100</v>
      </c>
      <c r="P604" t="n">
        <v>0.01683</v>
      </c>
      <c r="Q604" t="n">
        <v>-65</v>
      </c>
      <c r="R604" t="n">
        <v>0.06177</v>
      </c>
      <c r="S604">
        <f>IMAGE("https://mitra.stanford.edu/kundaje/oak/projects/neuro-variants/variant_position/credible/roussos_2024/variant_figures/roussos_2024.childhood.GABA/rs10895715_count_position.png",4,220,900)</f>
        <v/>
      </c>
      <c r="T604">
        <f>IMAGE("https://mitra.stanford.edu/kundaje/oak/projects/neuro-variants/variant_position/credible/roussos_2024/variant_figures/roussos_2024.childhood.GABA/rs10895715_profile_position.png",4,220,900)</f>
        <v/>
      </c>
    </row>
    <row r="605">
      <c r="A605" t="inlineStr">
        <is>
          <t>chr11</t>
        </is>
      </c>
      <c r="B605" t="n">
        <v>104703675</v>
      </c>
      <c r="C605" t="inlineStr">
        <is>
          <t>C</t>
        </is>
      </c>
      <c r="D605" t="inlineStr">
        <is>
          <t>T</t>
        </is>
      </c>
      <c r="E605" t="inlineStr">
        <is>
          <t>rs1147010</t>
        </is>
      </c>
      <c r="F605" t="n">
        <v>-0.0657407261999999</v>
      </c>
      <c r="G605" t="n">
        <v>0.0797728903547122</v>
      </c>
      <c r="H605" t="n">
        <v>0.0199066302206352</v>
      </c>
      <c r="I605" t="n">
        <v>0.07546158810930879</v>
      </c>
      <c r="J605" t="n">
        <v>0.000188477728215</v>
      </c>
      <c r="K605" t="n">
        <v>0.9614033814263686</v>
      </c>
      <c r="L605" t="b">
        <v>0</v>
      </c>
      <c r="M605" t="b">
        <v>0</v>
      </c>
      <c r="N605" t="inlineStr">
        <is>
          <t>ref</t>
        </is>
      </c>
      <c r="O605" t="n">
        <v>0</v>
      </c>
      <c r="P605" t="n">
        <v>0</v>
      </c>
      <c r="Q605" t="n">
        <v>80</v>
      </c>
      <c r="R605" t="n">
        <v>0.063</v>
      </c>
      <c r="S605">
        <f>IMAGE("https://mitra.stanford.edu/kundaje/oak/projects/neuro-variants/variant_position/credible/roussos_2024/variant_figures/roussos_2024.childhood.GABA/rs1147010_count_position.png",4,220,900)</f>
        <v/>
      </c>
      <c r="T605">
        <f>IMAGE("https://mitra.stanford.edu/kundaje/oak/projects/neuro-variants/variant_position/credible/roussos_2024/variant_figures/roussos_2024.childhood.GABA/rs1147010_profile_position.png",4,220,900)</f>
        <v/>
      </c>
    </row>
    <row r="606">
      <c r="A606" t="inlineStr">
        <is>
          <t>chr11</t>
        </is>
      </c>
      <c r="B606" t="n">
        <v>104796270</v>
      </c>
      <c r="C606" t="inlineStr">
        <is>
          <t>C</t>
        </is>
      </c>
      <c r="D606" t="inlineStr">
        <is>
          <t>A</t>
        </is>
      </c>
      <c r="E606" t="inlineStr">
        <is>
          <t>rs72972953</t>
        </is>
      </c>
      <c r="F606" t="n">
        <v>0.0142685935</v>
      </c>
      <c r="G606" t="n">
        <v>0.507571571448846</v>
      </c>
      <c r="H606" t="n">
        <v>0.0238935047728613</v>
      </c>
      <c r="I606" t="n">
        <v>0.0350084129526345</v>
      </c>
      <c r="J606" t="n">
        <v>0.2016334736445309</v>
      </c>
      <c r="K606" t="n">
        <v>0.2100991049799245</v>
      </c>
      <c r="L606" t="b">
        <v>0</v>
      </c>
      <c r="M606" t="b">
        <v>0</v>
      </c>
      <c r="N606" t="inlineStr">
        <is>
          <t>alt</t>
        </is>
      </c>
      <c r="O606" t="n">
        <v>90</v>
      </c>
      <c r="P606" t="n">
        <v>0.0431</v>
      </c>
      <c r="Q606" t="n">
        <v>90</v>
      </c>
      <c r="R606" t="n">
        <v>0.477</v>
      </c>
      <c r="S606">
        <f>IMAGE("https://mitra.stanford.edu/kundaje/oak/projects/neuro-variants/variant_position/credible/roussos_2024/variant_figures/roussos_2024.childhood.GABA/rs72972953_count_position.png",4,220,900)</f>
        <v/>
      </c>
      <c r="T606">
        <f>IMAGE("https://mitra.stanford.edu/kundaje/oak/projects/neuro-variants/variant_position/credible/roussos_2024/variant_figures/roussos_2024.childhood.GABA/rs72972953_profile_position.png",4,220,900)</f>
        <v/>
      </c>
    </row>
    <row r="607">
      <c r="A607" t="inlineStr">
        <is>
          <t>chr11</t>
        </is>
      </c>
      <c r="B607" t="n">
        <v>104804375</v>
      </c>
      <c r="C607" t="inlineStr">
        <is>
          <t>A</t>
        </is>
      </c>
      <c r="D607" t="inlineStr">
        <is>
          <t>G</t>
        </is>
      </c>
      <c r="E607" t="inlineStr">
        <is>
          <t>rs6591097</t>
        </is>
      </c>
      <c r="F607" t="n">
        <v>0.00527393482</v>
      </c>
      <c r="G607" t="n">
        <v>0.7566352749860056</v>
      </c>
      <c r="H607" t="n">
        <v>0.0185315322233771</v>
      </c>
      <c r="I607" t="n">
        <v>0.1019087859634838</v>
      </c>
      <c r="J607" t="n">
        <v>0.0111296098511025</v>
      </c>
      <c r="K607" t="n">
        <v>0.7405330042942192</v>
      </c>
      <c r="L607" t="b">
        <v>0</v>
      </c>
      <c r="M607" t="b">
        <v>0</v>
      </c>
      <c r="N607" t="inlineStr">
        <is>
          <t>alt</t>
        </is>
      </c>
      <c r="O607" t="n">
        <v>95</v>
      </c>
      <c r="P607" t="n">
        <v>0.0196</v>
      </c>
      <c r="Q607" t="n">
        <v>-100</v>
      </c>
      <c r="R607" t="n">
        <v>0.1534</v>
      </c>
      <c r="S607">
        <f>IMAGE("https://mitra.stanford.edu/kundaje/oak/projects/neuro-variants/variant_position/credible/roussos_2024/variant_figures/roussos_2024.childhood.GABA/rs6591097_count_position.png",4,220,900)</f>
        <v/>
      </c>
      <c r="T607">
        <f>IMAGE("https://mitra.stanford.edu/kundaje/oak/projects/neuro-variants/variant_position/credible/roussos_2024/variant_figures/roussos_2024.childhood.GABA/rs6591097_profile_position.png",4,220,900)</f>
        <v/>
      </c>
    </row>
    <row r="608">
      <c r="A608" t="inlineStr">
        <is>
          <t>chr11</t>
        </is>
      </c>
      <c r="B608" t="n">
        <v>104807143</v>
      </c>
      <c r="C608" t="inlineStr">
        <is>
          <t>A</t>
        </is>
      </c>
      <c r="D608" t="inlineStr">
        <is>
          <t>T</t>
        </is>
      </c>
      <c r="E608" t="inlineStr">
        <is>
          <t>rs1144403</t>
        </is>
      </c>
      <c r="F608" t="n">
        <v>0.0103543525</v>
      </c>
      <c r="G608" t="n">
        <v>0.5702293355259381</v>
      </c>
      <c r="H608" t="n">
        <v>0.0084553650847049</v>
      </c>
      <c r="I608" t="n">
        <v>0.8012682739769074</v>
      </c>
      <c r="J608" t="n">
        <v>0.0006565307532825</v>
      </c>
      <c r="K608" t="n">
        <v>0.9294704352594504</v>
      </c>
      <c r="L608" t="b">
        <v>0</v>
      </c>
      <c r="M608" t="b">
        <v>0</v>
      </c>
      <c r="N608" t="inlineStr">
        <is>
          <t>alt</t>
        </is>
      </c>
      <c r="O608" t="n">
        <v>0</v>
      </c>
      <c r="P608" t="n">
        <v>0</v>
      </c>
      <c r="Q608" t="n">
        <v>-100</v>
      </c>
      <c r="R608" t="n">
        <v>0.07715</v>
      </c>
      <c r="S608">
        <f>IMAGE("https://mitra.stanford.edu/kundaje/oak/projects/neuro-variants/variant_position/credible/roussos_2024/variant_figures/roussos_2024.childhood.GABA/rs1144403_count_position.png",4,220,900)</f>
        <v/>
      </c>
      <c r="T608">
        <f>IMAGE("https://mitra.stanford.edu/kundaje/oak/projects/neuro-variants/variant_position/credible/roussos_2024/variant_figures/roussos_2024.childhood.GABA/rs1144403_profile_position.png",4,220,900)</f>
        <v/>
      </c>
    </row>
    <row r="609">
      <c r="A609" t="inlineStr">
        <is>
          <t>chr11</t>
        </is>
      </c>
      <c r="B609" t="n">
        <v>104812625</v>
      </c>
      <c r="C609" t="inlineStr">
        <is>
          <t>G</t>
        </is>
      </c>
      <c r="D609" t="inlineStr">
        <is>
          <t>C</t>
        </is>
      </c>
      <c r="E609" t="inlineStr">
        <is>
          <t>rs1529338</t>
        </is>
      </c>
      <c r="F609" t="n">
        <v>-0.14699658</v>
      </c>
      <c r="G609" t="n">
        <v>0.0105049299490495</v>
      </c>
      <c r="H609" t="n">
        <v>0.022549283625404</v>
      </c>
      <c r="I609" t="n">
        <v>0.0456728233856867</v>
      </c>
      <c r="J609" t="n">
        <v>0.1634772046658708</v>
      </c>
      <c r="K609" t="n">
        <v>0.2516479165350324</v>
      </c>
      <c r="L609" t="b">
        <v>1</v>
      </c>
      <c r="M609" t="b">
        <v>0</v>
      </c>
      <c r="N609" t="inlineStr">
        <is>
          <t>ref</t>
        </is>
      </c>
      <c r="O609" t="n">
        <v>75</v>
      </c>
      <c r="P609" t="n">
        <v>0.005737</v>
      </c>
      <c r="Q609" t="n">
        <v>10</v>
      </c>
      <c r="R609" t="n">
        <v>0.03076</v>
      </c>
      <c r="S609">
        <f>IMAGE("https://mitra.stanford.edu/kundaje/oak/projects/neuro-variants/variant_position/credible/roussos_2024/variant_figures/roussos_2024.childhood.GABA/rs1529338_count_position.png",4,220,900)</f>
        <v/>
      </c>
      <c r="T609">
        <f>IMAGE("https://mitra.stanford.edu/kundaje/oak/projects/neuro-variants/variant_position/credible/roussos_2024/variant_figures/roussos_2024.childhood.GABA/rs1529338_profile_position.png",4,220,900)</f>
        <v/>
      </c>
    </row>
    <row r="610">
      <c r="A610" t="inlineStr">
        <is>
          <t>chr11</t>
        </is>
      </c>
      <c r="B610" t="n">
        <v>104813115</v>
      </c>
      <c r="C610" t="inlineStr">
        <is>
          <t>G</t>
        </is>
      </c>
      <c r="D610" t="inlineStr">
        <is>
          <t>A</t>
        </is>
      </c>
      <c r="E610" t="inlineStr">
        <is>
          <t>rs4755059</t>
        </is>
      </c>
      <c r="F610" t="n">
        <v>0.0127340483</v>
      </c>
      <c r="G610" t="n">
        <v>0.559368607500273</v>
      </c>
      <c r="H610" t="n">
        <v>0.0153944912130689</v>
      </c>
      <c r="I610" t="n">
        <v>0.2037813807393279</v>
      </c>
      <c r="J610" t="n">
        <v>0.0407206131808757</v>
      </c>
      <c r="K610" t="n">
        <v>0.5269750723982014</v>
      </c>
      <c r="L610" t="b">
        <v>0</v>
      </c>
      <c r="M610" t="b">
        <v>0</v>
      </c>
      <c r="N610" t="inlineStr">
        <is>
          <t>alt</t>
        </is>
      </c>
      <c r="O610" t="n">
        <v>-95</v>
      </c>
      <c r="P610" t="n">
        <v>0.02477</v>
      </c>
      <c r="Q610" t="n">
        <v>100</v>
      </c>
      <c r="R610" t="n">
        <v>0.0677</v>
      </c>
      <c r="S610">
        <f>IMAGE("https://mitra.stanford.edu/kundaje/oak/projects/neuro-variants/variant_position/credible/roussos_2024/variant_figures/roussos_2024.childhood.GABA/rs4755059_count_position.png",4,220,900)</f>
        <v/>
      </c>
      <c r="T610">
        <f>IMAGE("https://mitra.stanford.edu/kundaje/oak/projects/neuro-variants/variant_position/credible/roussos_2024/variant_figures/roussos_2024.childhood.GABA/rs4755059_profile_position.png",4,220,900)</f>
        <v/>
      </c>
    </row>
    <row r="611">
      <c r="A611" t="inlineStr">
        <is>
          <t>chr11</t>
        </is>
      </c>
      <c r="B611" t="n">
        <v>104820457</v>
      </c>
      <c r="C611" t="inlineStr">
        <is>
          <t>T</t>
        </is>
      </c>
      <c r="D611" t="inlineStr">
        <is>
          <t>C</t>
        </is>
      </c>
      <c r="E611" t="inlineStr">
        <is>
          <t>rs2555136</t>
        </is>
      </c>
      <c r="F611" t="n">
        <v>0.0344333275999999</v>
      </c>
      <c r="G611" t="n">
        <v>0.2537572111478535</v>
      </c>
      <c r="H611" t="n">
        <v>0.009954119767021799</v>
      </c>
      <c r="I611" t="n">
        <v>0.6365140824032477</v>
      </c>
      <c r="J611" t="n">
        <v>0.0500722497958157</v>
      </c>
      <c r="K611" t="n">
        <v>0.489133348187161</v>
      </c>
      <c r="L611" t="b">
        <v>0</v>
      </c>
      <c r="M611" t="b">
        <v>0</v>
      </c>
      <c r="N611" t="inlineStr">
        <is>
          <t>alt</t>
        </is>
      </c>
      <c r="O611" t="n">
        <v>95</v>
      </c>
      <c r="P611" t="n">
        <v>0.01172</v>
      </c>
      <c r="Q611" t="n">
        <v>95</v>
      </c>
      <c r="R611" t="n">
        <v>0.259</v>
      </c>
      <c r="S611">
        <f>IMAGE("https://mitra.stanford.edu/kundaje/oak/projects/neuro-variants/variant_position/credible/roussos_2024/variant_figures/roussos_2024.childhood.GABA/rs2555136_count_position.png",4,220,900)</f>
        <v/>
      </c>
      <c r="T611">
        <f>IMAGE("https://mitra.stanford.edu/kundaje/oak/projects/neuro-variants/variant_position/credible/roussos_2024/variant_figures/roussos_2024.childhood.GABA/rs2555136_profile_position.png",4,220,900)</f>
        <v/>
      </c>
    </row>
    <row r="612">
      <c r="A612" t="inlineStr">
        <is>
          <t>chr11</t>
        </is>
      </c>
      <c r="B612" t="n">
        <v>104821521</v>
      </c>
      <c r="C612" t="inlineStr">
        <is>
          <t>G</t>
        </is>
      </c>
      <c r="D612" t="inlineStr">
        <is>
          <t>A</t>
        </is>
      </c>
      <c r="E612" t="inlineStr">
        <is>
          <t>rs7131576</t>
        </is>
      </c>
      <c r="F612" t="n">
        <v>0.0063646212799999</v>
      </c>
      <c r="G612" t="n">
        <v>0.7186871696968086</v>
      </c>
      <c r="H612" t="n">
        <v>0.0269319542785282</v>
      </c>
      <c r="I612" t="n">
        <v>0.0204987316380903</v>
      </c>
      <c r="J612" t="n">
        <v>0.0010931708236476</v>
      </c>
      <c r="K612" t="n">
        <v>0.9210373105795272</v>
      </c>
      <c r="L612" t="b">
        <v>0</v>
      </c>
      <c r="M612" t="b">
        <v>0</v>
      </c>
      <c r="N612" t="inlineStr">
        <is>
          <t>alt</t>
        </is>
      </c>
      <c r="O612" t="n">
        <v>-65</v>
      </c>
      <c r="P612" t="n">
        <v>0.009995</v>
      </c>
      <c r="Q612" t="n">
        <v>40</v>
      </c>
      <c r="R612" t="n">
        <v>0.01599</v>
      </c>
      <c r="S612">
        <f>IMAGE("https://mitra.stanford.edu/kundaje/oak/projects/neuro-variants/variant_position/credible/roussos_2024/variant_figures/roussos_2024.childhood.GABA/rs7131576_count_position.png",4,220,900)</f>
        <v/>
      </c>
      <c r="T612">
        <f>IMAGE("https://mitra.stanford.edu/kundaje/oak/projects/neuro-variants/variant_position/credible/roussos_2024/variant_figures/roussos_2024.childhood.GABA/rs7131576_profile_position.png",4,220,900)</f>
        <v/>
      </c>
    </row>
    <row r="613">
      <c r="A613" t="inlineStr">
        <is>
          <t>chr11</t>
        </is>
      </c>
      <c r="B613" t="n">
        <v>104825330</v>
      </c>
      <c r="C613" t="inlineStr">
        <is>
          <t>C</t>
        </is>
      </c>
      <c r="D613" t="inlineStr">
        <is>
          <t>T</t>
        </is>
      </c>
      <c r="E613" t="inlineStr">
        <is>
          <t>rs1030395</t>
        </is>
      </c>
      <c r="F613" t="n">
        <v>-0.0034708068199999</v>
      </c>
      <c r="G613" t="n">
        <v>0.6282004628824057</v>
      </c>
      <c r="H613" t="n">
        <v>0.0085447560199415</v>
      </c>
      <c r="I613" t="n">
        <v>0.7995573695622082</v>
      </c>
      <c r="J613" t="n">
        <v>0.0104783145902703</v>
      </c>
      <c r="K613" t="n">
        <v>0.7332490537370214</v>
      </c>
      <c r="L613" t="b">
        <v>0</v>
      </c>
      <c r="M613" t="b">
        <v>0</v>
      </c>
      <c r="N613" t="inlineStr">
        <is>
          <t>ref</t>
        </is>
      </c>
      <c r="O613" t="n">
        <v>-95</v>
      </c>
      <c r="P613" t="n">
        <v>0.008630000000000001</v>
      </c>
      <c r="Q613" t="n">
        <v>55</v>
      </c>
      <c r="R613" t="n">
        <v>0.03162</v>
      </c>
      <c r="S613">
        <f>IMAGE("https://mitra.stanford.edu/kundaje/oak/projects/neuro-variants/variant_position/credible/roussos_2024/variant_figures/roussos_2024.childhood.GABA/rs1030395_count_position.png",4,220,900)</f>
        <v/>
      </c>
      <c r="T613">
        <f>IMAGE("https://mitra.stanford.edu/kundaje/oak/projects/neuro-variants/variant_position/credible/roussos_2024/variant_figures/roussos_2024.childhood.GABA/rs1030395_profile_position.png",4,220,900)</f>
        <v/>
      </c>
    </row>
    <row r="614">
      <c r="A614" t="inlineStr">
        <is>
          <t>chr11</t>
        </is>
      </c>
      <c r="B614" t="n">
        <v>104829767</v>
      </c>
      <c r="C614" t="inlineStr">
        <is>
          <t>T</t>
        </is>
      </c>
      <c r="D614" t="inlineStr">
        <is>
          <t>A</t>
        </is>
      </c>
      <c r="E614" t="inlineStr">
        <is>
          <t>rs10895736</t>
        </is>
      </c>
      <c r="F614" t="n">
        <v>-0.008581945858</v>
      </c>
      <c r="G614" t="n">
        <v>0.7182700273100596</v>
      </c>
      <c r="H614" t="n">
        <v>0.0271411241169138</v>
      </c>
      <c r="I614" t="n">
        <v>0.0199189307969633</v>
      </c>
      <c r="J614" t="n">
        <v>0.0348715210152666</v>
      </c>
      <c r="K614" t="n">
        <v>0.549911224766983</v>
      </c>
      <c r="L614" t="b">
        <v>1</v>
      </c>
      <c r="M614" t="b">
        <v>0</v>
      </c>
      <c r="N614" t="inlineStr">
        <is>
          <t>ref</t>
        </is>
      </c>
      <c r="O614" t="n">
        <v>-60</v>
      </c>
      <c r="P614" t="n">
        <v>0.02747</v>
      </c>
      <c r="Q614" t="n">
        <v>45</v>
      </c>
      <c r="R614" t="n">
        <v>0.008330000000000001</v>
      </c>
      <c r="S614">
        <f>IMAGE("https://mitra.stanford.edu/kundaje/oak/projects/neuro-variants/variant_position/credible/roussos_2024/variant_figures/roussos_2024.childhood.GABA/rs10895736_count_position.png",4,220,900)</f>
        <v/>
      </c>
      <c r="T614">
        <f>IMAGE("https://mitra.stanford.edu/kundaje/oak/projects/neuro-variants/variant_position/credible/roussos_2024/variant_figures/roussos_2024.childhood.GABA/rs10895736_profile_position.png",4,220,900)</f>
        <v/>
      </c>
    </row>
    <row r="615">
      <c r="A615" t="inlineStr">
        <is>
          <t>chr11</t>
        </is>
      </c>
      <c r="B615" t="n">
        <v>104829957</v>
      </c>
      <c r="C615" t="inlineStr">
        <is>
          <t>T</t>
        </is>
      </c>
      <c r="D615" t="inlineStr">
        <is>
          <t>C</t>
        </is>
      </c>
      <c r="E615" t="inlineStr">
        <is>
          <t>rs10895737</t>
        </is>
      </c>
      <c r="F615" t="n">
        <v>0.0048700357</v>
      </c>
      <c r="G615" t="n">
        <v>0.7651816491200844</v>
      </c>
      <c r="H615" t="n">
        <v>0.0211737756869524</v>
      </c>
      <c r="I615" t="n">
        <v>0.0592356630200584</v>
      </c>
      <c r="J615" t="n">
        <v>0.0283742748842955</v>
      </c>
      <c r="K615" t="n">
        <v>0.5853180266544901</v>
      </c>
      <c r="L615" t="b">
        <v>0</v>
      </c>
      <c r="M615" t="b">
        <v>0</v>
      </c>
      <c r="N615" t="inlineStr">
        <is>
          <t>alt</t>
        </is>
      </c>
      <c r="O615" t="n">
        <v>-100</v>
      </c>
      <c r="P615" t="n">
        <v>0.02151</v>
      </c>
      <c r="Q615" t="n">
        <v>-90</v>
      </c>
      <c r="R615" t="n">
        <v>0.0504</v>
      </c>
      <c r="S615">
        <f>IMAGE("https://mitra.stanford.edu/kundaje/oak/projects/neuro-variants/variant_position/credible/roussos_2024/variant_figures/roussos_2024.childhood.GABA/rs10895737_count_position.png",4,220,900)</f>
        <v/>
      </c>
      <c r="T615">
        <f>IMAGE("https://mitra.stanford.edu/kundaje/oak/projects/neuro-variants/variant_position/credible/roussos_2024/variant_figures/roussos_2024.childhood.GABA/rs10895737_profile_position.png",4,220,900)</f>
        <v/>
      </c>
    </row>
    <row r="616">
      <c r="A616" t="inlineStr">
        <is>
          <t>chr11</t>
        </is>
      </c>
      <c r="B616" t="n">
        <v>104832911</v>
      </c>
      <c r="C616" t="inlineStr">
        <is>
          <t>G</t>
        </is>
      </c>
      <c r="D616" t="inlineStr">
        <is>
          <t>A</t>
        </is>
      </c>
      <c r="E616" t="inlineStr">
        <is>
          <t>rs7947634</t>
        </is>
      </c>
      <c r="F616" t="n">
        <v>-0.0155446026599999</v>
      </c>
      <c r="G616" t="n">
        <v>0.466296308430097</v>
      </c>
      <c r="H616" t="n">
        <v>0.0064158113819765</v>
      </c>
      <c r="I616" t="n">
        <v>0.9692668964751912</v>
      </c>
      <c r="J616" t="n">
        <v>0.0054867960880399</v>
      </c>
      <c r="K616" t="n">
        <v>0.8041217003439545</v>
      </c>
      <c r="L616" t="b">
        <v>0</v>
      </c>
      <c r="M616" t="b">
        <v>0</v>
      </c>
      <c r="N616" t="inlineStr">
        <is>
          <t>ref</t>
        </is>
      </c>
      <c r="O616" t="n">
        <v>100</v>
      </c>
      <c r="P616" t="n">
        <v>0.006226</v>
      </c>
      <c r="Q616" t="n">
        <v>-15</v>
      </c>
      <c r="R616" t="n">
        <v>0.01256</v>
      </c>
      <c r="S616">
        <f>IMAGE("https://mitra.stanford.edu/kundaje/oak/projects/neuro-variants/variant_position/credible/roussos_2024/variant_figures/roussos_2024.childhood.GABA/rs7947634_count_position.png",4,220,900)</f>
        <v/>
      </c>
      <c r="T616">
        <f>IMAGE("https://mitra.stanford.edu/kundaje/oak/projects/neuro-variants/variant_position/credible/roussos_2024/variant_figures/roussos_2024.childhood.GABA/rs7947634_profile_position.png",4,220,900)</f>
        <v/>
      </c>
    </row>
    <row r="617">
      <c r="A617" t="inlineStr">
        <is>
          <t>chr11</t>
        </is>
      </c>
      <c r="B617" t="n">
        <v>112393282</v>
      </c>
      <c r="C617" t="inlineStr">
        <is>
          <t>T</t>
        </is>
      </c>
      <c r="D617" t="inlineStr">
        <is>
          <t>G</t>
        </is>
      </c>
      <c r="E617" t="inlineStr">
        <is>
          <t>rs12576701</t>
        </is>
      </c>
      <c r="F617" t="n">
        <v>0.0595470933999999</v>
      </c>
      <c r="G617" t="n">
        <v>0.0954997455923185</v>
      </c>
      <c r="H617" t="n">
        <v>0.0137740172760924</v>
      </c>
      <c r="I617" t="n">
        <v>0.2909703217183295</v>
      </c>
      <c r="J617" t="n">
        <v>0.3268099097401101</v>
      </c>
      <c r="K617" t="n">
        <v>0.1203517706692852</v>
      </c>
      <c r="L617" t="b">
        <v>0</v>
      </c>
      <c r="M617" t="b">
        <v>0</v>
      </c>
      <c r="N617" t="inlineStr">
        <is>
          <t>alt</t>
        </is>
      </c>
      <c r="O617" t="n">
        <v>-90</v>
      </c>
      <c r="P617" t="n">
        <v>0.011116</v>
      </c>
      <c r="Q617" t="n">
        <v>-90</v>
      </c>
      <c r="R617" t="n">
        <v>0.1797</v>
      </c>
      <c r="S617">
        <f>IMAGE("https://mitra.stanford.edu/kundaje/oak/projects/neuro-variants/variant_position/credible/roussos_2024/variant_figures/roussos_2024.childhood.GABA/rs12576701_count_position.png",4,220,900)</f>
        <v/>
      </c>
      <c r="T617">
        <f>IMAGE("https://mitra.stanford.edu/kundaje/oak/projects/neuro-variants/variant_position/credible/roussos_2024/variant_figures/roussos_2024.childhood.GABA/rs12576701_profile_position.png",4,220,900)</f>
        <v/>
      </c>
    </row>
    <row r="618">
      <c r="A618" t="inlineStr">
        <is>
          <t>chr11</t>
        </is>
      </c>
      <c r="B618" t="n">
        <v>112393897</v>
      </c>
      <c r="C618" t="inlineStr">
        <is>
          <t>G</t>
        </is>
      </c>
      <c r="D618" t="inlineStr">
        <is>
          <t>A</t>
        </is>
      </c>
      <c r="E618" t="inlineStr">
        <is>
          <t>rs6589285</t>
        </is>
      </c>
      <c r="F618" t="n">
        <v>-0.0178572164</v>
      </c>
      <c r="G618" t="n">
        <v>0.4883487821017521</v>
      </c>
      <c r="H618" t="n">
        <v>0.0083611630216587</v>
      </c>
      <c r="I618" t="n">
        <v>0.8155919943058401</v>
      </c>
      <c r="J618" t="n">
        <v>0.1223712592406441</v>
      </c>
      <c r="K618" t="n">
        <v>0.3124618553816553</v>
      </c>
      <c r="L618" t="b">
        <v>0</v>
      </c>
      <c r="M618" t="b">
        <v>0</v>
      </c>
      <c r="N618" t="inlineStr">
        <is>
          <t>ref</t>
        </is>
      </c>
      <c r="O618" t="n">
        <v>100</v>
      </c>
      <c r="P618" t="n">
        <v>0.01089</v>
      </c>
      <c r="Q618" t="n">
        <v>20</v>
      </c>
      <c r="R618" t="n">
        <v>0.002619</v>
      </c>
      <c r="S618">
        <f>IMAGE("https://mitra.stanford.edu/kundaje/oak/projects/neuro-variants/variant_position/credible/roussos_2024/variant_figures/roussos_2024.childhood.GABA/rs6589285_count_position.png",4,220,900)</f>
        <v/>
      </c>
      <c r="T618">
        <f>IMAGE("https://mitra.stanford.edu/kundaje/oak/projects/neuro-variants/variant_position/credible/roussos_2024/variant_figures/roussos_2024.childhood.GABA/rs6589285_profile_position.png",4,220,900)</f>
        <v/>
      </c>
    </row>
    <row r="619">
      <c r="A619" t="inlineStr">
        <is>
          <t>chr11</t>
        </is>
      </c>
      <c r="B619" t="n">
        <v>112398241</v>
      </c>
      <c r="C619" t="inlineStr">
        <is>
          <t>T</t>
        </is>
      </c>
      <c r="D619" t="inlineStr">
        <is>
          <t>G</t>
        </is>
      </c>
      <c r="E619" t="inlineStr">
        <is>
          <t>rs4936065</t>
        </is>
      </c>
      <c r="F619" t="n">
        <v>-0.050200163</v>
      </c>
      <c r="G619" t="n">
        <v>0.151674696028568</v>
      </c>
      <c r="H619" t="n">
        <v>0.017441676136633</v>
      </c>
      <c r="I619" t="n">
        <v>0.1321071261870715</v>
      </c>
      <c r="J619" t="n">
        <v>0.0805490984482</v>
      </c>
      <c r="K619" t="n">
        <v>0.4102520578994082</v>
      </c>
      <c r="L619" t="b">
        <v>0</v>
      </c>
      <c r="M619" t="b">
        <v>0</v>
      </c>
      <c r="N619" t="inlineStr">
        <is>
          <t>ref</t>
        </is>
      </c>
      <c r="O619" t="n">
        <v>5</v>
      </c>
      <c r="P619" t="n">
        <v>0.0001984</v>
      </c>
      <c r="Q619" t="n">
        <v>45</v>
      </c>
      <c r="R619" t="n">
        <v>0.04834</v>
      </c>
      <c r="S619">
        <f>IMAGE("https://mitra.stanford.edu/kundaje/oak/projects/neuro-variants/variant_position/credible/roussos_2024/variant_figures/roussos_2024.childhood.GABA/rs4936065_count_position.png",4,220,900)</f>
        <v/>
      </c>
      <c r="T619">
        <f>IMAGE("https://mitra.stanford.edu/kundaje/oak/projects/neuro-variants/variant_position/credible/roussos_2024/variant_figures/roussos_2024.childhood.GABA/rs4936065_profile_position.png",4,220,900)</f>
        <v/>
      </c>
    </row>
    <row r="620">
      <c r="A620" t="inlineStr">
        <is>
          <t>chr11</t>
        </is>
      </c>
      <c r="B620" t="n">
        <v>112400682</v>
      </c>
      <c r="C620" t="inlineStr">
        <is>
          <t>C</t>
        </is>
      </c>
      <c r="D620" t="inlineStr">
        <is>
          <t>T</t>
        </is>
      </c>
      <c r="E620" t="inlineStr">
        <is>
          <t>rs12419862</t>
        </is>
      </c>
      <c r="F620" t="n">
        <v>0.082270626</v>
      </c>
      <c r="G620" t="n">
        <v>0.0502460874834198</v>
      </c>
      <c r="H620" t="n">
        <v>0.0180877609026064</v>
      </c>
      <c r="I620" t="n">
        <v>0.1138176443183025</v>
      </c>
      <c r="J620" t="n">
        <v>0.3111034323888505</v>
      </c>
      <c r="K620" t="n">
        <v>0.1303129365629317</v>
      </c>
      <c r="L620" t="b">
        <v>0</v>
      </c>
      <c r="M620" t="b">
        <v>0</v>
      </c>
      <c r="N620" t="inlineStr">
        <is>
          <t>alt</t>
        </is>
      </c>
      <c r="O620" t="n">
        <v>5</v>
      </c>
      <c r="P620" t="n">
        <v>0.00011826</v>
      </c>
      <c r="Q620" t="n">
        <v>-35</v>
      </c>
      <c r="R620" t="n">
        <v>0.02454</v>
      </c>
      <c r="S620">
        <f>IMAGE("https://mitra.stanford.edu/kundaje/oak/projects/neuro-variants/variant_position/credible/roussos_2024/variant_figures/roussos_2024.childhood.GABA/rs12419862_count_position.png",4,220,900)</f>
        <v/>
      </c>
      <c r="T620">
        <f>IMAGE("https://mitra.stanford.edu/kundaje/oak/projects/neuro-variants/variant_position/credible/roussos_2024/variant_figures/roussos_2024.childhood.GABA/rs12419862_profile_position.png",4,220,900)</f>
        <v/>
      </c>
    </row>
    <row r="621">
      <c r="A621" t="inlineStr">
        <is>
          <t>chr11</t>
        </is>
      </c>
      <c r="B621" t="n">
        <v>112400714</v>
      </c>
      <c r="C621" t="inlineStr">
        <is>
          <t>A</t>
        </is>
      </c>
      <c r="D621" t="inlineStr">
        <is>
          <t>C</t>
        </is>
      </c>
      <c r="E621" t="inlineStr">
        <is>
          <t>rs11214193</t>
        </is>
      </c>
      <c r="F621" t="n">
        <v>0.01145898546</v>
      </c>
      <c r="G621" t="n">
        <v>0.4130812957447632</v>
      </c>
      <c r="H621" t="n">
        <v>0.014035617383298</v>
      </c>
      <c r="I621" t="n">
        <v>0.2784849129317031</v>
      </c>
      <c r="J621" t="n">
        <v>0.2857322359741157</v>
      </c>
      <c r="K621" t="n">
        <v>0.1464968010605813</v>
      </c>
      <c r="L621" t="b">
        <v>0</v>
      </c>
      <c r="M621" t="b">
        <v>0</v>
      </c>
      <c r="N621" t="inlineStr">
        <is>
          <t>alt</t>
        </is>
      </c>
      <c r="O621" t="n">
        <v>-70</v>
      </c>
      <c r="P621" t="n">
        <v>0.002695</v>
      </c>
      <c r="Q621" t="n">
        <v>-70</v>
      </c>
      <c r="R621" t="n">
        <v>0.06177</v>
      </c>
      <c r="S621">
        <f>IMAGE("https://mitra.stanford.edu/kundaje/oak/projects/neuro-variants/variant_position/credible/roussos_2024/variant_figures/roussos_2024.childhood.GABA/rs11214193_count_position.png",4,220,900)</f>
        <v/>
      </c>
      <c r="T621">
        <f>IMAGE("https://mitra.stanford.edu/kundaje/oak/projects/neuro-variants/variant_position/credible/roussos_2024/variant_figures/roussos_2024.childhood.GABA/rs11214193_profile_position.png",4,220,900)</f>
        <v/>
      </c>
    </row>
    <row r="622">
      <c r="A622" t="inlineStr">
        <is>
          <t>chr11</t>
        </is>
      </c>
      <c r="B622" t="n">
        <v>112477663</v>
      </c>
      <c r="C622" t="inlineStr">
        <is>
          <t>G</t>
        </is>
      </c>
      <c r="D622" t="inlineStr">
        <is>
          <t>A</t>
        </is>
      </c>
      <c r="E622" t="inlineStr">
        <is>
          <t>rs11214222</t>
        </is>
      </c>
      <c r="F622" t="n">
        <v>-0.07287115500000001</v>
      </c>
      <c r="G622" t="n">
        <v>0.06587699865687729</v>
      </c>
      <c r="H622" t="n">
        <v>0.0160166083426221</v>
      </c>
      <c r="I622" t="n">
        <v>0.1771673784476402</v>
      </c>
      <c r="J622" t="n">
        <v>0.2607474189022219</v>
      </c>
      <c r="K622" t="n">
        <v>0.1614780005636991</v>
      </c>
      <c r="L622" t="b">
        <v>0</v>
      </c>
      <c r="M622" t="b">
        <v>0</v>
      </c>
      <c r="N622" t="inlineStr">
        <is>
          <t>ref</t>
        </is>
      </c>
      <c r="O622" t="n">
        <v>95</v>
      </c>
      <c r="P622" t="n">
        <v>0.004517</v>
      </c>
      <c r="Q622" t="n">
        <v>25</v>
      </c>
      <c r="R622" t="n">
        <v>0.01196</v>
      </c>
      <c r="S622">
        <f>IMAGE("https://mitra.stanford.edu/kundaje/oak/projects/neuro-variants/variant_position/credible/roussos_2024/variant_figures/roussos_2024.childhood.GABA/rs11214222_count_position.png",4,220,900)</f>
        <v/>
      </c>
      <c r="T622">
        <f>IMAGE("https://mitra.stanford.edu/kundaje/oak/projects/neuro-variants/variant_position/credible/roussos_2024/variant_figures/roussos_2024.childhood.GABA/rs11214222_profile_position.png",4,220,900)</f>
        <v/>
      </c>
    </row>
    <row r="623">
      <c r="A623" t="inlineStr">
        <is>
          <t>chr11</t>
        </is>
      </c>
      <c r="B623" t="n">
        <v>113094734</v>
      </c>
      <c r="C623" t="inlineStr">
        <is>
          <t>A</t>
        </is>
      </c>
      <c r="D623" t="inlineStr">
        <is>
          <t>G</t>
        </is>
      </c>
      <c r="E623" t="inlineStr">
        <is>
          <t>rs12279124</t>
        </is>
      </c>
      <c r="F623" t="n">
        <v>-0.0341337792</v>
      </c>
      <c r="G623" t="n">
        <v>0.2650688808090581</v>
      </c>
      <c r="H623" t="n">
        <v>0.0110377689008573</v>
      </c>
      <c r="I623" t="n">
        <v>0.5232512785838115</v>
      </c>
      <c r="J623" t="n">
        <v>0.0613945257690938</v>
      </c>
      <c r="K623" t="n">
        <v>0.4635403956017847</v>
      </c>
      <c r="L623" t="b">
        <v>0</v>
      </c>
      <c r="M623" t="b">
        <v>0</v>
      </c>
      <c r="N623" t="inlineStr">
        <is>
          <t>ref</t>
        </is>
      </c>
      <c r="O623" t="n">
        <v>50</v>
      </c>
      <c r="P623" t="n">
        <v>0.01059</v>
      </c>
      <c r="Q623" t="n">
        <v>10</v>
      </c>
      <c r="R623" t="n">
        <v>0.02951</v>
      </c>
      <c r="S623">
        <f>IMAGE("https://mitra.stanford.edu/kundaje/oak/projects/neuro-variants/variant_position/credible/roussos_2024/variant_figures/roussos_2024.childhood.GABA/rs12279124_count_position.png",4,220,900)</f>
        <v/>
      </c>
      <c r="T623">
        <f>IMAGE("https://mitra.stanford.edu/kundaje/oak/projects/neuro-variants/variant_position/credible/roussos_2024/variant_figures/roussos_2024.childhood.GABA/rs12279124_profile_position.png",4,220,900)</f>
        <v/>
      </c>
    </row>
    <row r="624">
      <c r="A624" t="inlineStr">
        <is>
          <t>chr11</t>
        </is>
      </c>
      <c r="B624" t="n">
        <v>113099611</v>
      </c>
      <c r="C624" t="inlineStr">
        <is>
          <t>T</t>
        </is>
      </c>
      <c r="D624" t="inlineStr">
        <is>
          <t>C</t>
        </is>
      </c>
      <c r="E624" t="inlineStr">
        <is>
          <t>rs7946458</t>
        </is>
      </c>
      <c r="F624" t="n">
        <v>-0.08001216279999999</v>
      </c>
      <c r="G624" t="n">
        <v>0.06511701404482</v>
      </c>
      <c r="H624" t="n">
        <v>0.020366687000437</v>
      </c>
      <c r="I624" t="n">
        <v>0.07183419999311989</v>
      </c>
      <c r="J624" t="n">
        <v>0.07168226843416881</v>
      </c>
      <c r="K624" t="n">
        <v>0.4232062360187871</v>
      </c>
      <c r="L624" t="b">
        <v>0</v>
      </c>
      <c r="M624" t="b">
        <v>0</v>
      </c>
      <c r="N624" t="inlineStr">
        <is>
          <t>ref</t>
        </is>
      </c>
      <c r="O624" t="n">
        <v>100</v>
      </c>
      <c r="P624" t="n">
        <v>0.009735000000000001</v>
      </c>
      <c r="Q624" t="n">
        <v>-80</v>
      </c>
      <c r="R624" t="n">
        <v>0.142</v>
      </c>
      <c r="S624">
        <f>IMAGE("https://mitra.stanford.edu/kundaje/oak/projects/neuro-variants/variant_position/credible/roussos_2024/variant_figures/roussos_2024.childhood.GABA/rs7946458_count_position.png",4,220,900)</f>
        <v/>
      </c>
      <c r="T624">
        <f>IMAGE("https://mitra.stanford.edu/kundaje/oak/projects/neuro-variants/variant_position/credible/roussos_2024/variant_figures/roussos_2024.childhood.GABA/rs7946458_profile_position.png",4,220,900)</f>
        <v/>
      </c>
    </row>
    <row r="625">
      <c r="A625" t="inlineStr">
        <is>
          <t>chr11</t>
        </is>
      </c>
      <c r="B625" t="n">
        <v>113102292</v>
      </c>
      <c r="C625" t="inlineStr">
        <is>
          <t>A</t>
        </is>
      </c>
      <c r="D625" t="inlineStr">
        <is>
          <t>G</t>
        </is>
      </c>
      <c r="E625" t="inlineStr">
        <is>
          <t>rs7118324</t>
        </is>
      </c>
      <c r="F625" t="n">
        <v>0.1114427041999999</v>
      </c>
      <c r="G625" t="n">
        <v>0.0265476343015371</v>
      </c>
      <c r="H625" t="n">
        <v>0.0422023115590351</v>
      </c>
      <c r="I625" t="n">
        <v>0.0051307681718273</v>
      </c>
      <c r="J625" t="n">
        <v>0.0001979016146257</v>
      </c>
      <c r="K625" t="n">
        <v>0.9629883250806288</v>
      </c>
      <c r="L625" t="b">
        <v>0</v>
      </c>
      <c r="M625" t="b">
        <v>0</v>
      </c>
      <c r="N625" t="inlineStr">
        <is>
          <t>alt</t>
        </is>
      </c>
      <c r="O625" t="n">
        <v>-25</v>
      </c>
      <c r="P625" t="n">
        <v>0.001892</v>
      </c>
      <c r="Q625" t="n">
        <v>100</v>
      </c>
      <c r="R625" t="n">
        <v>0.0692</v>
      </c>
      <c r="S625">
        <f>IMAGE("https://mitra.stanford.edu/kundaje/oak/projects/neuro-variants/variant_position/credible/roussos_2024/variant_figures/roussos_2024.childhood.GABA/rs7118324_count_position.png",4,220,900)</f>
        <v/>
      </c>
      <c r="T625">
        <f>IMAGE("https://mitra.stanford.edu/kundaje/oak/projects/neuro-variants/variant_position/credible/roussos_2024/variant_figures/roussos_2024.childhood.GABA/rs7118324_profile_position.png",4,220,900)</f>
        <v/>
      </c>
    </row>
    <row r="626">
      <c r="A626" t="inlineStr">
        <is>
          <t>chr11</t>
        </is>
      </c>
      <c r="B626" t="n">
        <v>113104464</v>
      </c>
      <c r="C626" t="inlineStr">
        <is>
          <t>A</t>
        </is>
      </c>
      <c r="D626" t="inlineStr">
        <is>
          <t>T</t>
        </is>
      </c>
      <c r="E626" t="inlineStr">
        <is>
          <t>rs12286447</t>
        </is>
      </c>
      <c r="F626" t="n">
        <v>0.01529868496</v>
      </c>
      <c r="G626" t="n">
        <v>0.4832736904256216</v>
      </c>
      <c r="H626" t="n">
        <v>0.0196143045160388</v>
      </c>
      <c r="I626" t="n">
        <v>0.08234596651625641</v>
      </c>
      <c r="J626" t="n">
        <v>0.1427457016606981</v>
      </c>
      <c r="K626" t="n">
        <v>0.2813457735205536</v>
      </c>
      <c r="L626" t="b">
        <v>0</v>
      </c>
      <c r="M626" t="b">
        <v>0</v>
      </c>
      <c r="N626" t="inlineStr">
        <is>
          <t>alt</t>
        </is>
      </c>
      <c r="O626" t="n">
        <v>15</v>
      </c>
      <c r="P626" t="n">
        <v>0.001953</v>
      </c>
      <c r="Q626" t="n">
        <v>95</v>
      </c>
      <c r="R626" t="n">
        <v>0.07605000000000001</v>
      </c>
      <c r="S626">
        <f>IMAGE("https://mitra.stanford.edu/kundaje/oak/projects/neuro-variants/variant_position/credible/roussos_2024/variant_figures/roussos_2024.childhood.GABA/rs12286447_count_position.png",4,220,900)</f>
        <v/>
      </c>
      <c r="T626">
        <f>IMAGE("https://mitra.stanford.edu/kundaje/oak/projects/neuro-variants/variant_position/credible/roussos_2024/variant_figures/roussos_2024.childhood.GABA/rs12286447_profile_position.png",4,220,900)</f>
        <v/>
      </c>
    </row>
    <row r="627">
      <c r="A627" t="inlineStr">
        <is>
          <t>chr11</t>
        </is>
      </c>
      <c r="B627" t="n">
        <v>113346642</v>
      </c>
      <c r="C627" t="inlineStr">
        <is>
          <t>A</t>
        </is>
      </c>
      <c r="D627" t="inlineStr">
        <is>
          <t>G</t>
        </is>
      </c>
      <c r="E627" t="inlineStr">
        <is>
          <t>rs3781884</t>
        </is>
      </c>
      <c r="F627" t="n">
        <v>-0.241549628</v>
      </c>
      <c r="G627" t="n">
        <v>0.0027579897480361</v>
      </c>
      <c r="H627" t="n">
        <v>0.0667734564280105</v>
      </c>
      <c r="I627" t="n">
        <v>0.0008492857695819</v>
      </c>
      <c r="J627" t="n">
        <v>0.4709650059684613</v>
      </c>
      <c r="K627" t="n">
        <v>0.060499768251704</v>
      </c>
      <c r="L627" t="b">
        <v>1</v>
      </c>
      <c r="M627" t="b">
        <v>1</v>
      </c>
      <c r="N627" t="inlineStr">
        <is>
          <t>ref</t>
        </is>
      </c>
      <c r="O627" t="n">
        <v>60</v>
      </c>
      <c r="P627" t="n">
        <v>0.006348</v>
      </c>
      <c r="Q627" t="n">
        <v>-90</v>
      </c>
      <c r="R627" t="n">
        <v>0.0415</v>
      </c>
      <c r="S627">
        <f>IMAGE("https://mitra.stanford.edu/kundaje/oak/projects/neuro-variants/variant_position/credible/roussos_2024/variant_figures/roussos_2024.childhood.GABA/rs3781884_count_position.png",4,220,900)</f>
        <v/>
      </c>
      <c r="T627">
        <f>IMAGE("https://mitra.stanford.edu/kundaje/oak/projects/neuro-variants/variant_position/credible/roussos_2024/variant_figures/roussos_2024.childhood.GABA/rs3781884_profile_position.png",4,220,900)</f>
        <v/>
      </c>
    </row>
    <row r="628">
      <c r="A628" t="inlineStr">
        <is>
          <t>chr11</t>
        </is>
      </c>
      <c r="B628" t="n">
        <v>113467056</v>
      </c>
      <c r="C628" t="inlineStr">
        <is>
          <t>C</t>
        </is>
      </c>
      <c r="D628" t="inlineStr">
        <is>
          <t>T</t>
        </is>
      </c>
      <c r="E628" t="inlineStr">
        <is>
          <t>rs12421616</t>
        </is>
      </c>
      <c r="F628" t="n">
        <v>-0.07735771</v>
      </c>
      <c r="G628" t="n">
        <v>0.0587400594639868</v>
      </c>
      <c r="H628" t="n">
        <v>0.0136818732942023</v>
      </c>
      <c r="I628" t="n">
        <v>0.3027421816469947</v>
      </c>
      <c r="J628" t="n">
        <v>0.0510303449142426</v>
      </c>
      <c r="K628" t="n">
        <v>0.4950219979551817</v>
      </c>
      <c r="L628" t="b">
        <v>0</v>
      </c>
      <c r="M628" t="b">
        <v>0</v>
      </c>
      <c r="N628" t="inlineStr">
        <is>
          <t>ref</t>
        </is>
      </c>
      <c r="O628" t="n">
        <v>100</v>
      </c>
      <c r="P628" t="n">
        <v>0.002949</v>
      </c>
      <c r="Q628" t="n">
        <v>100</v>
      </c>
      <c r="R628" t="n">
        <v>0.1093</v>
      </c>
      <c r="S628">
        <f>IMAGE("https://mitra.stanford.edu/kundaje/oak/projects/neuro-variants/variant_position/credible/roussos_2024/variant_figures/roussos_2024.childhood.GABA/rs12421616_count_position.png",4,220,900)</f>
        <v/>
      </c>
      <c r="T628">
        <f>IMAGE("https://mitra.stanford.edu/kundaje/oak/projects/neuro-variants/variant_position/credible/roussos_2024/variant_figures/roussos_2024.childhood.GABA/rs12421616_profile_position.png",4,220,900)</f>
        <v/>
      </c>
    </row>
    <row r="629">
      <c r="A629" t="inlineStr">
        <is>
          <t>chr11</t>
        </is>
      </c>
      <c r="B629" t="n">
        <v>113484722</v>
      </c>
      <c r="C629" t="inlineStr">
        <is>
          <t>T</t>
        </is>
      </c>
      <c r="D629" t="inlineStr">
        <is>
          <t>C</t>
        </is>
      </c>
      <c r="E629" t="inlineStr">
        <is>
          <t>rs7121986</t>
        </is>
      </c>
      <c r="F629" t="n">
        <v>0.0196788788</v>
      </c>
      <c r="G629" t="n">
        <v>0.4224227704042542</v>
      </c>
      <c r="H629" t="n">
        <v>0.008775383052738501</v>
      </c>
      <c r="I629" t="n">
        <v>0.7544640359223059</v>
      </c>
      <c r="J629" t="n">
        <v>0.1641934200330883</v>
      </c>
      <c r="K629" t="n">
        <v>0.2596432977949559</v>
      </c>
      <c r="L629" t="b">
        <v>0</v>
      </c>
      <c r="M629" t="b">
        <v>0</v>
      </c>
      <c r="N629" t="inlineStr">
        <is>
          <t>alt</t>
        </is>
      </c>
      <c r="O629" t="n">
        <v>-95</v>
      </c>
      <c r="P629" t="n">
        <v>0.00235</v>
      </c>
      <c r="Q629" t="n">
        <v>-100</v>
      </c>
      <c r="R629" t="n">
        <v>0.06909999999999999</v>
      </c>
      <c r="S629">
        <f>IMAGE("https://mitra.stanford.edu/kundaje/oak/projects/neuro-variants/variant_position/credible/roussos_2024/variant_figures/roussos_2024.childhood.GABA/rs7121986_count_position.png",4,220,900)</f>
        <v/>
      </c>
      <c r="T629">
        <f>IMAGE("https://mitra.stanford.edu/kundaje/oak/projects/neuro-variants/variant_position/credible/roussos_2024/variant_figures/roussos_2024.childhood.GABA/rs7121986_profile_position.png",4,220,900)</f>
        <v/>
      </c>
    </row>
    <row r="630">
      <c r="A630" t="inlineStr">
        <is>
          <t>chr11</t>
        </is>
      </c>
      <c r="B630" t="n">
        <v>113493925</v>
      </c>
      <c r="C630" t="inlineStr">
        <is>
          <t>G</t>
        </is>
      </c>
      <c r="D630" t="inlineStr">
        <is>
          <t>T</t>
        </is>
      </c>
      <c r="E630" t="inlineStr">
        <is>
          <t>rs4245150</t>
        </is>
      </c>
      <c r="F630" t="n">
        <v>-0.00790585324</v>
      </c>
      <c r="G630" t="n">
        <v>0.6999227028276198</v>
      </c>
      <c r="H630" t="n">
        <v>0.0315144677443119</v>
      </c>
      <c r="I630" t="n">
        <v>0.0101254020457838</v>
      </c>
      <c r="J630" t="n">
        <v>0.0543915310674121</v>
      </c>
      <c r="K630" t="n">
        <v>0.4717574911802706</v>
      </c>
      <c r="L630" t="b">
        <v>1</v>
      </c>
      <c r="M630" t="b">
        <v>0</v>
      </c>
      <c r="N630" t="inlineStr">
        <is>
          <t>ref</t>
        </is>
      </c>
      <c r="O630" t="n">
        <v>100</v>
      </c>
      <c r="P630" t="n">
        <v>0.04965</v>
      </c>
      <c r="Q630" t="n">
        <v>-100</v>
      </c>
      <c r="R630" t="n">
        <v>0.1628</v>
      </c>
      <c r="S630">
        <f>IMAGE("https://mitra.stanford.edu/kundaje/oak/projects/neuro-variants/variant_position/credible/roussos_2024/variant_figures/roussos_2024.childhood.GABA/rs4245150_count_position.png",4,220,900)</f>
        <v/>
      </c>
      <c r="T630">
        <f>IMAGE("https://mitra.stanford.edu/kundaje/oak/projects/neuro-variants/variant_position/credible/roussos_2024/variant_figures/roussos_2024.childhood.GABA/rs4245150_profile_position.png",4,220,900)</f>
        <v/>
      </c>
    </row>
    <row r="631">
      <c r="A631" t="inlineStr">
        <is>
          <t>chr11</t>
        </is>
      </c>
      <c r="B631" t="n">
        <v>113493969</v>
      </c>
      <c r="C631" t="inlineStr">
        <is>
          <t>T</t>
        </is>
      </c>
      <c r="D631" t="inlineStr">
        <is>
          <t>C</t>
        </is>
      </c>
      <c r="E631" t="inlineStr">
        <is>
          <t>rs17602038</t>
        </is>
      </c>
      <c r="F631" t="n">
        <v>-0.008284140145999999</v>
      </c>
      <c r="G631" t="n">
        <v>0.6980652276064933</v>
      </c>
      <c r="H631" t="n">
        <v>0.0124826191730018</v>
      </c>
      <c r="I631" t="n">
        <v>0.399013217026113</v>
      </c>
      <c r="J631" t="n">
        <v>0.0561653159096144</v>
      </c>
      <c r="K631" t="n">
        <v>0.465830030857824</v>
      </c>
      <c r="L631" t="b">
        <v>0</v>
      </c>
      <c r="M631" t="b">
        <v>0</v>
      </c>
      <c r="N631" t="inlineStr">
        <is>
          <t>ref</t>
        </is>
      </c>
      <c r="O631" t="n">
        <v>70</v>
      </c>
      <c r="P631" t="n">
        <v>0.058</v>
      </c>
      <c r="Q631" t="n">
        <v>-100</v>
      </c>
      <c r="R631" t="n">
        <v>0.0776</v>
      </c>
      <c r="S631">
        <f>IMAGE("https://mitra.stanford.edu/kundaje/oak/projects/neuro-variants/variant_position/credible/roussos_2024/variant_figures/roussos_2024.childhood.GABA/rs17602038_count_position.png",4,220,900)</f>
        <v/>
      </c>
      <c r="T631">
        <f>IMAGE("https://mitra.stanford.edu/kundaje/oak/projects/neuro-variants/variant_position/credible/roussos_2024/variant_figures/roussos_2024.childhood.GABA/rs17602038_profile_position.png",4,220,900)</f>
        <v/>
      </c>
    </row>
    <row r="632">
      <c r="A632" t="inlineStr">
        <is>
          <t>chr11</t>
        </is>
      </c>
      <c r="B632" t="n">
        <v>113530172</v>
      </c>
      <c r="C632" t="inlineStr">
        <is>
          <t>G</t>
        </is>
      </c>
      <c r="D632" t="inlineStr">
        <is>
          <t>A</t>
        </is>
      </c>
      <c r="E632" t="inlineStr">
        <is>
          <t>rs2514222</t>
        </is>
      </c>
      <c r="F632" t="n">
        <v>0.00492905834</v>
      </c>
      <c r="G632" t="n">
        <v>0.6170092647897066</v>
      </c>
      <c r="H632" t="n">
        <v>0.009251275802763101</v>
      </c>
      <c r="I632" t="n">
        <v>0.7191393886996889</v>
      </c>
      <c r="J632" t="n">
        <v>0.1624395300621976</v>
      </c>
      <c r="K632" t="n">
        <v>0.2567438844240826</v>
      </c>
      <c r="L632" t="b">
        <v>0</v>
      </c>
      <c r="M632" t="b">
        <v>0</v>
      </c>
      <c r="N632" t="inlineStr">
        <is>
          <t>alt</t>
        </is>
      </c>
      <c r="O632" t="n">
        <v>60</v>
      </c>
      <c r="P632" t="n">
        <v>0.00499</v>
      </c>
      <c r="Q632" t="n">
        <v>60</v>
      </c>
      <c r="R632" t="n">
        <v>0.03882</v>
      </c>
      <c r="S632">
        <f>IMAGE("https://mitra.stanford.edu/kundaje/oak/projects/neuro-variants/variant_position/credible/roussos_2024/variant_figures/roussos_2024.childhood.GABA/rs2514222_count_position.png",4,220,900)</f>
        <v/>
      </c>
      <c r="T632">
        <f>IMAGE("https://mitra.stanford.edu/kundaje/oak/projects/neuro-variants/variant_position/credible/roussos_2024/variant_figures/roussos_2024.childhood.GABA/rs2514222_profile_position.png",4,220,900)</f>
        <v/>
      </c>
    </row>
    <row r="633">
      <c r="A633" t="inlineStr">
        <is>
          <t>chr11</t>
        </is>
      </c>
      <c r="B633" t="n">
        <v>113569572</v>
      </c>
      <c r="C633" t="inlineStr">
        <is>
          <t>G</t>
        </is>
      </c>
      <c r="D633" t="inlineStr">
        <is>
          <t>A</t>
        </is>
      </c>
      <c r="E633" t="inlineStr">
        <is>
          <t>rs115990434</t>
        </is>
      </c>
      <c r="F633" t="n">
        <v>-0.073229383</v>
      </c>
      <c r="G633" t="n">
        <v>0.0726676263541897</v>
      </c>
      <c r="H633" t="n">
        <v>0.0227980913373783</v>
      </c>
      <c r="I633" t="n">
        <v>0.0430703420948722</v>
      </c>
      <c r="J633" t="n">
        <v>0.07361835354233411</v>
      </c>
      <c r="K633" t="n">
        <v>0.4178028445985794</v>
      </c>
      <c r="L633" t="b">
        <v>0</v>
      </c>
      <c r="M633" t="b">
        <v>0</v>
      </c>
      <c r="N633" t="inlineStr">
        <is>
          <t>ref</t>
        </is>
      </c>
      <c r="O633" t="n">
        <v>-100</v>
      </c>
      <c r="P633" t="n">
        <v>0.009769999999999999</v>
      </c>
      <c r="Q633" t="n">
        <v>100</v>
      </c>
      <c r="R633" t="n">
        <v>0.03308</v>
      </c>
      <c r="S633">
        <f>IMAGE("https://mitra.stanford.edu/kundaje/oak/projects/neuro-variants/variant_position/credible/roussos_2024/variant_figures/roussos_2024.childhood.GABA/rs115990434_count_position.png",4,220,900)</f>
        <v/>
      </c>
      <c r="T633">
        <f>IMAGE("https://mitra.stanford.edu/kundaje/oak/projects/neuro-variants/variant_position/credible/roussos_2024/variant_figures/roussos_2024.childhood.GABA/rs115990434_profile_position.png",4,220,900)</f>
        <v/>
      </c>
    </row>
    <row r="634">
      <c r="A634" t="inlineStr">
        <is>
          <t>chr11</t>
        </is>
      </c>
      <c r="B634" t="n">
        <v>113580177</v>
      </c>
      <c r="C634" t="inlineStr">
        <is>
          <t>A</t>
        </is>
      </c>
      <c r="D634" t="inlineStr">
        <is>
          <t>G</t>
        </is>
      </c>
      <c r="E634" t="inlineStr">
        <is>
          <t>rs59472562</t>
        </is>
      </c>
      <c r="F634" t="n">
        <v>0.0759434798</v>
      </c>
      <c r="G634" t="n">
        <v>0.0555490771813208</v>
      </c>
      <c r="H634" t="n">
        <v>0.0186666898515955</v>
      </c>
      <c r="I634" t="n">
        <v>0.0988142427876755</v>
      </c>
      <c r="J634" t="n">
        <v>0.1858704529748068</v>
      </c>
      <c r="K634" t="n">
        <v>0.2375886361360142</v>
      </c>
      <c r="L634" t="b">
        <v>0</v>
      </c>
      <c r="M634" t="b">
        <v>0</v>
      </c>
      <c r="N634" t="inlineStr">
        <is>
          <t>alt</t>
        </is>
      </c>
      <c r="O634" t="n">
        <v>-80</v>
      </c>
      <c r="P634" t="n">
        <v>0.010086</v>
      </c>
      <c r="Q634" t="n">
        <v>-100</v>
      </c>
      <c r="R634" t="n">
        <v>0.1506</v>
      </c>
      <c r="S634">
        <f>IMAGE("https://mitra.stanford.edu/kundaje/oak/projects/neuro-variants/variant_position/credible/roussos_2024/variant_figures/roussos_2024.childhood.GABA/rs59472562_count_position.png",4,220,900)</f>
        <v/>
      </c>
      <c r="T634">
        <f>IMAGE("https://mitra.stanford.edu/kundaje/oak/projects/neuro-variants/variant_position/credible/roussos_2024/variant_figures/roussos_2024.childhood.GABA/rs59472562_profile_position.png",4,220,900)</f>
        <v/>
      </c>
    </row>
    <row r="635">
      <c r="A635" t="inlineStr">
        <is>
          <t>chr11</t>
        </is>
      </c>
      <c r="B635" t="n">
        <v>113590958</v>
      </c>
      <c r="C635" t="inlineStr">
        <is>
          <t>C</t>
        </is>
      </c>
      <c r="D635" t="inlineStr">
        <is>
          <t>A</t>
        </is>
      </c>
      <c r="E635" t="inlineStr">
        <is>
          <t>rs11607834</t>
        </is>
      </c>
      <c r="F635" t="n">
        <v>-0.00059807992</v>
      </c>
      <c r="G635" t="n">
        <v>0.5970268586632993</v>
      </c>
      <c r="H635" t="n">
        <v>0.0137860964309626</v>
      </c>
      <c r="I635" t="n">
        <v>0.2953761780441968</v>
      </c>
      <c r="J635" t="n">
        <v>0.1686331176310443</v>
      </c>
      <c r="K635" t="n">
        <v>0.250249542207374</v>
      </c>
      <c r="L635" t="b">
        <v>0</v>
      </c>
      <c r="M635" t="b">
        <v>0</v>
      </c>
      <c r="N635" t="inlineStr">
        <is>
          <t>ref</t>
        </is>
      </c>
      <c r="O635" t="n">
        <v>-95</v>
      </c>
      <c r="P635" t="n">
        <v>0.00522</v>
      </c>
      <c r="Q635" t="n">
        <v>85</v>
      </c>
      <c r="R635" t="n">
        <v>0.05872</v>
      </c>
      <c r="S635">
        <f>IMAGE("https://mitra.stanford.edu/kundaje/oak/projects/neuro-variants/variant_position/credible/roussos_2024/variant_figures/roussos_2024.childhood.GABA/rs11607834_count_position.png",4,220,900)</f>
        <v/>
      </c>
      <c r="T635">
        <f>IMAGE("https://mitra.stanford.edu/kundaje/oak/projects/neuro-variants/variant_position/credible/roussos_2024/variant_figures/roussos_2024.childhood.GABA/rs11607834_profile_position.png",4,220,900)</f>
        <v/>
      </c>
    </row>
    <row r="636">
      <c r="A636" t="inlineStr">
        <is>
          <t>chr11</t>
        </is>
      </c>
      <c r="B636" t="n">
        <v>113590995</v>
      </c>
      <c r="C636" t="inlineStr">
        <is>
          <t>C</t>
        </is>
      </c>
      <c r="D636" t="inlineStr">
        <is>
          <t>G</t>
        </is>
      </c>
      <c r="E636" t="inlineStr">
        <is>
          <t>rs11607852</t>
        </is>
      </c>
      <c r="F636" t="n">
        <v>0.12563344</v>
      </c>
      <c r="G636" t="n">
        <v>0.0172699003508845</v>
      </c>
      <c r="H636" t="n">
        <v>0.0280276195930177</v>
      </c>
      <c r="I636" t="n">
        <v>0.0182212401044404</v>
      </c>
      <c r="J636" t="n">
        <v>0.2181409813407048</v>
      </c>
      <c r="K636" t="n">
        <v>0.1978715637160117</v>
      </c>
      <c r="L636" t="b">
        <v>1</v>
      </c>
      <c r="M636" t="b">
        <v>0</v>
      </c>
      <c r="N636" t="inlineStr">
        <is>
          <t>alt</t>
        </is>
      </c>
      <c r="O636" t="n">
        <v>-100</v>
      </c>
      <c r="P636" t="n">
        <v>0.00608</v>
      </c>
      <c r="Q636" t="n">
        <v>100</v>
      </c>
      <c r="R636" t="n">
        <v>0.0982</v>
      </c>
      <c r="S636">
        <f>IMAGE("https://mitra.stanford.edu/kundaje/oak/projects/neuro-variants/variant_position/credible/roussos_2024/variant_figures/roussos_2024.childhood.GABA/rs11607852_count_position.png",4,220,900)</f>
        <v/>
      </c>
      <c r="T636">
        <f>IMAGE("https://mitra.stanford.edu/kundaje/oak/projects/neuro-variants/variant_position/credible/roussos_2024/variant_figures/roussos_2024.childhood.GABA/rs11607852_profile_position.png",4,220,900)</f>
        <v/>
      </c>
    </row>
    <row r="637">
      <c r="A637" t="inlineStr">
        <is>
          <t>chr11</t>
        </is>
      </c>
      <c r="B637" t="n">
        <v>113633414</v>
      </c>
      <c r="C637" t="inlineStr">
        <is>
          <t>T</t>
        </is>
      </c>
      <c r="D637" t="inlineStr">
        <is>
          <t>C</t>
        </is>
      </c>
      <c r="E637" t="inlineStr">
        <is>
          <t>rs11605737</t>
        </is>
      </c>
      <c r="F637" t="n">
        <v>-0.01631072556</v>
      </c>
      <c r="G637" t="n">
        <v>0.5414719021369806</v>
      </c>
      <c r="H637" t="n">
        <v>0.015386807888288</v>
      </c>
      <c r="I637" t="n">
        <v>0.2065552308079681</v>
      </c>
      <c r="J637" t="n">
        <v>0.06460074134573091</v>
      </c>
      <c r="K637" t="n">
        <v>0.4473794233724709</v>
      </c>
      <c r="L637" t="b">
        <v>0</v>
      </c>
      <c r="M637" t="b">
        <v>0</v>
      </c>
      <c r="N637" t="inlineStr">
        <is>
          <t>ref</t>
        </is>
      </c>
      <c r="O637" t="n">
        <v>-95</v>
      </c>
      <c r="P637" t="n">
        <v>0.00225</v>
      </c>
      <c r="Q637" t="n">
        <v>0</v>
      </c>
      <c r="R637" t="n">
        <v>0</v>
      </c>
      <c r="S637">
        <f>IMAGE("https://mitra.stanford.edu/kundaje/oak/projects/neuro-variants/variant_position/credible/roussos_2024/variant_figures/roussos_2024.childhood.GABA/rs11605737_count_position.png",4,220,900)</f>
        <v/>
      </c>
      <c r="T637">
        <f>IMAGE("https://mitra.stanford.edu/kundaje/oak/projects/neuro-variants/variant_position/credible/roussos_2024/variant_figures/roussos_2024.childhood.GABA/rs11605737_profile_position.png",4,220,900)</f>
        <v/>
      </c>
    </row>
    <row r="638">
      <c r="A638" t="inlineStr">
        <is>
          <t>chr11</t>
        </is>
      </c>
      <c r="B638" t="n">
        <v>113633965</v>
      </c>
      <c r="C638" t="inlineStr">
        <is>
          <t>T</t>
        </is>
      </c>
      <c r="D638" t="inlineStr">
        <is>
          <t>A</t>
        </is>
      </c>
      <c r="E638" t="inlineStr">
        <is>
          <t>rs11606258</t>
        </is>
      </c>
      <c r="F638" t="n">
        <v>-0.00122522922</v>
      </c>
      <c r="G638" t="n">
        <v>0.8265799870641515</v>
      </c>
      <c r="H638" t="n">
        <v>0.0128044333310739</v>
      </c>
      <c r="I638" t="n">
        <v>0.3640047602996029</v>
      </c>
      <c r="J638" t="n">
        <v>0.0362913865678205</v>
      </c>
      <c r="K638" t="n">
        <v>0.56729044545989</v>
      </c>
      <c r="L638" t="b">
        <v>0</v>
      </c>
      <c r="M638" t="b">
        <v>0</v>
      </c>
      <c r="N638" t="inlineStr">
        <is>
          <t>ref</t>
        </is>
      </c>
      <c r="O638" t="n">
        <v>-100</v>
      </c>
      <c r="P638" t="n">
        <v>0.007767</v>
      </c>
      <c r="Q638" t="n">
        <v>35</v>
      </c>
      <c r="R638" t="n">
        <v>0.02765</v>
      </c>
      <c r="S638">
        <f>IMAGE("https://mitra.stanford.edu/kundaje/oak/projects/neuro-variants/variant_position/credible/roussos_2024/variant_figures/roussos_2024.childhood.GABA/rs11606258_count_position.png",4,220,900)</f>
        <v/>
      </c>
      <c r="T638">
        <f>IMAGE("https://mitra.stanford.edu/kundaje/oak/projects/neuro-variants/variant_position/credible/roussos_2024/variant_figures/roussos_2024.childhood.GABA/rs11606258_profile_position.png",4,220,900)</f>
        <v/>
      </c>
    </row>
    <row r="639">
      <c r="A639" t="inlineStr">
        <is>
          <t>chr11</t>
        </is>
      </c>
      <c r="B639" t="n">
        <v>113648213</v>
      </c>
      <c r="C639" t="inlineStr">
        <is>
          <t>A</t>
        </is>
      </c>
      <c r="D639" t="inlineStr">
        <is>
          <t>G</t>
        </is>
      </c>
      <c r="E639" t="inlineStr">
        <is>
          <t>rs17532254</t>
        </is>
      </c>
      <c r="F639" t="n">
        <v>-0.03291014594</v>
      </c>
      <c r="G639" t="n">
        <v>0.2885737583359501</v>
      </c>
      <c r="H639" t="n">
        <v>0.0264619669389049</v>
      </c>
      <c r="I639" t="n">
        <v>0.0217945092894289</v>
      </c>
      <c r="J639" t="n">
        <v>0.1816412221733576</v>
      </c>
      <c r="K639" t="n">
        <v>0.2417794865635419</v>
      </c>
      <c r="L639" t="b">
        <v>0</v>
      </c>
      <c r="M639" t="b">
        <v>0</v>
      </c>
      <c r="N639" t="inlineStr">
        <is>
          <t>ref</t>
        </is>
      </c>
      <c r="O639" t="n">
        <v>-45</v>
      </c>
      <c r="P639" t="n">
        <v>0.03595</v>
      </c>
      <c r="Q639" t="n">
        <v>-45</v>
      </c>
      <c r="R639" t="n">
        <v>0.11993</v>
      </c>
      <c r="S639">
        <f>IMAGE("https://mitra.stanford.edu/kundaje/oak/projects/neuro-variants/variant_position/credible/roussos_2024/variant_figures/roussos_2024.childhood.GABA/rs17532254_count_position.png",4,220,900)</f>
        <v/>
      </c>
      <c r="T639">
        <f>IMAGE("https://mitra.stanford.edu/kundaje/oak/projects/neuro-variants/variant_position/credible/roussos_2024/variant_figures/roussos_2024.childhood.GABA/rs17532254_profile_position.png",4,220,900)</f>
        <v/>
      </c>
    </row>
    <row r="640">
      <c r="A640" t="inlineStr">
        <is>
          <t>chr11</t>
        </is>
      </c>
      <c r="B640" t="n">
        <v>113649400</v>
      </c>
      <c r="C640" t="inlineStr">
        <is>
          <t>A</t>
        </is>
      </c>
      <c r="D640" t="inlineStr">
        <is>
          <t>G</t>
        </is>
      </c>
      <c r="E640" t="inlineStr">
        <is>
          <t>rs11602504</t>
        </is>
      </c>
      <c r="F640" t="n">
        <v>0.0142494854</v>
      </c>
      <c r="G640" t="n">
        <v>0.4978198742642238</v>
      </c>
      <c r="H640" t="n">
        <v>0.0106778054414311</v>
      </c>
      <c r="I640" t="n">
        <v>0.5524105753174038</v>
      </c>
      <c r="J640" t="n">
        <v>0.4251795773910494</v>
      </c>
      <c r="K640" t="n">
        <v>0.0741967595219786</v>
      </c>
      <c r="L640" t="b">
        <v>0</v>
      </c>
      <c r="M640" t="b">
        <v>0</v>
      </c>
      <c r="N640" t="inlineStr">
        <is>
          <t>alt</t>
        </is>
      </c>
      <c r="O640" t="n">
        <v>100</v>
      </c>
      <c r="P640" t="n">
        <v>0.01496</v>
      </c>
      <c r="Q640" t="n">
        <v>95</v>
      </c>
      <c r="R640" t="n">
        <v>0.03455</v>
      </c>
      <c r="S640">
        <f>IMAGE("https://mitra.stanford.edu/kundaje/oak/projects/neuro-variants/variant_position/credible/roussos_2024/variant_figures/roussos_2024.childhood.GABA/rs11602504_count_position.png",4,220,900)</f>
        <v/>
      </c>
      <c r="T640">
        <f>IMAGE("https://mitra.stanford.edu/kundaje/oak/projects/neuro-variants/variant_position/credible/roussos_2024/variant_figures/roussos_2024.childhood.GABA/rs11602504_profile_position.png",4,220,900)</f>
        <v/>
      </c>
    </row>
    <row r="641">
      <c r="A641" t="inlineStr">
        <is>
          <t>chr11</t>
        </is>
      </c>
      <c r="B641" t="n">
        <v>113650237</v>
      </c>
      <c r="C641" t="inlineStr">
        <is>
          <t>C</t>
        </is>
      </c>
      <c r="D641" t="inlineStr">
        <is>
          <t>T</t>
        </is>
      </c>
      <c r="E641" t="inlineStr">
        <is>
          <t>rs61904990</t>
        </is>
      </c>
      <c r="F641" t="n">
        <v>0.029358119</v>
      </c>
      <c r="G641" t="n">
        <v>0.3122878093469832</v>
      </c>
      <c r="H641" t="n">
        <v>0.011368429901305</v>
      </c>
      <c r="I641" t="n">
        <v>0.4810028872066955</v>
      </c>
      <c r="J641" t="n">
        <v>0.1609453205168478</v>
      </c>
      <c r="K641" t="n">
        <v>0.2697440537307045</v>
      </c>
      <c r="L641" t="b">
        <v>0</v>
      </c>
      <c r="M641" t="b">
        <v>0</v>
      </c>
      <c r="N641" t="inlineStr">
        <is>
          <t>alt</t>
        </is>
      </c>
      <c r="O641" t="n">
        <v>65</v>
      </c>
      <c r="P641" t="n">
        <v>0.005486</v>
      </c>
      <c r="Q641" t="n">
        <v>-100</v>
      </c>
      <c r="R641" t="n">
        <v>0.10803</v>
      </c>
      <c r="S641">
        <f>IMAGE("https://mitra.stanford.edu/kundaje/oak/projects/neuro-variants/variant_position/credible/roussos_2024/variant_figures/roussos_2024.childhood.GABA/rs61904990_count_position.png",4,220,900)</f>
        <v/>
      </c>
      <c r="T641">
        <f>IMAGE("https://mitra.stanford.edu/kundaje/oak/projects/neuro-variants/variant_position/credible/roussos_2024/variant_figures/roussos_2024.childhood.GABA/rs61904990_profile_position.png",4,220,900)</f>
        <v/>
      </c>
    </row>
    <row r="642">
      <c r="A642" t="inlineStr">
        <is>
          <t>chr11</t>
        </is>
      </c>
      <c r="B642" t="n">
        <v>113651868</v>
      </c>
      <c r="C642" t="inlineStr">
        <is>
          <t>T</t>
        </is>
      </c>
      <c r="D642" t="inlineStr">
        <is>
          <t>C</t>
        </is>
      </c>
      <c r="E642" t="inlineStr">
        <is>
          <t>rs17610915</t>
        </is>
      </c>
      <c r="F642" t="n">
        <v>0.0599859404</v>
      </c>
      <c r="G642" t="n">
        <v>0.1041970205647929</v>
      </c>
      <c r="H642" t="n">
        <v>0.0130836160487865</v>
      </c>
      <c r="I642" t="n">
        <v>0.3478310096632755</v>
      </c>
      <c r="J642" t="n">
        <v>0.1989937383510292</v>
      </c>
      <c r="K642" t="n">
        <v>0.2194441414334363</v>
      </c>
      <c r="L642" t="b">
        <v>0</v>
      </c>
      <c r="M642" t="b">
        <v>0</v>
      </c>
      <c r="N642" t="inlineStr">
        <is>
          <t>alt</t>
        </is>
      </c>
      <c r="O642" t="n">
        <v>25</v>
      </c>
      <c r="P642" t="n">
        <v>0.002258</v>
      </c>
      <c r="Q642" t="n">
        <v>75</v>
      </c>
      <c r="R642" t="n">
        <v>0.074</v>
      </c>
      <c r="S642">
        <f>IMAGE("https://mitra.stanford.edu/kundaje/oak/projects/neuro-variants/variant_position/credible/roussos_2024/variant_figures/roussos_2024.childhood.GABA/rs17610915_count_position.png",4,220,900)</f>
        <v/>
      </c>
      <c r="T642">
        <f>IMAGE("https://mitra.stanford.edu/kundaje/oak/projects/neuro-variants/variant_position/credible/roussos_2024/variant_figures/roussos_2024.childhood.GABA/rs17610915_profile_position.png",4,220,900)</f>
        <v/>
      </c>
    </row>
    <row r="643">
      <c r="A643" t="inlineStr">
        <is>
          <t>chr11</t>
        </is>
      </c>
      <c r="B643" t="n">
        <v>113652332</v>
      </c>
      <c r="C643" t="inlineStr">
        <is>
          <t>T</t>
        </is>
      </c>
      <c r="D643" t="inlineStr">
        <is>
          <t>G</t>
        </is>
      </c>
      <c r="E643" t="inlineStr">
        <is>
          <t>rs61904994</t>
        </is>
      </c>
      <c r="F643" t="n">
        <v>0.08795131</v>
      </c>
      <c r="G643" t="n">
        <v>0.0447067614760788</v>
      </c>
      <c r="H643" t="n">
        <v>0.019390903122911</v>
      </c>
      <c r="I643" t="n">
        <v>0.0856649717135923</v>
      </c>
      <c r="J643" t="n">
        <v>0.2337657850097379</v>
      </c>
      <c r="K643" t="n">
        <v>0.1864280347020159</v>
      </c>
      <c r="L643" t="b">
        <v>0</v>
      </c>
      <c r="M643" t="b">
        <v>0</v>
      </c>
      <c r="N643" t="inlineStr">
        <is>
          <t>alt</t>
        </is>
      </c>
      <c r="O643" t="n">
        <v>35</v>
      </c>
      <c r="P643" t="n">
        <v>0.001511</v>
      </c>
      <c r="Q643" t="n">
        <v>60</v>
      </c>
      <c r="R643" t="n">
        <v>0.2075</v>
      </c>
      <c r="S643">
        <f>IMAGE("https://mitra.stanford.edu/kundaje/oak/projects/neuro-variants/variant_position/credible/roussos_2024/variant_figures/roussos_2024.childhood.GABA/rs61904994_count_position.png",4,220,900)</f>
        <v/>
      </c>
      <c r="T643">
        <f>IMAGE("https://mitra.stanford.edu/kundaje/oak/projects/neuro-variants/variant_position/credible/roussos_2024/variant_figures/roussos_2024.childhood.GABA/rs61904994_profile_position.png",4,220,900)</f>
        <v/>
      </c>
    </row>
    <row r="644">
      <c r="A644" t="inlineStr">
        <is>
          <t>chr11</t>
        </is>
      </c>
      <c r="B644" t="n">
        <v>113653484</v>
      </c>
      <c r="C644" t="inlineStr">
        <is>
          <t>C</t>
        </is>
      </c>
      <c r="D644" t="inlineStr">
        <is>
          <t>T</t>
        </is>
      </c>
      <c r="E644" t="inlineStr">
        <is>
          <t>rs11600745</t>
        </is>
      </c>
      <c r="F644" t="n">
        <v>0.0024614899199999</v>
      </c>
      <c r="G644" t="n">
        <v>0.6628475962880199</v>
      </c>
      <c r="H644" t="n">
        <v>0.0084218079897771</v>
      </c>
      <c r="I644" t="n">
        <v>0.7695593080419637</v>
      </c>
      <c r="J644" t="n">
        <v>0.0192090218005905</v>
      </c>
      <c r="K644" t="n">
        <v>0.6726258429278471</v>
      </c>
      <c r="L644" t="b">
        <v>0</v>
      </c>
      <c r="M644" t="b">
        <v>0</v>
      </c>
      <c r="N644" t="inlineStr">
        <is>
          <t>alt</t>
        </is>
      </c>
      <c r="O644" t="n">
        <v>-100</v>
      </c>
      <c r="P644" t="n">
        <v>0.00936</v>
      </c>
      <c r="Q644" t="n">
        <v>-100</v>
      </c>
      <c r="R644" t="n">
        <v>0.02228</v>
      </c>
      <c r="S644">
        <f>IMAGE("https://mitra.stanford.edu/kundaje/oak/projects/neuro-variants/variant_position/credible/roussos_2024/variant_figures/roussos_2024.childhood.GABA/rs11600745_count_position.png",4,220,900)</f>
        <v/>
      </c>
      <c r="T644">
        <f>IMAGE("https://mitra.stanford.edu/kundaje/oak/projects/neuro-variants/variant_position/credible/roussos_2024/variant_figures/roussos_2024.childhood.GABA/rs11600745_profile_position.png",4,220,900)</f>
        <v/>
      </c>
    </row>
    <row r="645">
      <c r="A645" t="inlineStr">
        <is>
          <t>chr11</t>
        </is>
      </c>
      <c r="B645" t="n">
        <v>113654447</v>
      </c>
      <c r="C645" t="inlineStr">
        <is>
          <t>C</t>
        </is>
      </c>
      <c r="D645" t="inlineStr">
        <is>
          <t>T</t>
        </is>
      </c>
      <c r="E645" t="inlineStr">
        <is>
          <t>rs73004093</t>
        </is>
      </c>
      <c r="F645" t="n">
        <v>-0.062655289</v>
      </c>
      <c r="G645" t="n">
        <v>0.0892914120193195</v>
      </c>
      <c r="H645" t="n">
        <v>0.0116586150433358</v>
      </c>
      <c r="I645" t="n">
        <v>0.4628390307511153</v>
      </c>
      <c r="J645" t="n">
        <v>0.0295438838977193</v>
      </c>
      <c r="K645" t="n">
        <v>0.6080679015101632</v>
      </c>
      <c r="L645" t="b">
        <v>0</v>
      </c>
      <c r="M645" t="b">
        <v>0</v>
      </c>
      <c r="N645" t="inlineStr">
        <is>
          <t>ref</t>
        </is>
      </c>
      <c r="O645" t="n">
        <v>20</v>
      </c>
      <c r="P645" t="n">
        <v>0.000681</v>
      </c>
      <c r="Q645" t="n">
        <v>5</v>
      </c>
      <c r="R645" t="n">
        <v>0.00647</v>
      </c>
      <c r="S645">
        <f>IMAGE("https://mitra.stanford.edu/kundaje/oak/projects/neuro-variants/variant_position/credible/roussos_2024/variant_figures/roussos_2024.childhood.GABA/rs73004093_count_position.png",4,220,900)</f>
        <v/>
      </c>
      <c r="T645">
        <f>IMAGE("https://mitra.stanford.edu/kundaje/oak/projects/neuro-variants/variant_position/credible/roussos_2024/variant_figures/roussos_2024.childhood.GABA/rs73004093_profile_position.png",4,220,900)</f>
        <v/>
      </c>
    </row>
    <row r="646">
      <c r="A646" t="inlineStr">
        <is>
          <t>chr11</t>
        </is>
      </c>
      <c r="B646" t="n">
        <v>113655426</v>
      </c>
      <c r="C646" t="inlineStr">
        <is>
          <t>C</t>
        </is>
      </c>
      <c r="D646" t="inlineStr">
        <is>
          <t>T</t>
        </is>
      </c>
      <c r="E646" t="inlineStr">
        <is>
          <t>rs11601890</t>
        </is>
      </c>
      <c r="F646" t="n">
        <v>0.08462885499999991</v>
      </c>
      <c r="G646" t="n">
        <v>0.0491320380596421</v>
      </c>
      <c r="H646" t="n">
        <v>0.018283403411751</v>
      </c>
      <c r="I646" t="n">
        <v>0.1177713731882503</v>
      </c>
      <c r="J646" t="n">
        <v>0.0153724529329228</v>
      </c>
      <c r="K646" t="n">
        <v>0.6999477039990538</v>
      </c>
      <c r="L646" t="b">
        <v>0</v>
      </c>
      <c r="M646" t="b">
        <v>0</v>
      </c>
      <c r="N646" t="inlineStr">
        <is>
          <t>alt</t>
        </is>
      </c>
      <c r="O646" t="n">
        <v>90</v>
      </c>
      <c r="P646" t="n">
        <v>0.004257</v>
      </c>
      <c r="Q646" t="n">
        <v>-5</v>
      </c>
      <c r="R646" t="n">
        <v>0.007202</v>
      </c>
      <c r="S646">
        <f>IMAGE("https://mitra.stanford.edu/kundaje/oak/projects/neuro-variants/variant_position/credible/roussos_2024/variant_figures/roussos_2024.childhood.GABA/rs11601890_count_position.png",4,220,900)</f>
        <v/>
      </c>
      <c r="T646">
        <f>IMAGE("https://mitra.stanford.edu/kundaje/oak/projects/neuro-variants/variant_position/credible/roussos_2024/variant_figures/roussos_2024.childhood.GABA/rs11601890_profile_position.png",4,220,900)</f>
        <v/>
      </c>
    </row>
    <row r="647">
      <c r="A647" t="inlineStr">
        <is>
          <t>chr11</t>
        </is>
      </c>
      <c r="B647" t="n">
        <v>113656345</v>
      </c>
      <c r="C647" t="inlineStr">
        <is>
          <t>T</t>
        </is>
      </c>
      <c r="D647" t="inlineStr">
        <is>
          <t>A</t>
        </is>
      </c>
      <c r="E647" t="inlineStr">
        <is>
          <t>rs11601548</t>
        </is>
      </c>
      <c r="F647" t="n">
        <v>0.0158724425</v>
      </c>
      <c r="G647" t="n">
        <v>0.4838871622394077</v>
      </c>
      <c r="H647" t="n">
        <v>0.0077544393067409</v>
      </c>
      <c r="I647" t="n">
        <v>0.8881091321368318</v>
      </c>
      <c r="J647" t="n">
        <v>0.1989602311993465</v>
      </c>
      <c r="K647" t="n">
        <v>0.2228586370326644</v>
      </c>
      <c r="L647" t="b">
        <v>0</v>
      </c>
      <c r="M647" t="b">
        <v>0</v>
      </c>
      <c r="N647" t="inlineStr">
        <is>
          <t>alt</t>
        </is>
      </c>
      <c r="O647" t="n">
        <v>15</v>
      </c>
      <c r="P647" t="n">
        <v>0.0001924</v>
      </c>
      <c r="Q647" t="n">
        <v>40</v>
      </c>
      <c r="R647" t="n">
        <v>0.09619999999999999</v>
      </c>
      <c r="S647">
        <f>IMAGE("https://mitra.stanford.edu/kundaje/oak/projects/neuro-variants/variant_position/credible/roussos_2024/variant_figures/roussos_2024.childhood.GABA/rs11601548_count_position.png",4,220,900)</f>
        <v/>
      </c>
      <c r="T647">
        <f>IMAGE("https://mitra.stanford.edu/kundaje/oak/projects/neuro-variants/variant_position/credible/roussos_2024/variant_figures/roussos_2024.childhood.GABA/rs11601548_profile_position.png",4,220,900)</f>
        <v/>
      </c>
    </row>
    <row r="648">
      <c r="A648" t="inlineStr">
        <is>
          <t>chr11</t>
        </is>
      </c>
      <c r="B648" t="n">
        <v>113656479</v>
      </c>
      <c r="C648" t="inlineStr">
        <is>
          <t>G</t>
        </is>
      </c>
      <c r="D648" t="inlineStr">
        <is>
          <t>A</t>
        </is>
      </c>
      <c r="E648" t="inlineStr">
        <is>
          <t>rs11607747</t>
        </is>
      </c>
      <c r="F648" t="n">
        <v>-0.1560214434</v>
      </c>
      <c r="G648" t="n">
        <v>0.0108756342569244</v>
      </c>
      <c r="H648" t="n">
        <v>0.0183628731291432</v>
      </c>
      <c r="I648" t="n">
        <v>0.1137477599023508</v>
      </c>
      <c r="J648" t="n">
        <v>0.2824286402379007</v>
      </c>
      <c r="K648" t="n">
        <v>0.1499181212783399</v>
      </c>
      <c r="L648" t="b">
        <v>1</v>
      </c>
      <c r="M648" t="b">
        <v>0</v>
      </c>
      <c r="N648" t="inlineStr">
        <is>
          <t>ref</t>
        </is>
      </c>
      <c r="O648" t="n">
        <v>90</v>
      </c>
      <c r="P648" t="n">
        <v>0.0107</v>
      </c>
      <c r="Q648" t="n">
        <v>65</v>
      </c>
      <c r="R648" t="n">
        <v>0.1653</v>
      </c>
      <c r="S648">
        <f>IMAGE("https://mitra.stanford.edu/kundaje/oak/projects/neuro-variants/variant_position/credible/roussos_2024/variant_figures/roussos_2024.childhood.GABA/rs11607747_count_position.png",4,220,900)</f>
        <v/>
      </c>
      <c r="T648">
        <f>IMAGE("https://mitra.stanford.edu/kundaje/oak/projects/neuro-variants/variant_position/credible/roussos_2024/variant_figures/roussos_2024.childhood.GABA/rs11607747_profile_position.png",4,220,900)</f>
        <v/>
      </c>
    </row>
    <row r="649">
      <c r="A649" t="inlineStr">
        <is>
          <t>chr11</t>
        </is>
      </c>
      <c r="B649" t="n">
        <v>113663015</v>
      </c>
      <c r="C649" t="inlineStr">
        <is>
          <t>G</t>
        </is>
      </c>
      <c r="D649" t="inlineStr">
        <is>
          <t>A</t>
        </is>
      </c>
      <c r="E649" t="inlineStr">
        <is>
          <t>rs11603480</t>
        </is>
      </c>
      <c r="F649" t="n">
        <v>-0.0403515058</v>
      </c>
      <c r="G649" t="n">
        <v>0.2340221787914092</v>
      </c>
      <c r="H649" t="n">
        <v>0.0191595616895691</v>
      </c>
      <c r="I649" t="n">
        <v>0.0936464213961123</v>
      </c>
      <c r="J649" t="n">
        <v>0.0171012125400514</v>
      </c>
      <c r="K649" t="n">
        <v>0.6826650258812436</v>
      </c>
      <c r="L649" t="b">
        <v>0</v>
      </c>
      <c r="M649" t="b">
        <v>0</v>
      </c>
      <c r="N649" t="inlineStr">
        <is>
          <t>ref</t>
        </is>
      </c>
      <c r="O649" t="n">
        <v>-95</v>
      </c>
      <c r="P649" t="n">
        <v>0.007416</v>
      </c>
      <c r="Q649" t="n">
        <v>100</v>
      </c>
      <c r="R649" t="n">
        <v>0.08160000000000001</v>
      </c>
      <c r="S649">
        <f>IMAGE("https://mitra.stanford.edu/kundaje/oak/projects/neuro-variants/variant_position/credible/roussos_2024/variant_figures/roussos_2024.childhood.GABA/rs11603480_count_position.png",4,220,900)</f>
        <v/>
      </c>
      <c r="T649">
        <f>IMAGE("https://mitra.stanford.edu/kundaje/oak/projects/neuro-variants/variant_position/credible/roussos_2024/variant_figures/roussos_2024.childhood.GABA/rs11603480_profile_position.png",4,220,900)</f>
        <v/>
      </c>
    </row>
    <row r="650">
      <c r="A650" t="inlineStr">
        <is>
          <t>chr11</t>
        </is>
      </c>
      <c r="B650" t="n">
        <v>123401386</v>
      </c>
      <c r="C650" t="inlineStr">
        <is>
          <t>T</t>
        </is>
      </c>
      <c r="D650" t="inlineStr">
        <is>
          <t>C</t>
        </is>
      </c>
      <c r="E650" t="inlineStr">
        <is>
          <t>rs6590000</t>
        </is>
      </c>
      <c r="F650" t="n">
        <v>0.0170218802</v>
      </c>
      <c r="G650" t="n">
        <v>0.4555273243326532</v>
      </c>
      <c r="H650" t="n">
        <v>0.0070925259563063</v>
      </c>
      <c r="I650" t="n">
        <v>0.9392370168908972</v>
      </c>
      <c r="J650" t="n">
        <v>0.1331657975749198</v>
      </c>
      <c r="K650" t="n">
        <v>0.3092527418995792</v>
      </c>
      <c r="L650" t="b">
        <v>0</v>
      </c>
      <c r="M650" t="b">
        <v>0</v>
      </c>
      <c r="N650" t="inlineStr">
        <is>
          <t>alt</t>
        </is>
      </c>
      <c r="O650" t="n">
        <v>95</v>
      </c>
      <c r="P650" t="n">
        <v>0.011955</v>
      </c>
      <c r="Q650" t="n">
        <v>100</v>
      </c>
      <c r="R650" t="n">
        <v>0.1107</v>
      </c>
      <c r="S650">
        <f>IMAGE("https://mitra.stanford.edu/kundaje/oak/projects/neuro-variants/variant_position/credible/roussos_2024/variant_figures/roussos_2024.childhood.GABA/rs6590000_count_position.png",4,220,900)</f>
        <v/>
      </c>
      <c r="T650">
        <f>IMAGE("https://mitra.stanford.edu/kundaje/oak/projects/neuro-variants/variant_position/credible/roussos_2024/variant_figures/roussos_2024.childhood.GABA/rs6590000_profile_position.png",4,220,900)</f>
        <v/>
      </c>
    </row>
    <row r="651">
      <c r="A651" t="inlineStr">
        <is>
          <t>chr11</t>
        </is>
      </c>
      <c r="B651" t="n">
        <v>123504651</v>
      </c>
      <c r="C651" t="inlineStr">
        <is>
          <t>T</t>
        </is>
      </c>
      <c r="D651" t="inlineStr">
        <is>
          <t>C</t>
        </is>
      </c>
      <c r="E651" t="inlineStr">
        <is>
          <t>rs11219174</t>
        </is>
      </c>
      <c r="F651" t="n">
        <v>-0.024486594894</v>
      </c>
      <c r="G651" t="n">
        <v>0.3727736815065526</v>
      </c>
      <c r="H651" t="n">
        <v>0.0105062306183897</v>
      </c>
      <c r="I651" t="n">
        <v>0.5609460477766959</v>
      </c>
      <c r="J651" t="n">
        <v>0.09672886431697759</v>
      </c>
      <c r="K651" t="n">
        <v>0.3795619538491235</v>
      </c>
      <c r="L651" t="b">
        <v>0</v>
      </c>
      <c r="M651" t="b">
        <v>0</v>
      </c>
      <c r="N651" t="inlineStr">
        <is>
          <t>ref</t>
        </is>
      </c>
      <c r="O651" t="n">
        <v>85</v>
      </c>
      <c r="P651" t="n">
        <v>0.01019</v>
      </c>
      <c r="Q651" t="n">
        <v>-65</v>
      </c>
      <c r="R651" t="n">
        <v>0.0941</v>
      </c>
      <c r="S651">
        <f>IMAGE("https://mitra.stanford.edu/kundaje/oak/projects/neuro-variants/variant_position/credible/roussos_2024/variant_figures/roussos_2024.childhood.GABA/rs11219174_count_position.png",4,220,900)</f>
        <v/>
      </c>
      <c r="T651">
        <f>IMAGE("https://mitra.stanford.edu/kundaje/oak/projects/neuro-variants/variant_position/credible/roussos_2024/variant_figures/roussos_2024.childhood.GABA/rs11219174_profile_position.png",4,220,900)</f>
        <v/>
      </c>
    </row>
    <row r="652">
      <c r="A652" t="inlineStr">
        <is>
          <t>chr11</t>
        </is>
      </c>
      <c r="B652" t="n">
        <v>123528661</v>
      </c>
      <c r="C652" t="inlineStr">
        <is>
          <t>G</t>
        </is>
      </c>
      <c r="D652" t="inlineStr">
        <is>
          <t>A</t>
        </is>
      </c>
      <c r="E652" t="inlineStr">
        <is>
          <t>rs11601260</t>
        </is>
      </c>
      <c r="F652" t="n">
        <v>-0.09289164599999999</v>
      </c>
      <c r="G652" t="n">
        <v>0.0352867685604228</v>
      </c>
      <c r="H652" t="n">
        <v>0.0128899373634509</v>
      </c>
      <c r="I652" t="n">
        <v>0.3573092386316671</v>
      </c>
      <c r="J652" t="n">
        <v>0.059489853615631</v>
      </c>
      <c r="K652" t="n">
        <v>0.4573435645167157</v>
      </c>
      <c r="L652" t="b">
        <v>0</v>
      </c>
      <c r="M652" t="b">
        <v>0</v>
      </c>
      <c r="N652" t="inlineStr">
        <is>
          <t>ref</t>
        </is>
      </c>
      <c r="O652" t="n">
        <v>75</v>
      </c>
      <c r="P652" t="n">
        <v>0.00418</v>
      </c>
      <c r="Q652" t="n">
        <v>-95</v>
      </c>
      <c r="R652" t="n">
        <v>0.05853</v>
      </c>
      <c r="S652">
        <f>IMAGE("https://mitra.stanford.edu/kundaje/oak/projects/neuro-variants/variant_position/credible/roussos_2024/variant_figures/roussos_2024.childhood.GABA/rs11601260_count_position.png",4,220,900)</f>
        <v/>
      </c>
      <c r="T652">
        <f>IMAGE("https://mitra.stanford.edu/kundaje/oak/projects/neuro-variants/variant_position/credible/roussos_2024/variant_figures/roussos_2024.childhood.GABA/rs11601260_profile_position.png",4,220,900)</f>
        <v/>
      </c>
    </row>
    <row r="653">
      <c r="A653" t="inlineStr">
        <is>
          <t>chr11</t>
        </is>
      </c>
      <c r="B653" t="n">
        <v>123533712</v>
      </c>
      <c r="C653" t="inlineStr">
        <is>
          <t>C</t>
        </is>
      </c>
      <c r="D653" t="inlineStr">
        <is>
          <t>T</t>
        </is>
      </c>
      <c r="E653" t="inlineStr">
        <is>
          <t>rs111454416</t>
        </is>
      </c>
      <c r="F653" t="n">
        <v>0.0269689163999999</v>
      </c>
      <c r="G653" t="n">
        <v>0.3037587252651911</v>
      </c>
      <c r="H653" t="n">
        <v>0.0117500219104601</v>
      </c>
      <c r="I653" t="n">
        <v>0.45591550270851</v>
      </c>
      <c r="J653" t="n">
        <v>0.0026638185587735</v>
      </c>
      <c r="K653" t="n">
        <v>0.8671865943643309</v>
      </c>
      <c r="L653" t="b">
        <v>0</v>
      </c>
      <c r="M653" t="b">
        <v>0</v>
      </c>
      <c r="N653" t="inlineStr">
        <is>
          <t>alt</t>
        </is>
      </c>
      <c r="O653" t="n">
        <v>-75</v>
      </c>
      <c r="P653" t="n">
        <v>0.001322</v>
      </c>
      <c r="Q653" t="n">
        <v>85</v>
      </c>
      <c r="R653" t="n">
        <v>0.0668</v>
      </c>
      <c r="S653">
        <f>IMAGE("https://mitra.stanford.edu/kundaje/oak/projects/neuro-variants/variant_position/credible/roussos_2024/variant_figures/roussos_2024.childhood.GABA/rs111454416_count_position.png",4,220,900)</f>
        <v/>
      </c>
      <c r="T653">
        <f>IMAGE("https://mitra.stanford.edu/kundaje/oak/projects/neuro-variants/variant_position/credible/roussos_2024/variant_figures/roussos_2024.childhood.GABA/rs111454416_profile_position.png",4,220,900)</f>
        <v/>
      </c>
    </row>
    <row r="654">
      <c r="A654" t="inlineStr">
        <is>
          <t>chr11</t>
        </is>
      </c>
      <c r="B654" t="n">
        <v>124565509</v>
      </c>
      <c r="C654" t="inlineStr">
        <is>
          <t>G</t>
        </is>
      </c>
      <c r="D654" t="inlineStr">
        <is>
          <t>A</t>
        </is>
      </c>
      <c r="E654" t="inlineStr">
        <is>
          <t>rs2212756</t>
        </is>
      </c>
      <c r="F654" t="n">
        <v>0.0068705073799999</v>
      </c>
      <c r="G654" t="n">
        <v>0.7143056067976959</v>
      </c>
      <c r="H654" t="n">
        <v>0.0274923663069937</v>
      </c>
      <c r="I654" t="n">
        <v>0.0186815138871434</v>
      </c>
      <c r="J654" t="n">
        <v>0.0235837992921613</v>
      </c>
      <c r="K654" t="n">
        <v>0.6276018873775746</v>
      </c>
      <c r="L654" t="b">
        <v>1</v>
      </c>
      <c r="M654" t="b">
        <v>0</v>
      </c>
      <c r="N654" t="inlineStr">
        <is>
          <t>alt</t>
        </is>
      </c>
      <c r="O654" t="n">
        <v>50</v>
      </c>
      <c r="P654" t="n">
        <v>0.001502</v>
      </c>
      <c r="Q654" t="n">
        <v>70</v>
      </c>
      <c r="R654" t="n">
        <v>0.06665</v>
      </c>
      <c r="S654">
        <f>IMAGE("https://mitra.stanford.edu/kundaje/oak/projects/neuro-variants/variant_position/credible/roussos_2024/variant_figures/roussos_2024.childhood.GABA/rs2212756_count_position.png",4,220,900)</f>
        <v/>
      </c>
      <c r="T654">
        <f>IMAGE("https://mitra.stanford.edu/kundaje/oak/projects/neuro-variants/variant_position/credible/roussos_2024/variant_figures/roussos_2024.childhood.GABA/rs2212756_profile_position.png",4,220,900)</f>
        <v/>
      </c>
    </row>
    <row r="655">
      <c r="A655" t="inlineStr">
        <is>
          <t>chr11</t>
        </is>
      </c>
      <c r="B655" t="n">
        <v>124569987</v>
      </c>
      <c r="C655" t="inlineStr">
        <is>
          <t>G</t>
        </is>
      </c>
      <c r="D655" t="inlineStr">
        <is>
          <t>A</t>
        </is>
      </c>
      <c r="E655" t="inlineStr">
        <is>
          <t>rs1942660</t>
        </is>
      </c>
      <c r="F655" t="n">
        <v>-0.176842262</v>
      </c>
      <c r="G655" t="n">
        <v>0.0067277352107202</v>
      </c>
      <c r="H655" t="n">
        <v>0.0182349212392701</v>
      </c>
      <c r="I655" t="n">
        <v>0.1161872836563222</v>
      </c>
      <c r="J655" t="n">
        <v>0.1046459760005025</v>
      </c>
      <c r="K655" t="n">
        <v>0.3636409594092802</v>
      </c>
      <c r="L655" t="b">
        <v>1</v>
      </c>
      <c r="M655" t="b">
        <v>1</v>
      </c>
      <c r="N655" t="inlineStr">
        <is>
          <t>ref</t>
        </is>
      </c>
      <c r="O655" t="n">
        <v>-35</v>
      </c>
      <c r="P655" t="n">
        <v>0.001436</v>
      </c>
      <c r="Q655" t="n">
        <v>80</v>
      </c>
      <c r="R655" t="n">
        <v>0.079</v>
      </c>
      <c r="S655">
        <f>IMAGE("https://mitra.stanford.edu/kundaje/oak/projects/neuro-variants/variant_position/credible/roussos_2024/variant_figures/roussos_2024.childhood.GABA/rs1942660_count_position.png",4,220,900)</f>
        <v/>
      </c>
      <c r="T655">
        <f>IMAGE("https://mitra.stanford.edu/kundaje/oak/projects/neuro-variants/variant_position/credible/roussos_2024/variant_figures/roussos_2024.childhood.GABA/rs1942660_profile_position.png",4,220,900)</f>
        <v/>
      </c>
    </row>
    <row r="656">
      <c r="A656" t="inlineStr">
        <is>
          <t>chr11</t>
        </is>
      </c>
      <c r="B656" t="n">
        <v>124770773</v>
      </c>
      <c r="C656" t="inlineStr">
        <is>
          <t>T</t>
        </is>
      </c>
      <c r="D656" t="inlineStr">
        <is>
          <t>C</t>
        </is>
      </c>
      <c r="E656" t="inlineStr">
        <is>
          <t>rs6590093</t>
        </is>
      </c>
      <c r="F656" t="n">
        <v>-0.0041301833</v>
      </c>
      <c r="G656" t="n">
        <v>0.84730983124226</v>
      </c>
      <c r="H656" t="n">
        <v>0.025596091814827</v>
      </c>
      <c r="I656" t="n">
        <v>0.0261021274478573</v>
      </c>
      <c r="J656" t="n">
        <v>0.0346872316810118</v>
      </c>
      <c r="K656" t="n">
        <v>0.5837533392660477</v>
      </c>
      <c r="L656" t="b">
        <v>0</v>
      </c>
      <c r="M656" t="b">
        <v>0</v>
      </c>
      <c r="N656" t="inlineStr">
        <is>
          <t>ref</t>
        </is>
      </c>
      <c r="O656" t="n">
        <v>-95</v>
      </c>
      <c r="P656" t="n">
        <v>0.00842</v>
      </c>
      <c r="Q656" t="n">
        <v>-100</v>
      </c>
      <c r="R656" t="n">
        <v>0.197</v>
      </c>
      <c r="S656">
        <f>IMAGE("https://mitra.stanford.edu/kundaje/oak/projects/neuro-variants/variant_position/credible/roussos_2024/variant_figures/roussos_2024.childhood.GABA/rs6590093_count_position.png",4,220,900)</f>
        <v/>
      </c>
      <c r="T656">
        <f>IMAGE("https://mitra.stanford.edu/kundaje/oak/projects/neuro-variants/variant_position/credible/roussos_2024/variant_figures/roussos_2024.childhood.GABA/rs6590093_profile_position.png",4,220,900)</f>
        <v/>
      </c>
    </row>
    <row r="657">
      <c r="A657" t="inlineStr">
        <is>
          <t>chr11</t>
        </is>
      </c>
      <c r="B657" t="n">
        <v>124782170</v>
      </c>
      <c r="C657" t="inlineStr">
        <is>
          <t>A</t>
        </is>
      </c>
      <c r="D657" t="inlineStr">
        <is>
          <t>G</t>
        </is>
      </c>
      <c r="E657" t="inlineStr">
        <is>
          <t>rs11601322</t>
        </is>
      </c>
      <c r="F657" t="n">
        <v>0.09184243139999999</v>
      </c>
      <c r="G657" t="n">
        <v>0.0345916792554501</v>
      </c>
      <c r="H657" t="n">
        <v>0.0142166376408167</v>
      </c>
      <c r="I657" t="n">
        <v>0.2732226653433118</v>
      </c>
      <c r="J657" t="n">
        <v>0.0075663336893467</v>
      </c>
      <c r="K657" t="n">
        <v>0.7708531287174277</v>
      </c>
      <c r="L657" t="b">
        <v>0</v>
      </c>
      <c r="M657" t="b">
        <v>0</v>
      </c>
      <c r="N657" t="inlineStr">
        <is>
          <t>alt</t>
        </is>
      </c>
      <c r="O657" t="n">
        <v>0</v>
      </c>
      <c r="P657" t="n">
        <v>0</v>
      </c>
      <c r="Q657" t="n">
        <v>95</v>
      </c>
      <c r="R657" t="n">
        <v>0.0687</v>
      </c>
      <c r="S657">
        <f>IMAGE("https://mitra.stanford.edu/kundaje/oak/projects/neuro-variants/variant_position/credible/roussos_2024/variant_figures/roussos_2024.childhood.GABA/rs11601322_count_position.png",4,220,900)</f>
        <v/>
      </c>
      <c r="T657">
        <f>IMAGE("https://mitra.stanford.edu/kundaje/oak/projects/neuro-variants/variant_position/credible/roussos_2024/variant_figures/roussos_2024.childhood.GABA/rs11601322_profile_position.png",4,220,900)</f>
        <v/>
      </c>
    </row>
    <row r="658">
      <c r="A658" t="inlineStr">
        <is>
          <t>chr11</t>
        </is>
      </c>
      <c r="B658" t="n">
        <v>126836666</v>
      </c>
      <c r="C658" t="inlineStr">
        <is>
          <t>T</t>
        </is>
      </c>
      <c r="D658" t="inlineStr">
        <is>
          <t>G</t>
        </is>
      </c>
      <c r="E658" t="inlineStr">
        <is>
          <t>rs7938753</t>
        </is>
      </c>
      <c r="F658" t="n">
        <v>-0.0105646845</v>
      </c>
      <c r="G658" t="n">
        <v>0.6271252877078741</v>
      </c>
      <c r="H658" t="n">
        <v>0.0322795916438712</v>
      </c>
      <c r="I658" t="n">
        <v>0.009053397727974</v>
      </c>
      <c r="J658" t="n">
        <v>0.0056668970283344</v>
      </c>
      <c r="K658" t="n">
        <v>0.8047440690114579</v>
      </c>
      <c r="L658" t="b">
        <v>0</v>
      </c>
      <c r="M658" t="b">
        <v>0</v>
      </c>
      <c r="N658" t="inlineStr">
        <is>
          <t>ref</t>
        </is>
      </c>
      <c r="O658" t="n">
        <v>-95</v>
      </c>
      <c r="P658" t="n">
        <v>0.002419</v>
      </c>
      <c r="Q658" t="n">
        <v>80</v>
      </c>
      <c r="R658" t="n">
        <v>0.0712</v>
      </c>
      <c r="S658">
        <f>IMAGE("https://mitra.stanford.edu/kundaje/oak/projects/neuro-variants/variant_position/credible/roussos_2024/variant_figures/roussos_2024.childhood.GABA/rs7938753_count_position.png",4,220,900)</f>
        <v/>
      </c>
      <c r="T658">
        <f>IMAGE("https://mitra.stanford.edu/kundaje/oak/projects/neuro-variants/variant_position/credible/roussos_2024/variant_figures/roussos_2024.childhood.GABA/rs7938753_profile_position.png",4,220,900)</f>
        <v/>
      </c>
    </row>
    <row r="659">
      <c r="A659" t="inlineStr">
        <is>
          <t>chr11</t>
        </is>
      </c>
      <c r="B659" t="n">
        <v>130848319</v>
      </c>
      <c r="C659" t="inlineStr">
        <is>
          <t>T</t>
        </is>
      </c>
      <c r="D659" t="inlineStr">
        <is>
          <t>G</t>
        </is>
      </c>
      <c r="E659" t="inlineStr">
        <is>
          <t>rs35274053</t>
        </is>
      </c>
      <c r="F659" t="n">
        <v>-0.006780280758</v>
      </c>
      <c r="G659" t="n">
        <v>0.7316367295895889</v>
      </c>
      <c r="H659" t="n">
        <v>0.0295007162062791</v>
      </c>
      <c r="I659" t="n">
        <v>0.0134100894949762</v>
      </c>
      <c r="J659" t="n">
        <v>0.0483895625222508</v>
      </c>
      <c r="K659" t="n">
        <v>0.5127296319121954</v>
      </c>
      <c r="L659" t="b">
        <v>1</v>
      </c>
      <c r="M659" t="b">
        <v>0</v>
      </c>
      <c r="N659" t="inlineStr">
        <is>
          <t>ref</t>
        </is>
      </c>
      <c r="O659" t="n">
        <v>-95</v>
      </c>
      <c r="P659" t="n">
        <v>0.012215</v>
      </c>
      <c r="Q659" t="n">
        <v>100</v>
      </c>
      <c r="R659" t="n">
        <v>0.01831</v>
      </c>
      <c r="S659">
        <f>IMAGE("https://mitra.stanford.edu/kundaje/oak/projects/neuro-variants/variant_position/credible/roussos_2024/variant_figures/roussos_2024.childhood.GABA/rs35274053_count_position.png",4,220,900)</f>
        <v/>
      </c>
      <c r="T659">
        <f>IMAGE("https://mitra.stanford.edu/kundaje/oak/projects/neuro-variants/variant_position/credible/roussos_2024/variant_figures/roussos_2024.childhood.GABA/rs35274053_profile_position.png",4,220,900)</f>
        <v/>
      </c>
    </row>
    <row r="660">
      <c r="A660" t="inlineStr">
        <is>
          <t>chr11</t>
        </is>
      </c>
      <c r="B660" t="n">
        <v>130875082</v>
      </c>
      <c r="C660" t="inlineStr">
        <is>
          <t>G</t>
        </is>
      </c>
      <c r="D660" t="inlineStr">
        <is>
          <t>A</t>
        </is>
      </c>
      <c r="E660" t="inlineStr">
        <is>
          <t>rs10791102</t>
        </is>
      </c>
      <c r="F660" t="n">
        <v>0.01217776718</v>
      </c>
      <c r="G660" t="n">
        <v>0.5141435807453062</v>
      </c>
      <c r="H660" t="n">
        <v>0.009085819381746499</v>
      </c>
      <c r="I660" t="n">
        <v>0.7280500699681777</v>
      </c>
      <c r="J660" t="n">
        <v>0.06451278507256381</v>
      </c>
      <c r="K660" t="n">
        <v>0.4483031574549077</v>
      </c>
      <c r="L660" t="b">
        <v>0</v>
      </c>
      <c r="M660" t="b">
        <v>0</v>
      </c>
      <c r="N660" t="inlineStr">
        <is>
          <t>alt</t>
        </is>
      </c>
      <c r="O660" t="n">
        <v>-15</v>
      </c>
      <c r="P660" t="n">
        <v>0.001502</v>
      </c>
      <c r="Q660" t="n">
        <v>75</v>
      </c>
      <c r="R660" t="n">
        <v>0.02527</v>
      </c>
      <c r="S660">
        <f>IMAGE("https://mitra.stanford.edu/kundaje/oak/projects/neuro-variants/variant_position/credible/roussos_2024/variant_figures/roussos_2024.childhood.GABA/rs10791102_count_position.png",4,220,900)</f>
        <v/>
      </c>
      <c r="T660">
        <f>IMAGE("https://mitra.stanford.edu/kundaje/oak/projects/neuro-variants/variant_position/credible/roussos_2024/variant_figures/roussos_2024.childhood.GABA/rs10791102_profile_position.png",4,220,900)</f>
        <v/>
      </c>
    </row>
    <row r="661">
      <c r="A661" t="inlineStr">
        <is>
          <t>chr11</t>
        </is>
      </c>
      <c r="B661" t="n">
        <v>130926783</v>
      </c>
      <c r="C661" t="inlineStr">
        <is>
          <t>C</t>
        </is>
      </c>
      <c r="D661" t="inlineStr">
        <is>
          <t>T</t>
        </is>
      </c>
      <c r="E661" t="inlineStr">
        <is>
          <t>rs10894286</t>
        </is>
      </c>
      <c r="F661" t="n">
        <v>-0.0448238101999999</v>
      </c>
      <c r="G661" t="n">
        <v>0.1761150208968308</v>
      </c>
      <c r="H661" t="n">
        <v>0.0130022463146528</v>
      </c>
      <c r="I661" t="n">
        <v>0.3569261881864153</v>
      </c>
      <c r="J661" t="n">
        <v>0.1452011476199451</v>
      </c>
      <c r="K661" t="n">
        <v>0.2932952183413993</v>
      </c>
      <c r="L661" t="b">
        <v>0</v>
      </c>
      <c r="M661" t="b">
        <v>0</v>
      </c>
      <c r="N661" t="inlineStr">
        <is>
          <t>ref</t>
        </is>
      </c>
      <c r="O661" t="n">
        <v>55</v>
      </c>
      <c r="P661" t="n">
        <v>0.009155</v>
      </c>
      <c r="Q661" t="n">
        <v>90</v>
      </c>
      <c r="R661" t="n">
        <v>0.0866</v>
      </c>
      <c r="S661">
        <f>IMAGE("https://mitra.stanford.edu/kundaje/oak/projects/neuro-variants/variant_position/credible/roussos_2024/variant_figures/roussos_2024.childhood.GABA/rs10894286_count_position.png",4,220,900)</f>
        <v/>
      </c>
      <c r="T661">
        <f>IMAGE("https://mitra.stanford.edu/kundaje/oak/projects/neuro-variants/variant_position/credible/roussos_2024/variant_figures/roussos_2024.childhood.GABA/rs10894286_profile_position.png",4,220,900)</f>
        <v/>
      </c>
    </row>
    <row r="662">
      <c r="A662" t="inlineStr">
        <is>
          <t>chr11</t>
        </is>
      </c>
      <c r="B662" t="n">
        <v>130944198</v>
      </c>
      <c r="C662" t="inlineStr">
        <is>
          <t>A</t>
        </is>
      </c>
      <c r="D662" t="inlineStr">
        <is>
          <t>G</t>
        </is>
      </c>
      <c r="E662" t="inlineStr">
        <is>
          <t>rs11222406</t>
        </is>
      </c>
      <c r="F662" t="n">
        <v>-0.102671438</v>
      </c>
      <c r="G662" t="n">
        <v>0.0314047206586537</v>
      </c>
      <c r="H662" t="n">
        <v>0.0277322464029373</v>
      </c>
      <c r="I662" t="n">
        <v>0.0190251071163907</v>
      </c>
      <c r="J662" t="n">
        <v>0.0583390923750287</v>
      </c>
      <c r="K662" t="n">
        <v>0.4655438472299006</v>
      </c>
      <c r="L662" t="b">
        <v>1</v>
      </c>
      <c r="M662" t="b">
        <v>0</v>
      </c>
      <c r="N662" t="inlineStr">
        <is>
          <t>ref</t>
        </is>
      </c>
      <c r="O662" t="n">
        <v>-95</v>
      </c>
      <c r="P662" t="n">
        <v>0.008399999999999999</v>
      </c>
      <c r="Q662" t="n">
        <v>-90</v>
      </c>
      <c r="R662" t="n">
        <v>0.03137</v>
      </c>
      <c r="S662">
        <f>IMAGE("https://mitra.stanford.edu/kundaje/oak/projects/neuro-variants/variant_position/credible/roussos_2024/variant_figures/roussos_2024.childhood.GABA/rs11222406_count_position.png",4,220,900)</f>
        <v/>
      </c>
      <c r="T662">
        <f>IMAGE("https://mitra.stanford.edu/kundaje/oak/projects/neuro-variants/variant_position/credible/roussos_2024/variant_figures/roussos_2024.childhood.GABA/rs11222406_profile_position.png",4,220,900)</f>
        <v/>
      </c>
    </row>
    <row r="663">
      <c r="A663" t="inlineStr">
        <is>
          <t>chr11</t>
        </is>
      </c>
      <c r="B663" t="n">
        <v>131006455</v>
      </c>
      <c r="C663" t="inlineStr">
        <is>
          <t>G</t>
        </is>
      </c>
      <c r="D663" t="inlineStr">
        <is>
          <t>A</t>
        </is>
      </c>
      <c r="E663" t="inlineStr">
        <is>
          <t>rs10894307</t>
        </is>
      </c>
      <c r="F663" t="n">
        <v>0.0012015329999999</v>
      </c>
      <c r="G663" t="n">
        <v>0.5993335535484202</v>
      </c>
      <c r="H663" t="n">
        <v>0.0229397060632897</v>
      </c>
      <c r="I663" t="n">
        <v>0.0415973807707788</v>
      </c>
      <c r="J663" t="n">
        <v>0.0026020397478586</v>
      </c>
      <c r="K663" t="n">
        <v>0.8595401691466937</v>
      </c>
      <c r="L663" t="b">
        <v>0</v>
      </c>
      <c r="M663" t="b">
        <v>0</v>
      </c>
      <c r="N663" t="inlineStr">
        <is>
          <t>alt</t>
        </is>
      </c>
      <c r="O663" t="n">
        <v>35</v>
      </c>
      <c r="P663" t="n">
        <v>0.003136</v>
      </c>
      <c r="Q663" t="n">
        <v>-35</v>
      </c>
      <c r="R663" t="n">
        <v>0.01381</v>
      </c>
      <c r="S663">
        <f>IMAGE("https://mitra.stanford.edu/kundaje/oak/projects/neuro-variants/variant_position/credible/roussos_2024/variant_figures/roussos_2024.childhood.GABA/rs10894307_count_position.png",4,220,900)</f>
        <v/>
      </c>
      <c r="T663">
        <f>IMAGE("https://mitra.stanford.edu/kundaje/oak/projects/neuro-variants/variant_position/credible/roussos_2024/variant_figures/roussos_2024.childhood.GABA/rs10894307_profile_position.png",4,220,900)</f>
        <v/>
      </c>
    </row>
    <row r="664">
      <c r="A664" t="inlineStr">
        <is>
          <t>chr11</t>
        </is>
      </c>
      <c r="B664" t="n">
        <v>131022000</v>
      </c>
      <c r="C664" t="inlineStr">
        <is>
          <t>G</t>
        </is>
      </c>
      <c r="D664" t="inlineStr">
        <is>
          <t>A</t>
        </is>
      </c>
      <c r="E664" t="inlineStr">
        <is>
          <t>rs10894308</t>
        </is>
      </c>
      <c r="F664" t="n">
        <v>-0.0375544218</v>
      </c>
      <c r="G664" t="n">
        <v>0.2228479032681556</v>
      </c>
      <c r="H664" t="n">
        <v>0.017654251635077</v>
      </c>
      <c r="I664" t="n">
        <v>0.1232230407012358</v>
      </c>
      <c r="J664" t="n">
        <v>9.109756863726705e-05</v>
      </c>
      <c r="K664" t="n">
        <v>0.9787111250728638</v>
      </c>
      <c r="L664" t="b">
        <v>0</v>
      </c>
      <c r="M664" t="b">
        <v>0</v>
      </c>
      <c r="N664" t="inlineStr">
        <is>
          <t>ref</t>
        </is>
      </c>
      <c r="O664" t="n">
        <v>95</v>
      </c>
      <c r="P664" t="n">
        <v>0.01468</v>
      </c>
      <c r="Q664" t="n">
        <v>-100</v>
      </c>
      <c r="R664" t="n">
        <v>0.0509</v>
      </c>
      <c r="S664">
        <f>IMAGE("https://mitra.stanford.edu/kundaje/oak/projects/neuro-variants/variant_position/credible/roussos_2024/variant_figures/roussos_2024.childhood.GABA/rs10894308_count_position.png",4,220,900)</f>
        <v/>
      </c>
      <c r="T664">
        <f>IMAGE("https://mitra.stanford.edu/kundaje/oak/projects/neuro-variants/variant_position/credible/roussos_2024/variant_figures/roussos_2024.childhood.GABA/rs10894308_profile_position.png",4,220,900)</f>
        <v/>
      </c>
    </row>
    <row r="665">
      <c r="A665" t="inlineStr">
        <is>
          <t>chr11</t>
        </is>
      </c>
      <c r="B665" t="n">
        <v>131287818</v>
      </c>
      <c r="C665" t="inlineStr">
        <is>
          <t>G</t>
        </is>
      </c>
      <c r="D665" t="inlineStr">
        <is>
          <t>A</t>
        </is>
      </c>
      <c r="E665" t="inlineStr">
        <is>
          <t>rs74349870</t>
        </is>
      </c>
      <c r="F665" t="n">
        <v>-0.0798504828</v>
      </c>
      <c r="G665" t="n">
        <v>0.0514530678195166</v>
      </c>
      <c r="H665" t="n">
        <v>0.017286321205274</v>
      </c>
      <c r="I665" t="n">
        <v>0.1373477128196148</v>
      </c>
      <c r="J665" t="n">
        <v>0.0155410357898263</v>
      </c>
      <c r="K665" t="n">
        <v>0.6845374589789295</v>
      </c>
      <c r="L665" t="b">
        <v>0</v>
      </c>
      <c r="M665" t="b">
        <v>0</v>
      </c>
      <c r="N665" t="inlineStr">
        <is>
          <t>ref</t>
        </is>
      </c>
      <c r="O665" t="n">
        <v>95</v>
      </c>
      <c r="P665" t="n">
        <v>0.00233</v>
      </c>
      <c r="Q665" t="n">
        <v>85</v>
      </c>
      <c r="R665" t="n">
        <v>0.0337</v>
      </c>
      <c r="S665">
        <f>IMAGE("https://mitra.stanford.edu/kundaje/oak/projects/neuro-variants/variant_position/credible/roussos_2024/variant_figures/roussos_2024.childhood.GABA/rs74349870_count_position.png",4,220,900)</f>
        <v/>
      </c>
      <c r="T665">
        <f>IMAGE("https://mitra.stanford.edu/kundaje/oak/projects/neuro-variants/variant_position/credible/roussos_2024/variant_figures/roussos_2024.childhood.GABA/rs74349870_profile_position.png",4,220,900)</f>
        <v/>
      </c>
    </row>
    <row r="666">
      <c r="A666" t="inlineStr">
        <is>
          <t>chr11</t>
        </is>
      </c>
      <c r="B666" t="n">
        <v>131509057</v>
      </c>
      <c r="C666" t="inlineStr">
        <is>
          <t>A</t>
        </is>
      </c>
      <c r="D666" t="inlineStr">
        <is>
          <t>T</t>
        </is>
      </c>
      <c r="E666" t="inlineStr">
        <is>
          <t>rs540409</t>
        </is>
      </c>
      <c r="F666" t="n">
        <v>-0.00219132191</v>
      </c>
      <c r="G666" t="n">
        <v>0.8999614874755298</v>
      </c>
      <c r="H666" t="n">
        <v>0.0258357239907196</v>
      </c>
      <c r="I666" t="n">
        <v>0.0244780154517801</v>
      </c>
      <c r="J666" t="n">
        <v>0.0263868819501161</v>
      </c>
      <c r="K666" t="n">
        <v>0.6257849237026265</v>
      </c>
      <c r="L666" t="b">
        <v>0</v>
      </c>
      <c r="M666" t="b">
        <v>0</v>
      </c>
      <c r="N666" t="inlineStr">
        <is>
          <t>ref</t>
        </is>
      </c>
      <c r="O666" t="n">
        <v>-75</v>
      </c>
      <c r="P666" t="n">
        <v>0.003235</v>
      </c>
      <c r="Q666" t="n">
        <v>-70</v>
      </c>
      <c r="R666" t="n">
        <v>0.09485</v>
      </c>
      <c r="S666">
        <f>IMAGE("https://mitra.stanford.edu/kundaje/oak/projects/neuro-variants/variant_position/credible/roussos_2024/variant_figures/roussos_2024.childhood.GABA/rs540409_count_position.png",4,220,900)</f>
        <v/>
      </c>
      <c r="T666">
        <f>IMAGE("https://mitra.stanford.edu/kundaje/oak/projects/neuro-variants/variant_position/credible/roussos_2024/variant_figures/roussos_2024.childhood.GABA/rs540409_profile_position.png",4,220,900)</f>
        <v/>
      </c>
    </row>
    <row r="667">
      <c r="A667" t="inlineStr">
        <is>
          <t>chr11</t>
        </is>
      </c>
      <c r="B667" t="n">
        <v>131511160</v>
      </c>
      <c r="C667" t="inlineStr">
        <is>
          <t>C</t>
        </is>
      </c>
      <c r="D667" t="inlineStr">
        <is>
          <t>T</t>
        </is>
      </c>
      <c r="E667" t="inlineStr">
        <is>
          <t>rs407056</t>
        </is>
      </c>
      <c r="F667" t="n">
        <v>-0.0154406174</v>
      </c>
      <c r="G667" t="n">
        <v>0.5059477143003928</v>
      </c>
      <c r="H667" t="n">
        <v>0.0121580102744052</v>
      </c>
      <c r="I667" t="n">
        <v>0.4264756101263343</v>
      </c>
      <c r="J667" t="n">
        <v>0.253067998575946</v>
      </c>
      <c r="K667" t="n">
        <v>0.1725385532375409</v>
      </c>
      <c r="L667" t="b">
        <v>0</v>
      </c>
      <c r="M667" t="b">
        <v>0</v>
      </c>
      <c r="N667" t="inlineStr">
        <is>
          <t>ref</t>
        </is>
      </c>
      <c r="O667" t="n">
        <v>-20</v>
      </c>
      <c r="P667" t="n">
        <v>0.0004625</v>
      </c>
      <c r="Q667" t="n">
        <v>95</v>
      </c>
      <c r="R667" t="n">
        <v>0.012955</v>
      </c>
      <c r="S667">
        <f>IMAGE("https://mitra.stanford.edu/kundaje/oak/projects/neuro-variants/variant_position/credible/roussos_2024/variant_figures/roussos_2024.childhood.GABA/rs407056_count_position.png",4,220,900)</f>
        <v/>
      </c>
      <c r="T667">
        <f>IMAGE("https://mitra.stanford.edu/kundaje/oak/projects/neuro-variants/variant_position/credible/roussos_2024/variant_figures/roussos_2024.childhood.GABA/rs407056_profile_position.png",4,220,900)</f>
        <v/>
      </c>
    </row>
    <row r="668">
      <c r="A668" t="inlineStr">
        <is>
          <t>chr11</t>
        </is>
      </c>
      <c r="B668" t="n">
        <v>131511952</v>
      </c>
      <c r="C668" t="inlineStr">
        <is>
          <t>T</t>
        </is>
      </c>
      <c r="D668" t="inlineStr">
        <is>
          <t>C</t>
        </is>
      </c>
      <c r="E668" t="inlineStr">
        <is>
          <t>rs408376</t>
        </is>
      </c>
      <c r="F668" t="n">
        <v>0.08931605400000001</v>
      </c>
      <c r="G668" t="n">
        <v>0.0392435649668673</v>
      </c>
      <c r="H668" t="n">
        <v>0.0184238765856213</v>
      </c>
      <c r="I668" t="n">
        <v>0.10680322304172</v>
      </c>
      <c r="J668" t="n">
        <v>0.5309689849427237</v>
      </c>
      <c r="K668" t="n">
        <v>0.0428934883891884</v>
      </c>
      <c r="L668" t="b">
        <v>0</v>
      </c>
      <c r="M668" t="b">
        <v>0</v>
      </c>
      <c r="N668" t="inlineStr">
        <is>
          <t>alt</t>
        </is>
      </c>
      <c r="O668" t="n">
        <v>-50</v>
      </c>
      <c r="P668" t="n">
        <v>0.010254</v>
      </c>
      <c r="Q668" t="n">
        <v>-45</v>
      </c>
      <c r="R668" t="n">
        <v>0.0718</v>
      </c>
      <c r="S668">
        <f>IMAGE("https://mitra.stanford.edu/kundaje/oak/projects/neuro-variants/variant_position/credible/roussos_2024/variant_figures/roussos_2024.childhood.GABA/rs408376_count_position.png",4,220,900)</f>
        <v/>
      </c>
      <c r="T668">
        <f>IMAGE("https://mitra.stanford.edu/kundaje/oak/projects/neuro-variants/variant_position/credible/roussos_2024/variant_figures/roussos_2024.childhood.GABA/rs408376_profile_position.png",4,220,900)</f>
        <v/>
      </c>
    </row>
    <row r="669">
      <c r="A669" t="inlineStr">
        <is>
          <t>chr11</t>
        </is>
      </c>
      <c r="B669" t="n">
        <v>131521018</v>
      </c>
      <c r="C669" t="inlineStr">
        <is>
          <t>A</t>
        </is>
      </c>
      <c r="D669" t="inlineStr">
        <is>
          <t>G</t>
        </is>
      </c>
      <c r="E669" t="inlineStr">
        <is>
          <t>rs12279734</t>
        </is>
      </c>
      <c r="F669" t="n">
        <v>0.00360930152</v>
      </c>
      <c r="G669" t="n">
        <v>0.7793775272989506</v>
      </c>
      <c r="H669" t="n">
        <v>0.006966238099041</v>
      </c>
      <c r="I669" t="n">
        <v>0.9428655893596132</v>
      </c>
      <c r="J669" t="n">
        <v>0.0760497162363091</v>
      </c>
      <c r="K669" t="n">
        <v>0.4226037832956251</v>
      </c>
      <c r="L669" t="b">
        <v>0</v>
      </c>
      <c r="M669" t="b">
        <v>0</v>
      </c>
      <c r="N669" t="inlineStr">
        <is>
          <t>alt</t>
        </is>
      </c>
      <c r="O669" t="n">
        <v>100</v>
      </c>
      <c r="P669" t="n">
        <v>0.003677</v>
      </c>
      <c r="Q669" t="n">
        <v>-20</v>
      </c>
      <c r="R669" t="n">
        <v>0.0832</v>
      </c>
      <c r="S669">
        <f>IMAGE("https://mitra.stanford.edu/kundaje/oak/projects/neuro-variants/variant_position/credible/roussos_2024/variant_figures/roussos_2024.childhood.GABA/rs12279734_count_position.png",4,220,900)</f>
        <v/>
      </c>
      <c r="T669">
        <f>IMAGE("https://mitra.stanford.edu/kundaje/oak/projects/neuro-variants/variant_position/credible/roussos_2024/variant_figures/roussos_2024.childhood.GABA/rs12279734_profile_position.png",4,220,900)</f>
        <v/>
      </c>
    </row>
    <row r="670">
      <c r="A670" t="inlineStr">
        <is>
          <t>chr11</t>
        </is>
      </c>
      <c r="B670" t="n">
        <v>131525093</v>
      </c>
      <c r="C670" t="inlineStr">
        <is>
          <t>T</t>
        </is>
      </c>
      <c r="D670" t="inlineStr">
        <is>
          <t>G</t>
        </is>
      </c>
      <c r="E670" t="inlineStr">
        <is>
          <t>rs401560</t>
        </is>
      </c>
      <c r="F670" t="n">
        <v>0.06465829299999989</v>
      </c>
      <c r="G670" t="n">
        <v>0.0838923875173741</v>
      </c>
      <c r="H670" t="n">
        <v>0.0135767492888289</v>
      </c>
      <c r="I670" t="n">
        <v>0.3103949127548485</v>
      </c>
      <c r="J670" t="n">
        <v>0.301060710770455</v>
      </c>
      <c r="K670" t="n">
        <v>0.1368951650542935</v>
      </c>
      <c r="L670" t="b">
        <v>0</v>
      </c>
      <c r="M670" t="b">
        <v>0</v>
      </c>
      <c r="N670" t="inlineStr">
        <is>
          <t>alt</t>
        </is>
      </c>
      <c r="O670" t="n">
        <v>100</v>
      </c>
      <c r="P670" t="n">
        <v>0.007713</v>
      </c>
      <c r="Q670" t="n">
        <v>100</v>
      </c>
      <c r="R670" t="n">
        <v>0.29</v>
      </c>
      <c r="S670">
        <f>IMAGE("https://mitra.stanford.edu/kundaje/oak/projects/neuro-variants/variant_position/credible/roussos_2024/variant_figures/roussos_2024.childhood.GABA/rs401560_count_position.png",4,220,900)</f>
        <v/>
      </c>
      <c r="T670">
        <f>IMAGE("https://mitra.stanford.edu/kundaje/oak/projects/neuro-variants/variant_position/credible/roussos_2024/variant_figures/roussos_2024.childhood.GABA/rs401560_profile_position.png",4,220,900)</f>
        <v/>
      </c>
    </row>
    <row r="671">
      <c r="A671" t="inlineStr">
        <is>
          <t>chr11</t>
        </is>
      </c>
      <c r="B671" t="n">
        <v>131525401</v>
      </c>
      <c r="C671" t="inlineStr">
        <is>
          <t>C</t>
        </is>
      </c>
      <c r="D671" t="inlineStr">
        <is>
          <t>T</t>
        </is>
      </c>
      <c r="E671" t="inlineStr">
        <is>
          <t>rs390812</t>
        </is>
      </c>
      <c r="F671" t="n">
        <v>-0.201151908</v>
      </c>
      <c r="G671" t="n">
        <v>0.0045457845239167</v>
      </c>
      <c r="H671" t="n">
        <v>0.036792323273156</v>
      </c>
      <c r="I671" t="n">
        <v>0.0056160014297001</v>
      </c>
      <c r="J671" t="n">
        <v>0.2888766727398378</v>
      </c>
      <c r="K671" t="n">
        <v>0.1454439415451467</v>
      </c>
      <c r="L671" t="b">
        <v>1</v>
      </c>
      <c r="M671" t="b">
        <v>1</v>
      </c>
      <c r="N671" t="inlineStr">
        <is>
          <t>ref</t>
        </is>
      </c>
      <c r="O671" t="n">
        <v>95</v>
      </c>
      <c r="P671" t="n">
        <v>0.01474</v>
      </c>
      <c r="Q671" t="n">
        <v>-100</v>
      </c>
      <c r="R671" t="n">
        <v>0.03784</v>
      </c>
      <c r="S671">
        <f>IMAGE("https://mitra.stanford.edu/kundaje/oak/projects/neuro-variants/variant_position/credible/roussos_2024/variant_figures/roussos_2024.childhood.GABA/rs390812_count_position.png",4,220,900)</f>
        <v/>
      </c>
      <c r="T671">
        <f>IMAGE("https://mitra.stanford.edu/kundaje/oak/projects/neuro-variants/variant_position/credible/roussos_2024/variant_figures/roussos_2024.childhood.GABA/rs390812_profile_position.png",4,220,900)</f>
        <v/>
      </c>
    </row>
    <row r="672">
      <c r="A672" t="inlineStr">
        <is>
          <t>chr11</t>
        </is>
      </c>
      <c r="B672" t="n">
        <v>131525893</v>
      </c>
      <c r="C672" t="inlineStr">
        <is>
          <t>G</t>
        </is>
      </c>
      <c r="D672" t="inlineStr">
        <is>
          <t>A</t>
        </is>
      </c>
      <c r="E672" t="inlineStr">
        <is>
          <t>rs378523</t>
        </is>
      </c>
      <c r="F672" t="n">
        <v>0.0141760674</v>
      </c>
      <c r="G672" t="n">
        <v>0.513072095231156</v>
      </c>
      <c r="H672" t="n">
        <v>0.0223075234093844</v>
      </c>
      <c r="I672" t="n">
        <v>0.0466735119031326</v>
      </c>
      <c r="J672" t="n">
        <v>0.1402892086029611</v>
      </c>
      <c r="K672" t="n">
        <v>0.2978525248530578</v>
      </c>
      <c r="L672" t="b">
        <v>0</v>
      </c>
      <c r="M672" t="b">
        <v>0</v>
      </c>
      <c r="N672" t="inlineStr">
        <is>
          <t>alt</t>
        </is>
      </c>
      <c r="O672" t="n">
        <v>-100</v>
      </c>
      <c r="P672" t="n">
        <v>0.00319</v>
      </c>
      <c r="Q672" t="n">
        <v>80</v>
      </c>
      <c r="R672" t="n">
        <v>0.0354</v>
      </c>
      <c r="S672">
        <f>IMAGE("https://mitra.stanford.edu/kundaje/oak/projects/neuro-variants/variant_position/credible/roussos_2024/variant_figures/roussos_2024.childhood.GABA/rs378523_count_position.png",4,220,900)</f>
        <v/>
      </c>
      <c r="T672">
        <f>IMAGE("https://mitra.stanford.edu/kundaje/oak/projects/neuro-variants/variant_position/credible/roussos_2024/variant_figures/roussos_2024.childhood.GABA/rs378523_profile_position.png",4,220,900)</f>
        <v/>
      </c>
    </row>
    <row r="673">
      <c r="A673" t="inlineStr">
        <is>
          <t>chr11</t>
        </is>
      </c>
      <c r="B673" t="n">
        <v>131525976</v>
      </c>
      <c r="C673" t="inlineStr">
        <is>
          <t>C</t>
        </is>
      </c>
      <c r="D673" t="inlineStr">
        <is>
          <t>G</t>
        </is>
      </c>
      <c r="E673" t="inlineStr">
        <is>
          <t>rs451456</t>
        </is>
      </c>
      <c r="F673" t="n">
        <v>0.0953034294</v>
      </c>
      <c r="G673" t="n">
        <v>0.035720156479858</v>
      </c>
      <c r="H673" t="n">
        <v>0.0237934231680544</v>
      </c>
      <c r="I673" t="n">
        <v>0.0370360534200913</v>
      </c>
      <c r="J673" t="n">
        <v>0.1286234843249355</v>
      </c>
      <c r="K673" t="n">
        <v>0.3148534291940212</v>
      </c>
      <c r="L673" t="b">
        <v>0</v>
      </c>
      <c r="M673" t="b">
        <v>0</v>
      </c>
      <c r="N673" t="inlineStr">
        <is>
          <t>alt</t>
        </is>
      </c>
      <c r="O673" t="n">
        <v>80</v>
      </c>
      <c r="P673" t="n">
        <v>0.0046</v>
      </c>
      <c r="Q673" t="n">
        <v>-65</v>
      </c>
      <c r="R673" t="n">
        <v>0.0184</v>
      </c>
      <c r="S673">
        <f>IMAGE("https://mitra.stanford.edu/kundaje/oak/projects/neuro-variants/variant_position/credible/roussos_2024/variant_figures/roussos_2024.childhood.GABA/rs451456_count_position.png",4,220,900)</f>
        <v/>
      </c>
      <c r="T673">
        <f>IMAGE("https://mitra.stanford.edu/kundaje/oak/projects/neuro-variants/variant_position/credible/roussos_2024/variant_figures/roussos_2024.childhood.GABA/rs451456_profile_position.png",4,220,900)</f>
        <v/>
      </c>
    </row>
    <row r="674">
      <c r="A674" t="inlineStr">
        <is>
          <t>chr11</t>
        </is>
      </c>
      <c r="B674" t="n">
        <v>131526164</v>
      </c>
      <c r="C674" t="inlineStr">
        <is>
          <t>T</t>
        </is>
      </c>
      <c r="D674" t="inlineStr">
        <is>
          <t>A</t>
        </is>
      </c>
      <c r="E674" t="inlineStr">
        <is>
          <t>rs405479</t>
        </is>
      </c>
      <c r="F674" t="n">
        <v>0.0171302122</v>
      </c>
      <c r="G674" t="n">
        <v>0.456705115118748</v>
      </c>
      <c r="H674" t="n">
        <v>0.0110554956093019</v>
      </c>
      <c r="I674" t="n">
        <v>0.5240096501409682</v>
      </c>
      <c r="J674" t="n">
        <v>0.0602741303847039</v>
      </c>
      <c r="K674" t="n">
        <v>0.4789729492330492</v>
      </c>
      <c r="L674" t="b">
        <v>0</v>
      </c>
      <c r="M674" t="b">
        <v>0</v>
      </c>
      <c r="N674" t="inlineStr">
        <is>
          <t>alt</t>
        </is>
      </c>
      <c r="O674" t="n">
        <v>-30</v>
      </c>
      <c r="P674" t="n">
        <v>0.001749</v>
      </c>
      <c r="Q674" t="n">
        <v>-50</v>
      </c>
      <c r="R674" t="n">
        <v>0.0321</v>
      </c>
      <c r="S674">
        <f>IMAGE("https://mitra.stanford.edu/kundaje/oak/projects/neuro-variants/variant_position/credible/roussos_2024/variant_figures/roussos_2024.childhood.GABA/rs405479_count_position.png",4,220,900)</f>
        <v/>
      </c>
      <c r="T674">
        <f>IMAGE("https://mitra.stanford.edu/kundaje/oak/projects/neuro-variants/variant_position/credible/roussos_2024/variant_figures/roussos_2024.childhood.GABA/rs405479_profile_position.png",4,220,900)</f>
        <v/>
      </c>
    </row>
    <row r="675">
      <c r="A675" t="inlineStr">
        <is>
          <t>chr11</t>
        </is>
      </c>
      <c r="B675" t="n">
        <v>131526874</v>
      </c>
      <c r="C675" t="inlineStr">
        <is>
          <t>T</t>
        </is>
      </c>
      <c r="D675" t="inlineStr">
        <is>
          <t>A</t>
        </is>
      </c>
      <c r="E675" t="inlineStr">
        <is>
          <t>rs426913</t>
        </is>
      </c>
      <c r="F675" t="n">
        <v>-0.00627923836</v>
      </c>
      <c r="G675" t="n">
        <v>0.7514199789231393</v>
      </c>
      <c r="H675" t="n">
        <v>0.0223774041966772</v>
      </c>
      <c r="I675" t="n">
        <v>0.0462757806399017</v>
      </c>
      <c r="J675" t="n">
        <v>0.0450440828464325</v>
      </c>
      <c r="K675" t="n">
        <v>0.5349042557605526</v>
      </c>
      <c r="L675" t="b">
        <v>0</v>
      </c>
      <c r="M675" t="b">
        <v>0</v>
      </c>
      <c r="N675" t="inlineStr">
        <is>
          <t>ref</t>
        </is>
      </c>
      <c r="O675" t="n">
        <v>15</v>
      </c>
      <c r="P675" t="n">
        <v>0.001465</v>
      </c>
      <c r="Q675" t="n">
        <v>55</v>
      </c>
      <c r="R675" t="n">
        <v>0.1078</v>
      </c>
      <c r="S675">
        <f>IMAGE("https://mitra.stanford.edu/kundaje/oak/projects/neuro-variants/variant_position/credible/roussos_2024/variant_figures/roussos_2024.childhood.GABA/rs426913_count_position.png",4,220,900)</f>
        <v/>
      </c>
      <c r="T675">
        <f>IMAGE("https://mitra.stanford.edu/kundaje/oak/projects/neuro-variants/variant_position/credible/roussos_2024/variant_figures/roussos_2024.childhood.GABA/rs426913_profile_position.png",4,220,900)</f>
        <v/>
      </c>
    </row>
    <row r="676">
      <c r="A676" t="inlineStr">
        <is>
          <t>chr11</t>
        </is>
      </c>
      <c r="B676" t="n">
        <v>132507166</v>
      </c>
      <c r="C676" t="inlineStr">
        <is>
          <t>C</t>
        </is>
      </c>
      <c r="D676" t="inlineStr">
        <is>
          <t>T</t>
        </is>
      </c>
      <c r="E676" t="inlineStr">
        <is>
          <t>rs7119976</t>
        </is>
      </c>
      <c r="F676" t="n">
        <v>0.000360902668</v>
      </c>
      <c r="G676" t="n">
        <v>0.8607937216640313</v>
      </c>
      <c r="H676" t="n">
        <v>0.0210961527164945</v>
      </c>
      <c r="I676" t="n">
        <v>0.0594955274780202</v>
      </c>
      <c r="J676" t="n">
        <v>0.0030910347427278</v>
      </c>
      <c r="K676" t="n">
        <v>0.8538555141284396</v>
      </c>
      <c r="L676" t="b">
        <v>0</v>
      </c>
      <c r="M676" t="b">
        <v>0</v>
      </c>
      <c r="N676" t="inlineStr">
        <is>
          <t>alt</t>
        </is>
      </c>
      <c r="O676" t="n">
        <v>-75</v>
      </c>
      <c r="P676" t="n">
        <v>0.009509999999999999</v>
      </c>
      <c r="Q676" t="n">
        <v>55</v>
      </c>
      <c r="R676" t="n">
        <v>0.1257</v>
      </c>
      <c r="S676">
        <f>IMAGE("https://mitra.stanford.edu/kundaje/oak/projects/neuro-variants/variant_position/credible/roussos_2024/variant_figures/roussos_2024.childhood.GABA/rs7119976_count_position.png",4,220,900)</f>
        <v/>
      </c>
      <c r="T676">
        <f>IMAGE("https://mitra.stanford.edu/kundaje/oak/projects/neuro-variants/variant_position/credible/roussos_2024/variant_figures/roussos_2024.childhood.GABA/rs7119976_profile_position.png",4,220,900)</f>
        <v/>
      </c>
    </row>
    <row r="677">
      <c r="A677" t="inlineStr">
        <is>
          <t>chr11</t>
        </is>
      </c>
      <c r="B677" t="n">
        <v>132511185</v>
      </c>
      <c r="C677" t="inlineStr">
        <is>
          <t>A</t>
        </is>
      </c>
      <c r="D677" t="inlineStr">
        <is>
          <t>G</t>
        </is>
      </c>
      <c r="E677" t="inlineStr">
        <is>
          <t>rs7106636</t>
        </is>
      </c>
      <c r="F677" t="n">
        <v>0.00145545392</v>
      </c>
      <c r="G677" t="n">
        <v>0.7172449381544138</v>
      </c>
      <c r="H677" t="n">
        <v>0.0175940838101916</v>
      </c>
      <c r="I677" t="n">
        <v>0.1265333972883498</v>
      </c>
      <c r="J677" t="n">
        <v>0.0018784946912106</v>
      </c>
      <c r="K677" t="n">
        <v>0.8998330947747303</v>
      </c>
      <c r="L677" t="b">
        <v>0</v>
      </c>
      <c r="M677" t="b">
        <v>0</v>
      </c>
      <c r="N677" t="inlineStr">
        <is>
          <t>alt</t>
        </is>
      </c>
      <c r="O677" t="n">
        <v>95</v>
      </c>
      <c r="P677" t="n">
        <v>0.00433</v>
      </c>
      <c r="Q677" t="n">
        <v>100</v>
      </c>
      <c r="R677" t="n">
        <v>0.05103</v>
      </c>
      <c r="S677">
        <f>IMAGE("https://mitra.stanford.edu/kundaje/oak/projects/neuro-variants/variant_position/credible/roussos_2024/variant_figures/roussos_2024.childhood.GABA/rs7106636_count_position.png",4,220,900)</f>
        <v/>
      </c>
      <c r="T677">
        <f>IMAGE("https://mitra.stanford.edu/kundaje/oak/projects/neuro-variants/variant_position/credible/roussos_2024/variant_figures/roussos_2024.childhood.GABA/rs7106636_profile_position.png",4,220,900)</f>
        <v/>
      </c>
    </row>
    <row r="678">
      <c r="A678" t="inlineStr">
        <is>
          <t>chr11</t>
        </is>
      </c>
      <c r="B678" t="n">
        <v>132511627</v>
      </c>
      <c r="C678" t="inlineStr">
        <is>
          <t>G</t>
        </is>
      </c>
      <c r="D678" t="inlineStr">
        <is>
          <t>A</t>
        </is>
      </c>
      <c r="E678" t="inlineStr">
        <is>
          <t>rs2155540</t>
        </is>
      </c>
      <c r="F678" t="n">
        <v>0.01320928378</v>
      </c>
      <c r="G678" t="n">
        <v>0.5375910261412419</v>
      </c>
      <c r="H678" t="n">
        <v>0.0320679273186838</v>
      </c>
      <c r="I678" t="n">
        <v>0.009374003909264701</v>
      </c>
      <c r="J678" t="n">
        <v>0.0016743104856442</v>
      </c>
      <c r="K678" t="n">
        <v>0.9010832917904072</v>
      </c>
      <c r="L678" t="b">
        <v>0</v>
      </c>
      <c r="M678" t="b">
        <v>0</v>
      </c>
      <c r="N678" t="inlineStr">
        <is>
          <t>alt</t>
        </is>
      </c>
      <c r="O678" t="n">
        <v>-95</v>
      </c>
      <c r="P678" t="n">
        <v>0.007939999999999999</v>
      </c>
      <c r="Q678" t="n">
        <v>-20</v>
      </c>
      <c r="R678" t="n">
        <v>0.00592</v>
      </c>
      <c r="S678">
        <f>IMAGE("https://mitra.stanford.edu/kundaje/oak/projects/neuro-variants/variant_position/credible/roussos_2024/variant_figures/roussos_2024.childhood.GABA/rs2155540_count_position.png",4,220,900)</f>
        <v/>
      </c>
      <c r="T678">
        <f>IMAGE("https://mitra.stanford.edu/kundaje/oak/projects/neuro-variants/variant_position/credible/roussos_2024/variant_figures/roussos_2024.childhood.GABA/rs2155540_profile_position.png",4,220,900)</f>
        <v/>
      </c>
    </row>
    <row r="679">
      <c r="A679" t="inlineStr">
        <is>
          <t>chr11</t>
        </is>
      </c>
      <c r="B679" t="n">
        <v>132513517</v>
      </c>
      <c r="C679" t="inlineStr">
        <is>
          <t>T</t>
        </is>
      </c>
      <c r="D679" t="inlineStr">
        <is>
          <t>C</t>
        </is>
      </c>
      <c r="E679" t="inlineStr">
        <is>
          <t>rs4937706</t>
        </is>
      </c>
      <c r="F679" t="n">
        <v>-0.0440873692</v>
      </c>
      <c r="G679" t="n">
        <v>0.1821018563335955</v>
      </c>
      <c r="H679" t="n">
        <v>0.0236308059502306</v>
      </c>
      <c r="I679" t="n">
        <v>0.0376010575948367</v>
      </c>
      <c r="J679" t="n">
        <v>0.0074982722874913</v>
      </c>
      <c r="K679" t="n">
        <v>0.7802681348162351</v>
      </c>
      <c r="L679" t="b">
        <v>0</v>
      </c>
      <c r="M679" t="b">
        <v>0</v>
      </c>
      <c r="N679" t="inlineStr">
        <is>
          <t>ref</t>
        </is>
      </c>
      <c r="O679" t="n">
        <v>15</v>
      </c>
      <c r="P679" t="n">
        <v>0.000519</v>
      </c>
      <c r="Q679" t="n">
        <v>60</v>
      </c>
      <c r="R679" t="n">
        <v>0.05273</v>
      </c>
      <c r="S679">
        <f>IMAGE("https://mitra.stanford.edu/kundaje/oak/projects/neuro-variants/variant_position/credible/roussos_2024/variant_figures/roussos_2024.childhood.GABA/rs4937706_count_position.png",4,220,900)</f>
        <v/>
      </c>
      <c r="T679">
        <f>IMAGE("https://mitra.stanford.edu/kundaje/oak/projects/neuro-variants/variant_position/credible/roussos_2024/variant_figures/roussos_2024.childhood.GABA/rs4937706_profile_position.png",4,220,900)</f>
        <v/>
      </c>
    </row>
    <row r="680">
      <c r="A680" t="inlineStr">
        <is>
          <t>chr11</t>
        </is>
      </c>
      <c r="B680" t="n">
        <v>132514734</v>
      </c>
      <c r="C680" t="inlineStr">
        <is>
          <t>T</t>
        </is>
      </c>
      <c r="D680" t="inlineStr">
        <is>
          <t>G</t>
        </is>
      </c>
      <c r="E680" t="inlineStr">
        <is>
          <t>rs4310627</t>
        </is>
      </c>
      <c r="F680" t="n">
        <v>0.0414523046</v>
      </c>
      <c r="G680" t="n">
        <v>0.2087179549509001</v>
      </c>
      <c r="H680" t="n">
        <v>0.0142135000956499</v>
      </c>
      <c r="I680" t="n">
        <v>0.2633467873573949</v>
      </c>
      <c r="J680" t="n">
        <v>0.1532156394630478</v>
      </c>
      <c r="K680" t="n">
        <v>0.2662380805477949</v>
      </c>
      <c r="L680" t="b">
        <v>0</v>
      </c>
      <c r="M680" t="b">
        <v>0</v>
      </c>
      <c r="N680" t="inlineStr">
        <is>
          <t>alt</t>
        </is>
      </c>
      <c r="O680" t="n">
        <v>35</v>
      </c>
      <c r="P680" t="n">
        <v>0.00322</v>
      </c>
      <c r="Q680" t="n">
        <v>-100</v>
      </c>
      <c r="R680" t="n">
        <v>0.08935999999999999</v>
      </c>
      <c r="S680">
        <f>IMAGE("https://mitra.stanford.edu/kundaje/oak/projects/neuro-variants/variant_position/credible/roussos_2024/variant_figures/roussos_2024.childhood.GABA/rs4310627_count_position.png",4,220,900)</f>
        <v/>
      </c>
      <c r="T680">
        <f>IMAGE("https://mitra.stanford.edu/kundaje/oak/projects/neuro-variants/variant_position/credible/roussos_2024/variant_figures/roussos_2024.childhood.GABA/rs4310627_profile_position.png",4,220,900)</f>
        <v/>
      </c>
    </row>
    <row r="681">
      <c r="A681" t="inlineStr">
        <is>
          <t>chr11</t>
        </is>
      </c>
      <c r="B681" t="n">
        <v>132515145</v>
      </c>
      <c r="C681" t="inlineStr">
        <is>
          <t>C</t>
        </is>
      </c>
      <c r="D681" t="inlineStr">
        <is>
          <t>T</t>
        </is>
      </c>
      <c r="E681" t="inlineStr">
        <is>
          <t>rs1939971</t>
        </is>
      </c>
      <c r="F681" t="n">
        <v>0.020662285834</v>
      </c>
      <c r="G681" t="n">
        <v>0.4344749782908752</v>
      </c>
      <c r="H681" t="n">
        <v>0.0278645519062453</v>
      </c>
      <c r="I681" t="n">
        <v>0.0176690714895049</v>
      </c>
      <c r="J681" t="n">
        <v>0.0813721178614059</v>
      </c>
      <c r="K681" t="n">
        <v>0.3947442487081036</v>
      </c>
      <c r="L681" t="b">
        <v>1</v>
      </c>
      <c r="M681" t="b">
        <v>0</v>
      </c>
      <c r="N681" t="inlineStr">
        <is>
          <t>alt</t>
        </is>
      </c>
      <c r="O681" t="n">
        <v>0</v>
      </c>
      <c r="P681" t="n">
        <v>0</v>
      </c>
      <c r="Q681" t="n">
        <v>-70</v>
      </c>
      <c r="R681" t="n">
        <v>0.09314</v>
      </c>
      <c r="S681">
        <f>IMAGE("https://mitra.stanford.edu/kundaje/oak/projects/neuro-variants/variant_position/credible/roussos_2024/variant_figures/roussos_2024.childhood.GABA/rs1939971_count_position.png",4,220,900)</f>
        <v/>
      </c>
      <c r="T681">
        <f>IMAGE("https://mitra.stanford.edu/kundaje/oak/projects/neuro-variants/variant_position/credible/roussos_2024/variant_figures/roussos_2024.childhood.GABA/rs1939971_profile_position.png",4,220,900)</f>
        <v/>
      </c>
    </row>
    <row r="682">
      <c r="A682" t="inlineStr">
        <is>
          <t>chr11</t>
        </is>
      </c>
      <c r="B682" t="n">
        <v>132515155</v>
      </c>
      <c r="C682" t="inlineStr">
        <is>
          <t>T</t>
        </is>
      </c>
      <c r="D682" t="inlineStr">
        <is>
          <t>C</t>
        </is>
      </c>
      <c r="E682" t="inlineStr">
        <is>
          <t>rs1939970</t>
        </is>
      </c>
      <c r="F682" t="n">
        <v>-0.0280836095999999</v>
      </c>
      <c r="G682" t="n">
        <v>0.3274776817373812</v>
      </c>
      <c r="H682" t="n">
        <v>0.025036153785398</v>
      </c>
      <c r="I682" t="n">
        <v>0.0288285568879182</v>
      </c>
      <c r="J682" t="n">
        <v>0.075375384808695</v>
      </c>
      <c r="K682" t="n">
        <v>0.4122367499046603</v>
      </c>
      <c r="L682" t="b">
        <v>0</v>
      </c>
      <c r="M682" t="b">
        <v>0</v>
      </c>
      <c r="N682" t="inlineStr">
        <is>
          <t>ref</t>
        </is>
      </c>
      <c r="O682" t="n">
        <v>50</v>
      </c>
      <c r="P682" t="n">
        <v>0.002464</v>
      </c>
      <c r="Q682" t="n">
        <v>-80</v>
      </c>
      <c r="R682" t="n">
        <v>0.07806</v>
      </c>
      <c r="S682">
        <f>IMAGE("https://mitra.stanford.edu/kundaje/oak/projects/neuro-variants/variant_position/credible/roussos_2024/variant_figures/roussos_2024.childhood.GABA/rs1939970_count_position.png",4,220,900)</f>
        <v/>
      </c>
      <c r="T682">
        <f>IMAGE("https://mitra.stanford.edu/kundaje/oak/projects/neuro-variants/variant_position/credible/roussos_2024/variant_figures/roussos_2024.childhood.GABA/rs1939970_profile_position.png",4,220,900)</f>
        <v/>
      </c>
    </row>
    <row r="683">
      <c r="A683" t="inlineStr">
        <is>
          <t>chr11</t>
        </is>
      </c>
      <c r="B683" t="n">
        <v>132520056</v>
      </c>
      <c r="C683" t="inlineStr">
        <is>
          <t>G</t>
        </is>
      </c>
      <c r="D683" t="inlineStr">
        <is>
          <t>A</t>
        </is>
      </c>
      <c r="E683" t="inlineStr">
        <is>
          <t>rs644487</t>
        </is>
      </c>
      <c r="F683" t="n">
        <v>-0.0420083442</v>
      </c>
      <c r="G683" t="n">
        <v>0.2016501544895269</v>
      </c>
      <c r="H683" t="n">
        <v>0.0130359907978959</v>
      </c>
      <c r="I683" t="n">
        <v>0.3444183117530703</v>
      </c>
      <c r="J683" t="n">
        <v>0.0822663399719377</v>
      </c>
      <c r="K683" t="n">
        <v>0.3902494239816463</v>
      </c>
      <c r="L683" t="b">
        <v>0</v>
      </c>
      <c r="M683" t="b">
        <v>0</v>
      </c>
      <c r="N683" t="inlineStr">
        <is>
          <t>ref</t>
        </is>
      </c>
      <c r="O683" t="n">
        <v>-35</v>
      </c>
      <c r="P683" t="n">
        <v>0.002829</v>
      </c>
      <c r="Q683" t="n">
        <v>15</v>
      </c>
      <c r="R683" t="n">
        <v>0.01013</v>
      </c>
      <c r="S683">
        <f>IMAGE("https://mitra.stanford.edu/kundaje/oak/projects/neuro-variants/variant_position/credible/roussos_2024/variant_figures/roussos_2024.childhood.GABA/rs644487_count_position.png",4,220,900)</f>
        <v/>
      </c>
      <c r="T683">
        <f>IMAGE("https://mitra.stanford.edu/kundaje/oak/projects/neuro-variants/variant_position/credible/roussos_2024/variant_figures/roussos_2024.childhood.GABA/rs644487_profile_position.png",4,220,900)</f>
        <v/>
      </c>
    </row>
    <row r="684">
      <c r="A684" t="inlineStr">
        <is>
          <t>chr11</t>
        </is>
      </c>
      <c r="B684" t="n">
        <v>132520069</v>
      </c>
      <c r="C684" t="inlineStr">
        <is>
          <t>C</t>
        </is>
      </c>
      <c r="D684" t="inlineStr">
        <is>
          <t>G</t>
        </is>
      </c>
      <c r="E684" t="inlineStr">
        <is>
          <t>rs644475</t>
        </is>
      </c>
      <c r="F684" t="n">
        <v>-0.01030332894</v>
      </c>
      <c r="G684" t="n">
        <v>0.612483232863643</v>
      </c>
      <c r="H684" t="n">
        <v>0.0098256755987837</v>
      </c>
      <c r="I684" t="n">
        <v>0.6599668626773766</v>
      </c>
      <c r="J684" t="n">
        <v>0.08010722288538449</v>
      </c>
      <c r="K684" t="n">
        <v>0.3955273470753937</v>
      </c>
      <c r="L684" t="b">
        <v>0</v>
      </c>
      <c r="M684" t="b">
        <v>0</v>
      </c>
      <c r="N684" t="inlineStr">
        <is>
          <t>ref</t>
        </is>
      </c>
      <c r="O684" t="n">
        <v>-85</v>
      </c>
      <c r="P684" t="n">
        <v>0.006943</v>
      </c>
      <c r="Q684" t="n">
        <v>0</v>
      </c>
      <c r="R684" t="n">
        <v>0</v>
      </c>
      <c r="S684">
        <f>IMAGE("https://mitra.stanford.edu/kundaje/oak/projects/neuro-variants/variant_position/credible/roussos_2024/variant_figures/roussos_2024.childhood.GABA/rs644475_count_position.png",4,220,900)</f>
        <v/>
      </c>
      <c r="T684">
        <f>IMAGE("https://mitra.stanford.edu/kundaje/oak/projects/neuro-variants/variant_position/credible/roussos_2024/variant_figures/roussos_2024.childhood.GABA/rs644475_profile_position.png",4,220,900)</f>
        <v/>
      </c>
    </row>
    <row r="685">
      <c r="A685" t="inlineStr">
        <is>
          <t>chr11</t>
        </is>
      </c>
      <c r="B685" t="n">
        <v>132520341</v>
      </c>
      <c r="C685" t="inlineStr">
        <is>
          <t>T</t>
        </is>
      </c>
      <c r="D685" t="inlineStr">
        <is>
          <t>C</t>
        </is>
      </c>
      <c r="E685" t="inlineStr">
        <is>
          <t>rs654125</t>
        </is>
      </c>
      <c r="F685" t="n">
        <v>0.168574846</v>
      </c>
      <c r="G685" t="n">
        <v>0.007929705146192401</v>
      </c>
      <c r="H685" t="n">
        <v>0.0257880770023508</v>
      </c>
      <c r="I685" t="n">
        <v>0.0265227498958176</v>
      </c>
      <c r="J685" t="n">
        <v>0.0779920839354149</v>
      </c>
      <c r="K685" t="n">
        <v>0.3954677431544013</v>
      </c>
      <c r="L685" t="b">
        <v>1</v>
      </c>
      <c r="M685" t="b">
        <v>1</v>
      </c>
      <c r="N685" t="inlineStr">
        <is>
          <t>alt</t>
        </is>
      </c>
      <c r="O685" t="n">
        <v>100</v>
      </c>
      <c r="P685" t="n">
        <v>0.0146</v>
      </c>
      <c r="Q685" t="n">
        <v>25</v>
      </c>
      <c r="R685" t="n">
        <v>0.03003</v>
      </c>
      <c r="S685">
        <f>IMAGE("https://mitra.stanford.edu/kundaje/oak/projects/neuro-variants/variant_position/credible/roussos_2024/variant_figures/roussos_2024.childhood.GABA/rs654125_count_position.png",4,220,900)</f>
        <v/>
      </c>
      <c r="T685">
        <f>IMAGE("https://mitra.stanford.edu/kundaje/oak/projects/neuro-variants/variant_position/credible/roussos_2024/variant_figures/roussos_2024.childhood.GABA/rs654125_profile_position.png",4,220,900)</f>
        <v/>
      </c>
    </row>
    <row r="686">
      <c r="A686" t="inlineStr">
        <is>
          <t>chr11</t>
        </is>
      </c>
      <c r="B686" t="n">
        <v>132520659</v>
      </c>
      <c r="C686" t="inlineStr">
        <is>
          <t>T</t>
        </is>
      </c>
      <c r="D686" t="inlineStr">
        <is>
          <t>C</t>
        </is>
      </c>
      <c r="E686" t="inlineStr">
        <is>
          <t>rs10894572</t>
        </is>
      </c>
      <c r="F686" t="n">
        <v>0.08464272619999989</v>
      </c>
      <c r="G686" t="n">
        <v>0.0503247472250518</v>
      </c>
      <c r="H686" t="n">
        <v>0.0142720551252651</v>
      </c>
      <c r="I686" t="n">
        <v>0.2687491219158009</v>
      </c>
      <c r="J686" t="n">
        <v>0.0392703817721094</v>
      </c>
      <c r="K686" t="n">
        <v>0.5271823267931499</v>
      </c>
      <c r="L686" t="b">
        <v>0</v>
      </c>
      <c r="M686" t="b">
        <v>0</v>
      </c>
      <c r="N686" t="inlineStr">
        <is>
          <t>alt</t>
        </is>
      </c>
      <c r="O686" t="n">
        <v>-80</v>
      </c>
      <c r="P686" t="n">
        <v>0.00993</v>
      </c>
      <c r="Q686" t="n">
        <v>-85</v>
      </c>
      <c r="R686" t="n">
        <v>0.09766</v>
      </c>
      <c r="S686">
        <f>IMAGE("https://mitra.stanford.edu/kundaje/oak/projects/neuro-variants/variant_position/credible/roussos_2024/variant_figures/roussos_2024.childhood.GABA/rs10894572_count_position.png",4,220,900)</f>
        <v/>
      </c>
      <c r="T686">
        <f>IMAGE("https://mitra.stanford.edu/kundaje/oak/projects/neuro-variants/variant_position/credible/roussos_2024/variant_figures/roussos_2024.childhood.GABA/rs10894572_profile_position.png",4,220,900)</f>
        <v/>
      </c>
    </row>
    <row r="687">
      <c r="A687" t="inlineStr">
        <is>
          <t>chr11</t>
        </is>
      </c>
      <c r="B687" t="n">
        <v>132521327</v>
      </c>
      <c r="C687" t="inlineStr">
        <is>
          <t>T</t>
        </is>
      </c>
      <c r="D687" t="inlineStr">
        <is>
          <t>G</t>
        </is>
      </c>
      <c r="E687" t="inlineStr">
        <is>
          <t>rs639254</t>
        </is>
      </c>
      <c r="F687" t="n">
        <v>-0.084438332</v>
      </c>
      <c r="G687" t="n">
        <v>0.0466346487316789</v>
      </c>
      <c r="H687" t="n">
        <v>0.0272374503063802</v>
      </c>
      <c r="I687" t="n">
        <v>0.019777943064747</v>
      </c>
      <c r="J687" t="n">
        <v>0.0223628824527234</v>
      </c>
      <c r="K687" t="n">
        <v>0.6272827589296913</v>
      </c>
      <c r="L687" t="b">
        <v>1</v>
      </c>
      <c r="M687" t="b">
        <v>0</v>
      </c>
      <c r="N687" t="inlineStr">
        <is>
          <t>ref</t>
        </is>
      </c>
      <c r="O687" t="n">
        <v>10</v>
      </c>
      <c r="P687" t="n">
        <v>0.0008545</v>
      </c>
      <c r="Q687" t="n">
        <v>100</v>
      </c>
      <c r="R687" t="n">
        <v>0.11444</v>
      </c>
      <c r="S687">
        <f>IMAGE("https://mitra.stanford.edu/kundaje/oak/projects/neuro-variants/variant_position/credible/roussos_2024/variant_figures/roussos_2024.childhood.GABA/rs639254_count_position.png",4,220,900)</f>
        <v/>
      </c>
      <c r="T687">
        <f>IMAGE("https://mitra.stanford.edu/kundaje/oak/projects/neuro-variants/variant_position/credible/roussos_2024/variant_figures/roussos_2024.childhood.GABA/rs639254_profile_position.png",4,220,900)</f>
        <v/>
      </c>
    </row>
    <row r="688">
      <c r="A688" t="inlineStr">
        <is>
          <t>chr11</t>
        </is>
      </c>
      <c r="B688" t="n">
        <v>132521983</v>
      </c>
      <c r="C688" t="inlineStr">
        <is>
          <t>T</t>
        </is>
      </c>
      <c r="D688" t="inlineStr">
        <is>
          <t>A</t>
        </is>
      </c>
      <c r="E688" t="inlineStr">
        <is>
          <t>rs2508976</t>
        </is>
      </c>
      <c r="F688" t="n">
        <v>0.0139999109</v>
      </c>
      <c r="G688" t="n">
        <v>0.5140852842715662</v>
      </c>
      <c r="H688" t="n">
        <v>0.0090991645882722</v>
      </c>
      <c r="I688" t="n">
        <v>0.743914488935802</v>
      </c>
      <c r="J688" t="n">
        <v>0.0103840757261627</v>
      </c>
      <c r="K688" t="n">
        <v>0.7335665261680506</v>
      </c>
      <c r="L688" t="b">
        <v>0</v>
      </c>
      <c r="M688" t="b">
        <v>0</v>
      </c>
      <c r="N688" t="inlineStr">
        <is>
          <t>alt</t>
        </is>
      </c>
      <c r="O688" t="n">
        <v>-90</v>
      </c>
      <c r="P688" t="n">
        <v>0.1293</v>
      </c>
      <c r="Q688" t="n">
        <v>-75</v>
      </c>
      <c r="R688" t="n">
        <v>0.02684</v>
      </c>
      <c r="S688">
        <f>IMAGE("https://mitra.stanford.edu/kundaje/oak/projects/neuro-variants/variant_position/credible/roussos_2024/variant_figures/roussos_2024.childhood.GABA/rs2508976_count_position.png",4,220,900)</f>
        <v/>
      </c>
      <c r="T688">
        <f>IMAGE("https://mitra.stanford.edu/kundaje/oak/projects/neuro-variants/variant_position/credible/roussos_2024/variant_figures/roussos_2024.childhood.GABA/rs2508976_profile_position.png",4,220,900)</f>
        <v/>
      </c>
    </row>
    <row r="689">
      <c r="A689" t="inlineStr">
        <is>
          <t>chr11</t>
        </is>
      </c>
      <c r="B689" t="n">
        <v>132524230</v>
      </c>
      <c r="C689" t="inlineStr">
        <is>
          <t>T</t>
        </is>
      </c>
      <c r="D689" t="inlineStr">
        <is>
          <t>C</t>
        </is>
      </c>
      <c r="E689" t="inlineStr">
        <is>
          <t>rs2509229</t>
        </is>
      </c>
      <c r="F689" t="n">
        <v>-0.0727091604</v>
      </c>
      <c r="G689" t="n">
        <v>0.0633490527234636</v>
      </c>
      <c r="H689" t="n">
        <v>0.0238668187519887</v>
      </c>
      <c r="I689" t="n">
        <v>0.0376603749314057</v>
      </c>
      <c r="J689" t="n">
        <v>0.1072166027936587</v>
      </c>
      <c r="K689" t="n">
        <v>0.3524606108569963</v>
      </c>
      <c r="L689" t="b">
        <v>0</v>
      </c>
      <c r="M689" t="b">
        <v>0</v>
      </c>
      <c r="N689" t="inlineStr">
        <is>
          <t>ref</t>
        </is>
      </c>
      <c r="O689" t="n">
        <v>0</v>
      </c>
      <c r="P689" t="n">
        <v>0</v>
      </c>
      <c r="Q689" t="n">
        <v>-75</v>
      </c>
      <c r="R689" t="n">
        <v>0.008059999999999999</v>
      </c>
      <c r="S689">
        <f>IMAGE("https://mitra.stanford.edu/kundaje/oak/projects/neuro-variants/variant_position/credible/roussos_2024/variant_figures/roussos_2024.childhood.GABA/rs2509229_count_position.png",4,220,900)</f>
        <v/>
      </c>
      <c r="T689">
        <f>IMAGE("https://mitra.stanford.edu/kundaje/oak/projects/neuro-variants/variant_position/credible/roussos_2024/variant_figures/roussos_2024.childhood.GABA/rs2509229_profile_position.png",4,220,900)</f>
        <v/>
      </c>
    </row>
    <row r="690">
      <c r="A690" t="inlineStr">
        <is>
          <t>chr11</t>
        </is>
      </c>
      <c r="B690" t="n">
        <v>132527297</v>
      </c>
      <c r="C690" t="inlineStr">
        <is>
          <t>C</t>
        </is>
      </c>
      <c r="D690" t="inlineStr">
        <is>
          <t>A</t>
        </is>
      </c>
      <c r="E690" t="inlineStr">
        <is>
          <t>rs2509228</t>
        </is>
      </c>
      <c r="F690" t="n">
        <v>0.009443717906</v>
      </c>
      <c r="G690" t="n">
        <v>0.6130313795120733</v>
      </c>
      <c r="H690" t="n">
        <v>0.0197980610544029</v>
      </c>
      <c r="I690" t="n">
        <v>0.0781074760972037</v>
      </c>
      <c r="J690" t="n">
        <v>0.0709744298548721</v>
      </c>
      <c r="K690" t="n">
        <v>0.4188254298586211</v>
      </c>
      <c r="L690" t="b">
        <v>0</v>
      </c>
      <c r="M690" t="b">
        <v>0</v>
      </c>
      <c r="N690" t="inlineStr">
        <is>
          <t>alt</t>
        </is>
      </c>
      <c r="O690" t="n">
        <v>65</v>
      </c>
      <c r="P690" t="n">
        <v>0.00515</v>
      </c>
      <c r="Q690" t="n">
        <v>10</v>
      </c>
      <c r="R690" t="n">
        <v>0.0851</v>
      </c>
      <c r="S690">
        <f>IMAGE("https://mitra.stanford.edu/kundaje/oak/projects/neuro-variants/variant_position/credible/roussos_2024/variant_figures/roussos_2024.childhood.GABA/rs2509228_count_position.png",4,220,900)</f>
        <v/>
      </c>
      <c r="T690">
        <f>IMAGE("https://mitra.stanford.edu/kundaje/oak/projects/neuro-variants/variant_position/credible/roussos_2024/variant_figures/roussos_2024.childhood.GABA/rs2509228_profile_position.png",4,220,900)</f>
        <v/>
      </c>
    </row>
    <row r="691">
      <c r="A691" t="inlineStr">
        <is>
          <t>chr11</t>
        </is>
      </c>
      <c r="B691" t="n">
        <v>132528266</v>
      </c>
      <c r="C691" t="inlineStr">
        <is>
          <t>C</t>
        </is>
      </c>
      <c r="D691" t="inlineStr">
        <is>
          <t>G</t>
        </is>
      </c>
      <c r="E691" t="inlineStr">
        <is>
          <t>rs2512706</t>
        </is>
      </c>
      <c r="F691" t="n">
        <v>0.0124831793999999</v>
      </c>
      <c r="G691" t="n">
        <v>0.5389405962691302</v>
      </c>
      <c r="H691" t="n">
        <v>0.0087505233878037</v>
      </c>
      <c r="I691" t="n">
        <v>0.769349622384181</v>
      </c>
      <c r="J691" t="n">
        <v>0.009244832568951301</v>
      </c>
      <c r="K691" t="n">
        <v>0.7475073982225359</v>
      </c>
      <c r="L691" t="b">
        <v>0</v>
      </c>
      <c r="M691" t="b">
        <v>0</v>
      </c>
      <c r="N691" t="inlineStr">
        <is>
          <t>alt</t>
        </is>
      </c>
      <c r="O691" t="n">
        <v>-60</v>
      </c>
      <c r="P691" t="n">
        <v>0.002611</v>
      </c>
      <c r="Q691" t="n">
        <v>5</v>
      </c>
      <c r="R691" t="n">
        <v>0.01591</v>
      </c>
      <c r="S691">
        <f>IMAGE("https://mitra.stanford.edu/kundaje/oak/projects/neuro-variants/variant_position/credible/roussos_2024/variant_figures/roussos_2024.childhood.GABA/rs2512706_count_position.png",4,220,900)</f>
        <v/>
      </c>
      <c r="T691">
        <f>IMAGE("https://mitra.stanford.edu/kundaje/oak/projects/neuro-variants/variant_position/credible/roussos_2024/variant_figures/roussos_2024.childhood.GABA/rs2512706_profile_position.png",4,220,900)</f>
        <v/>
      </c>
    </row>
    <row r="692">
      <c r="A692" t="inlineStr">
        <is>
          <t>chr11</t>
        </is>
      </c>
      <c r="B692" t="n">
        <v>132537875</v>
      </c>
      <c r="C692" t="inlineStr">
        <is>
          <t>C</t>
        </is>
      </c>
      <c r="D692" t="inlineStr">
        <is>
          <t>T</t>
        </is>
      </c>
      <c r="E692" t="inlineStr">
        <is>
          <t>rs55945016</t>
        </is>
      </c>
      <c r="F692" t="n">
        <v>-0.0123629724459999</v>
      </c>
      <c r="G692" t="n">
        <v>0.5725072815343997</v>
      </c>
      <c r="H692" t="n">
        <v>0.0070606230517414</v>
      </c>
      <c r="I692" t="n">
        <v>0.9343555944735475</v>
      </c>
      <c r="J692" t="n">
        <v>0.0017873971225733</v>
      </c>
      <c r="K692" t="n">
        <v>0.8906456267883862</v>
      </c>
      <c r="L692" t="b">
        <v>0</v>
      </c>
      <c r="M692" t="b">
        <v>0</v>
      </c>
      <c r="N692" t="inlineStr">
        <is>
          <t>ref</t>
        </is>
      </c>
      <c r="O692" t="n">
        <v>-5</v>
      </c>
      <c r="P692" t="n">
        <v>0.002262</v>
      </c>
      <c r="Q692" t="n">
        <v>50</v>
      </c>
      <c r="R692" t="n">
        <v>0.0552</v>
      </c>
      <c r="S692">
        <f>IMAGE("https://mitra.stanford.edu/kundaje/oak/projects/neuro-variants/variant_position/credible/roussos_2024/variant_figures/roussos_2024.childhood.GABA/rs55945016_count_position.png",4,220,900)</f>
        <v/>
      </c>
      <c r="T692">
        <f>IMAGE("https://mitra.stanford.edu/kundaje/oak/projects/neuro-variants/variant_position/credible/roussos_2024/variant_figures/roussos_2024.childhood.GABA/rs55945016_profile_position.png",4,220,900)</f>
        <v/>
      </c>
    </row>
    <row r="693">
      <c r="A693" t="inlineStr">
        <is>
          <t>chr11</t>
        </is>
      </c>
      <c r="B693" t="n">
        <v>132542227</v>
      </c>
      <c r="C693" t="inlineStr">
        <is>
          <t>A</t>
        </is>
      </c>
      <c r="D693" t="inlineStr">
        <is>
          <t>G</t>
        </is>
      </c>
      <c r="E693" t="inlineStr">
        <is>
          <t>rs73035374</t>
        </is>
      </c>
      <c r="F693" t="n">
        <v>-0.02821707766</v>
      </c>
      <c r="G693" t="n">
        <v>0.3655661279374684</v>
      </c>
      <c r="H693" t="n">
        <v>0.0131464612794918</v>
      </c>
      <c r="I693" t="n">
        <v>0.3367831012808746</v>
      </c>
      <c r="J693" t="n">
        <v>0.0458597725702079</v>
      </c>
      <c r="K693" t="n">
        <v>0.5376428992383463</v>
      </c>
      <c r="L693" t="b">
        <v>0</v>
      </c>
      <c r="M693" t="b">
        <v>0</v>
      </c>
      <c r="N693" t="inlineStr">
        <is>
          <t>ref</t>
        </is>
      </c>
      <c r="O693" t="n">
        <v>60</v>
      </c>
      <c r="P693" t="n">
        <v>0.003588</v>
      </c>
      <c r="Q693" t="n">
        <v>-100</v>
      </c>
      <c r="R693" t="n">
        <v>0.04962</v>
      </c>
      <c r="S693">
        <f>IMAGE("https://mitra.stanford.edu/kundaje/oak/projects/neuro-variants/variant_position/credible/roussos_2024/variant_figures/roussos_2024.childhood.GABA/rs73035374_count_position.png",4,220,900)</f>
        <v/>
      </c>
      <c r="T693">
        <f>IMAGE("https://mitra.stanford.edu/kundaje/oak/projects/neuro-variants/variant_position/credible/roussos_2024/variant_figures/roussos_2024.childhood.GABA/rs73035374_profile_position.png",4,220,900)</f>
        <v/>
      </c>
    </row>
    <row r="694">
      <c r="A694" t="inlineStr">
        <is>
          <t>chr11</t>
        </is>
      </c>
      <c r="B694" t="n">
        <v>132659602</v>
      </c>
      <c r="C694" t="inlineStr">
        <is>
          <t>C</t>
        </is>
      </c>
      <c r="D694" t="inlineStr">
        <is>
          <t>T</t>
        </is>
      </c>
      <c r="E694" t="inlineStr">
        <is>
          <t>rs6590647</t>
        </is>
      </c>
      <c r="F694" t="n">
        <v>0.0242299604</v>
      </c>
      <c r="G694" t="n">
        <v>0.3684713214608359</v>
      </c>
      <c r="H694" t="n">
        <v>0.0203380959936385</v>
      </c>
      <c r="I694" t="n">
        <v>0.0695073801786992</v>
      </c>
      <c r="J694" t="n">
        <v>0.0223817302255449</v>
      </c>
      <c r="K694" t="n">
        <v>0.635364349743423</v>
      </c>
      <c r="L694" t="b">
        <v>0</v>
      </c>
      <c r="M694" t="b">
        <v>0</v>
      </c>
      <c r="N694" t="inlineStr">
        <is>
          <t>alt</t>
        </is>
      </c>
      <c r="O694" t="n">
        <v>5</v>
      </c>
      <c r="P694" t="n">
        <v>0.0005646</v>
      </c>
      <c r="Q694" t="n">
        <v>-5</v>
      </c>
      <c r="R694" t="n">
        <v>0.02606</v>
      </c>
      <c r="S694">
        <f>IMAGE("https://mitra.stanford.edu/kundaje/oak/projects/neuro-variants/variant_position/credible/roussos_2024/variant_figures/roussos_2024.childhood.GABA/rs6590647_count_position.png",4,220,900)</f>
        <v/>
      </c>
      <c r="T694">
        <f>IMAGE("https://mitra.stanford.edu/kundaje/oak/projects/neuro-variants/variant_position/credible/roussos_2024/variant_figures/roussos_2024.childhood.GABA/rs6590647_profile_position.png",4,220,900)</f>
        <v/>
      </c>
    </row>
    <row r="695">
      <c r="A695" t="inlineStr">
        <is>
          <t>chr11</t>
        </is>
      </c>
      <c r="B695" t="n">
        <v>132692230</v>
      </c>
      <c r="C695" t="inlineStr">
        <is>
          <t>A</t>
        </is>
      </c>
      <c r="D695" t="inlineStr">
        <is>
          <t>C</t>
        </is>
      </c>
      <c r="E695" t="inlineStr">
        <is>
          <t>rs3862599</t>
        </is>
      </c>
      <c r="F695" t="n">
        <v>0.0571179972</v>
      </c>
      <c r="G695" t="n">
        <v>0.103200920397204</v>
      </c>
      <c r="H695" t="n">
        <v>0.016818647866689</v>
      </c>
      <c r="I695" t="n">
        <v>0.1494578552634608</v>
      </c>
      <c r="J695" t="n">
        <v>0.3835102929781575</v>
      </c>
      <c r="K695" t="n">
        <v>0.0925051036589896</v>
      </c>
      <c r="L695" t="b">
        <v>0</v>
      </c>
      <c r="M695" t="b">
        <v>0</v>
      </c>
      <c r="N695" t="inlineStr">
        <is>
          <t>alt</t>
        </is>
      </c>
      <c r="O695" t="n">
        <v>100</v>
      </c>
      <c r="P695" t="n">
        <v>0.004425</v>
      </c>
      <c r="Q695" t="n">
        <v>100</v>
      </c>
      <c r="R695" t="n">
        <v>0.1736</v>
      </c>
      <c r="S695">
        <f>IMAGE("https://mitra.stanford.edu/kundaje/oak/projects/neuro-variants/variant_position/credible/roussos_2024/variant_figures/roussos_2024.childhood.GABA/rs3862599_count_position.png",4,220,900)</f>
        <v/>
      </c>
      <c r="T695">
        <f>IMAGE("https://mitra.stanford.edu/kundaje/oak/projects/neuro-variants/variant_position/credible/roussos_2024/variant_figures/roussos_2024.childhood.GABA/rs3862599_profile_position.png",4,220,900)</f>
        <v/>
      </c>
    </row>
    <row r="696">
      <c r="A696" t="inlineStr">
        <is>
          <t>chr11</t>
        </is>
      </c>
      <c r="B696" t="n">
        <v>132692599</v>
      </c>
      <c r="C696" t="inlineStr">
        <is>
          <t>G</t>
        </is>
      </c>
      <c r="D696" t="inlineStr">
        <is>
          <t>A</t>
        </is>
      </c>
      <c r="E696" t="inlineStr">
        <is>
          <t>rs3018396</t>
        </is>
      </c>
      <c r="F696" t="n">
        <v>-0.01383682788</v>
      </c>
      <c r="G696" t="n">
        <v>0.5617038902215257</v>
      </c>
      <c r="H696" t="n">
        <v>0.0162692364132939</v>
      </c>
      <c r="I696" t="n">
        <v>0.16962328288532</v>
      </c>
      <c r="J696" t="n">
        <v>0.2922713660446902</v>
      </c>
      <c r="K696" t="n">
        <v>0.1386858243847699</v>
      </c>
      <c r="L696" t="b">
        <v>0</v>
      </c>
      <c r="M696" t="b">
        <v>0</v>
      </c>
      <c r="N696" t="inlineStr">
        <is>
          <t>ref</t>
        </is>
      </c>
      <c r="O696" t="n">
        <v>-100</v>
      </c>
      <c r="P696" t="n">
        <v>0.0078</v>
      </c>
      <c r="Q696" t="n">
        <v>-80</v>
      </c>
      <c r="R696" t="n">
        <v>0.09265</v>
      </c>
      <c r="S696">
        <f>IMAGE("https://mitra.stanford.edu/kundaje/oak/projects/neuro-variants/variant_position/credible/roussos_2024/variant_figures/roussos_2024.childhood.GABA/rs3018396_count_position.png",4,220,900)</f>
        <v/>
      </c>
      <c r="T696">
        <f>IMAGE("https://mitra.stanford.edu/kundaje/oak/projects/neuro-variants/variant_position/credible/roussos_2024/variant_figures/roussos_2024.childhood.GABA/rs3018396_profile_position.png",4,220,900)</f>
        <v/>
      </c>
    </row>
    <row r="697">
      <c r="A697" t="inlineStr">
        <is>
          <t>chr11</t>
        </is>
      </c>
      <c r="B697" t="n">
        <v>132698231</v>
      </c>
      <c r="C697" t="inlineStr">
        <is>
          <t>C</t>
        </is>
      </c>
      <c r="D697" t="inlineStr">
        <is>
          <t>T</t>
        </is>
      </c>
      <c r="E697" t="inlineStr">
        <is>
          <t>rs1940148</t>
        </is>
      </c>
      <c r="F697" t="n">
        <v>0.0112385394</v>
      </c>
      <c r="G697" t="n">
        <v>0.5200583044470589</v>
      </c>
      <c r="H697" t="n">
        <v>0.007624973249226</v>
      </c>
      <c r="I697" t="n">
        <v>0.8714286032794588</v>
      </c>
      <c r="J697" t="n">
        <v>0.0076490544700633</v>
      </c>
      <c r="K697" t="n">
        <v>0.7677222428330268</v>
      </c>
      <c r="L697" t="b">
        <v>0</v>
      </c>
      <c r="M697" t="b">
        <v>0</v>
      </c>
      <c r="N697" t="inlineStr">
        <is>
          <t>alt</t>
        </is>
      </c>
      <c r="O697" t="n">
        <v>-100</v>
      </c>
      <c r="P697" t="n">
        <v>0.06824</v>
      </c>
      <c r="Q697" t="n">
        <v>-20</v>
      </c>
      <c r="R697" t="n">
        <v>0.03058</v>
      </c>
      <c r="S697">
        <f>IMAGE("https://mitra.stanford.edu/kundaje/oak/projects/neuro-variants/variant_position/credible/roussos_2024/variant_figures/roussos_2024.childhood.GABA/rs1940148_count_position.png",4,220,900)</f>
        <v/>
      </c>
      <c r="T697">
        <f>IMAGE("https://mitra.stanford.edu/kundaje/oak/projects/neuro-variants/variant_position/credible/roussos_2024/variant_figures/roussos_2024.childhood.GABA/rs1940148_profile_position.png",4,220,900)</f>
        <v/>
      </c>
    </row>
    <row r="698">
      <c r="A698" t="inlineStr">
        <is>
          <t>chr11</t>
        </is>
      </c>
      <c r="B698" t="n">
        <v>132702875</v>
      </c>
      <c r="C698" t="inlineStr">
        <is>
          <t>A</t>
        </is>
      </c>
      <c r="D698" t="inlineStr">
        <is>
          <t>G</t>
        </is>
      </c>
      <c r="E698" t="inlineStr">
        <is>
          <t>rs1939515</t>
        </is>
      </c>
      <c r="F698" t="n">
        <v>0.08113337579999989</v>
      </c>
      <c r="G698" t="n">
        <v>0.0501885264634352</v>
      </c>
      <c r="H698" t="n">
        <v>0.0182452063965758</v>
      </c>
      <c r="I698" t="n">
        <v>0.107931172339532</v>
      </c>
      <c r="J698" t="n">
        <v>0.004751732948001</v>
      </c>
      <c r="K698" t="n">
        <v>0.8165301697142527</v>
      </c>
      <c r="L698" t="b">
        <v>0</v>
      </c>
      <c r="M698" t="b">
        <v>0</v>
      </c>
      <c r="N698" t="inlineStr">
        <is>
          <t>alt</t>
        </is>
      </c>
      <c r="O698" t="n">
        <v>60</v>
      </c>
      <c r="P698" t="n">
        <v>0.0089</v>
      </c>
      <c r="Q698" t="n">
        <v>-100</v>
      </c>
      <c r="R698" t="n">
        <v>0.06320000000000001</v>
      </c>
      <c r="S698">
        <f>IMAGE("https://mitra.stanford.edu/kundaje/oak/projects/neuro-variants/variant_position/credible/roussos_2024/variant_figures/roussos_2024.childhood.GABA/rs1939515_count_position.png",4,220,900)</f>
        <v/>
      </c>
      <c r="T698">
        <f>IMAGE("https://mitra.stanford.edu/kundaje/oak/projects/neuro-variants/variant_position/credible/roussos_2024/variant_figures/roussos_2024.childhood.GABA/rs1939515_profile_position.png",4,220,900)</f>
        <v/>
      </c>
    </row>
    <row r="699">
      <c r="A699" t="inlineStr">
        <is>
          <t>chr11</t>
        </is>
      </c>
      <c r="B699" t="n">
        <v>133863969</v>
      </c>
      <c r="C699" t="inlineStr">
        <is>
          <t>T</t>
        </is>
      </c>
      <c r="D699" t="inlineStr">
        <is>
          <t>C</t>
        </is>
      </c>
      <c r="E699" t="inlineStr">
        <is>
          <t>rs7946883</t>
        </is>
      </c>
      <c r="F699" t="n">
        <v>0.0304356334</v>
      </c>
      <c r="G699" t="n">
        <v>0.2824328765204166</v>
      </c>
      <c r="H699" t="n">
        <v>0.0247799138615435</v>
      </c>
      <c r="I699" t="n">
        <v>0.0315198222670956</v>
      </c>
      <c r="J699" t="n">
        <v>0.275798412598689</v>
      </c>
      <c r="K699" t="n">
        <v>0.1550494211363578</v>
      </c>
      <c r="L699" t="b">
        <v>0</v>
      </c>
      <c r="M699" t="b">
        <v>0</v>
      </c>
      <c r="N699" t="inlineStr">
        <is>
          <t>alt</t>
        </is>
      </c>
      <c r="O699" t="n">
        <v>-80</v>
      </c>
      <c r="P699" t="n">
        <v>0.01109</v>
      </c>
      <c r="Q699" t="n">
        <v>100</v>
      </c>
      <c r="R699" t="n">
        <v>0.08704000000000001</v>
      </c>
      <c r="S699">
        <f>IMAGE("https://mitra.stanford.edu/kundaje/oak/projects/neuro-variants/variant_position/credible/roussos_2024/variant_figures/roussos_2024.childhood.GABA/rs7946883_count_position.png",4,220,900)</f>
        <v/>
      </c>
      <c r="T699">
        <f>IMAGE("https://mitra.stanford.edu/kundaje/oak/projects/neuro-variants/variant_position/credible/roussos_2024/variant_figures/roussos_2024.childhood.GABA/rs7946883_profile_position.png",4,220,900)</f>
        <v/>
      </c>
    </row>
    <row r="700">
      <c r="A700" t="inlineStr">
        <is>
          <t>chr11</t>
        </is>
      </c>
      <c r="B700" t="n">
        <v>133951249</v>
      </c>
      <c r="C700" t="inlineStr">
        <is>
          <t>G</t>
        </is>
      </c>
      <c r="D700" t="inlineStr">
        <is>
          <t>A</t>
        </is>
      </c>
      <c r="E700" t="inlineStr">
        <is>
          <t>rs118031494</t>
        </is>
      </c>
      <c r="F700" t="n">
        <v>0.00274253968</v>
      </c>
      <c r="G700" t="n">
        <v>0.7467515832760396</v>
      </c>
      <c r="H700" t="n">
        <v>0.0101191585867657</v>
      </c>
      <c r="I700" t="n">
        <v>0.6272831090680752</v>
      </c>
      <c r="J700" t="n">
        <v>0.7287177231890432</v>
      </c>
      <c r="K700" t="n">
        <v>0.0120409355095197</v>
      </c>
      <c r="L700" t="b">
        <v>0</v>
      </c>
      <c r="M700" t="b">
        <v>0</v>
      </c>
      <c r="N700" t="inlineStr">
        <is>
          <t>alt</t>
        </is>
      </c>
      <c r="O700" t="n">
        <v>-100</v>
      </c>
      <c r="P700" t="n">
        <v>0.00262</v>
      </c>
      <c r="Q700" t="n">
        <v>-85</v>
      </c>
      <c r="R700" t="n">
        <v>0.02045</v>
      </c>
      <c r="S700">
        <f>IMAGE("https://mitra.stanford.edu/kundaje/oak/projects/neuro-variants/variant_position/credible/roussos_2024/variant_figures/roussos_2024.childhood.GABA/rs118031494_count_position.png",4,220,900)</f>
        <v/>
      </c>
      <c r="T700">
        <f>IMAGE("https://mitra.stanford.edu/kundaje/oak/projects/neuro-variants/variant_position/credible/roussos_2024/variant_figures/roussos_2024.childhood.GABA/rs118031494_profile_position.png",4,220,900)</f>
        <v/>
      </c>
    </row>
    <row r="701">
      <c r="A701" t="inlineStr">
        <is>
          <t>chr11</t>
        </is>
      </c>
      <c r="B701" t="n">
        <v>133952238</v>
      </c>
      <c r="C701" t="inlineStr">
        <is>
          <t>G</t>
        </is>
      </c>
      <c r="D701" t="inlineStr">
        <is>
          <t>A</t>
        </is>
      </c>
      <c r="E701" t="inlineStr">
        <is>
          <t>rs73034295</t>
        </is>
      </c>
      <c r="F701" t="n">
        <v>-0.09976347100000001</v>
      </c>
      <c r="G701" t="n">
        <v>0.0291259581149419</v>
      </c>
      <c r="H701" t="n">
        <v>0.0169524628774075</v>
      </c>
      <c r="I701" t="n">
        <v>0.1534824223025249</v>
      </c>
      <c r="J701" t="n">
        <v>0.4729272685388787</v>
      </c>
      <c r="K701" t="n">
        <v>0.0579336692102934</v>
      </c>
      <c r="L701" t="b">
        <v>0</v>
      </c>
      <c r="M701" t="b">
        <v>0</v>
      </c>
      <c r="N701" t="inlineStr">
        <is>
          <t>ref</t>
        </is>
      </c>
      <c r="O701" t="n">
        <v>-85</v>
      </c>
      <c r="P701" t="n">
        <v>0.001833</v>
      </c>
      <c r="Q701" t="n">
        <v>-35</v>
      </c>
      <c r="R701" t="n">
        <v>0.07403999999999999</v>
      </c>
      <c r="S701">
        <f>IMAGE("https://mitra.stanford.edu/kundaje/oak/projects/neuro-variants/variant_position/credible/roussos_2024/variant_figures/roussos_2024.childhood.GABA/rs73034295_count_position.png",4,220,900)</f>
        <v/>
      </c>
      <c r="T701">
        <f>IMAGE("https://mitra.stanford.edu/kundaje/oak/projects/neuro-variants/variant_position/credible/roussos_2024/variant_figures/roussos_2024.childhood.GABA/rs73034295_profile_position.png",4,220,900)</f>
        <v/>
      </c>
    </row>
    <row r="702">
      <c r="A702" t="inlineStr">
        <is>
          <t>chr11</t>
        </is>
      </c>
      <c r="B702" t="n">
        <v>133970261</v>
      </c>
      <c r="C702" t="inlineStr">
        <is>
          <t>C</t>
        </is>
      </c>
      <c r="D702" t="inlineStr">
        <is>
          <t>T</t>
        </is>
      </c>
      <c r="E702" t="inlineStr">
        <is>
          <t>rs73036081</t>
        </is>
      </c>
      <c r="F702" t="n">
        <v>0.01612856514</v>
      </c>
      <c r="G702" t="n">
        <v>0.49205681039833</v>
      </c>
      <c r="H702" t="n">
        <v>0.0126591666712368</v>
      </c>
      <c r="I702" t="n">
        <v>0.3614772394285753</v>
      </c>
      <c r="J702" t="n">
        <v>0.3422179640216959</v>
      </c>
      <c r="K702" t="n">
        <v>0.1126073919020412</v>
      </c>
      <c r="L702" t="b">
        <v>0</v>
      </c>
      <c r="M702" t="b">
        <v>0</v>
      </c>
      <c r="N702" t="inlineStr">
        <is>
          <t>alt</t>
        </is>
      </c>
      <c r="O702" t="n">
        <v>-50</v>
      </c>
      <c r="P702" t="n">
        <v>0.001389</v>
      </c>
      <c r="Q702" t="n">
        <v>70</v>
      </c>
      <c r="R702" t="n">
        <v>0.0536</v>
      </c>
      <c r="S702">
        <f>IMAGE("https://mitra.stanford.edu/kundaje/oak/projects/neuro-variants/variant_position/credible/roussos_2024/variant_figures/roussos_2024.childhood.GABA/rs73036081_count_position.png",4,220,900)</f>
        <v/>
      </c>
      <c r="T702">
        <f>IMAGE("https://mitra.stanford.edu/kundaje/oak/projects/neuro-variants/variant_position/credible/roussos_2024/variant_figures/roussos_2024.childhood.GABA/rs73036081_profile_position.png",4,220,900)</f>
        <v/>
      </c>
    </row>
    <row r="703">
      <c r="A703" t="inlineStr">
        <is>
          <t>chr11</t>
        </is>
      </c>
      <c r="B703" t="n">
        <v>133972812</v>
      </c>
      <c r="C703" t="inlineStr">
        <is>
          <t>G</t>
        </is>
      </c>
      <c r="D703" t="inlineStr">
        <is>
          <t>A</t>
        </is>
      </c>
      <c r="E703" t="inlineStr">
        <is>
          <t>rs11223655</t>
        </is>
      </c>
      <c r="F703" t="n">
        <v>0.039332403</v>
      </c>
      <c r="G703" t="n">
        <v>0.2001870963782652</v>
      </c>
      <c r="H703" t="n">
        <v>0.0284452166581211</v>
      </c>
      <c r="I703" t="n">
        <v>0.0162700528436691</v>
      </c>
      <c r="J703" t="n">
        <v>0.4657965278214068</v>
      </c>
      <c r="K703" t="n">
        <v>0.061336024361806</v>
      </c>
      <c r="L703" t="b">
        <v>1</v>
      </c>
      <c r="M703" t="b">
        <v>0</v>
      </c>
      <c r="N703" t="inlineStr">
        <is>
          <t>alt</t>
        </is>
      </c>
      <c r="O703" t="n">
        <v>55</v>
      </c>
      <c r="P703" t="n">
        <v>0.003906</v>
      </c>
      <c r="Q703" t="n">
        <v>-10</v>
      </c>
      <c r="R703" t="n">
        <v>0.006348</v>
      </c>
      <c r="S703">
        <f>IMAGE("https://mitra.stanford.edu/kundaje/oak/projects/neuro-variants/variant_position/credible/roussos_2024/variant_figures/roussos_2024.childhood.GABA/rs11223655_count_position.png",4,220,900)</f>
        <v/>
      </c>
      <c r="T703">
        <f>IMAGE("https://mitra.stanford.edu/kundaje/oak/projects/neuro-variants/variant_position/credible/roussos_2024/variant_figures/roussos_2024.childhood.GABA/rs11223655_profile_position.png",4,220,900)</f>
        <v/>
      </c>
    </row>
    <row r="704">
      <c r="A704" t="inlineStr">
        <is>
          <t>chr11</t>
        </is>
      </c>
      <c r="B704" t="n">
        <v>133983113</v>
      </c>
      <c r="C704" t="inlineStr">
        <is>
          <t>C</t>
        </is>
      </c>
      <c r="D704" t="inlineStr">
        <is>
          <t>T</t>
        </is>
      </c>
      <c r="E704" t="inlineStr">
        <is>
          <t>rs4936216</t>
        </is>
      </c>
      <c r="F704" t="n">
        <v>-0.104287516</v>
      </c>
      <c r="G704" t="n">
        <v>0.0299032713948409</v>
      </c>
      <c r="H704" t="n">
        <v>0.0186381236134093</v>
      </c>
      <c r="I704" t="n">
        <v>0.1037800696907799</v>
      </c>
      <c r="J704" t="n">
        <v>0.6178582647483821</v>
      </c>
      <c r="K704" t="n">
        <v>0.0254602013993904</v>
      </c>
      <c r="L704" t="b">
        <v>0</v>
      </c>
      <c r="M704" t="b">
        <v>0</v>
      </c>
      <c r="N704" t="inlineStr">
        <is>
          <t>ref</t>
        </is>
      </c>
      <c r="O704" t="n">
        <v>-100</v>
      </c>
      <c r="P704" t="n">
        <v>0.006477</v>
      </c>
      <c r="Q704" t="n">
        <v>-100</v>
      </c>
      <c r="R704" t="n">
        <v>0.1854</v>
      </c>
      <c r="S704">
        <f>IMAGE("https://mitra.stanford.edu/kundaje/oak/projects/neuro-variants/variant_position/credible/roussos_2024/variant_figures/roussos_2024.childhood.GABA/rs4936216_count_position.png",4,220,900)</f>
        <v/>
      </c>
      <c r="T704">
        <f>IMAGE("https://mitra.stanford.edu/kundaje/oak/projects/neuro-variants/variant_position/credible/roussos_2024/variant_figures/roussos_2024.childhood.GABA/rs4936216_profile_position.png",4,220,900)</f>
        <v/>
      </c>
    </row>
    <row r="705">
      <c r="A705" t="inlineStr">
        <is>
          <t>chr11</t>
        </is>
      </c>
      <c r="B705" t="n">
        <v>134100320</v>
      </c>
      <c r="C705" t="inlineStr">
        <is>
          <t>T</t>
        </is>
      </c>
      <c r="D705" t="inlineStr">
        <is>
          <t>C</t>
        </is>
      </c>
      <c r="E705" t="inlineStr">
        <is>
          <t>rs470536</t>
        </is>
      </c>
      <c r="F705" t="n">
        <v>0.0344731566</v>
      </c>
      <c r="G705" t="n">
        <v>0.2322932089113799</v>
      </c>
      <c r="H705" t="n">
        <v>0.012908995988522</v>
      </c>
      <c r="I705" t="n">
        <v>0.3628625159798663</v>
      </c>
      <c r="J705" t="n">
        <v>0.1361636405520303</v>
      </c>
      <c r="K705" t="n">
        <v>0.293843302376883</v>
      </c>
      <c r="L705" t="b">
        <v>0</v>
      </c>
      <c r="M705" t="b">
        <v>0</v>
      </c>
      <c r="N705" t="inlineStr">
        <is>
          <t>alt</t>
        </is>
      </c>
      <c r="O705" t="n">
        <v>-25</v>
      </c>
      <c r="P705" t="n">
        <v>0.006683</v>
      </c>
      <c r="Q705" t="n">
        <v>40</v>
      </c>
      <c r="R705" t="n">
        <v>0.07837</v>
      </c>
      <c r="S705">
        <f>IMAGE("https://mitra.stanford.edu/kundaje/oak/projects/neuro-variants/variant_position/credible/roussos_2024/variant_figures/roussos_2024.childhood.GABA/rs470536_count_position.png",4,220,900)</f>
        <v/>
      </c>
      <c r="T705">
        <f>IMAGE("https://mitra.stanford.edu/kundaje/oak/projects/neuro-variants/variant_position/credible/roussos_2024/variant_figures/roussos_2024.childhood.GABA/rs470536_profile_position.png",4,220,900)</f>
        <v/>
      </c>
    </row>
    <row r="706">
      <c r="A706" t="inlineStr">
        <is>
          <t>chr11</t>
        </is>
      </c>
      <c r="B706" t="n">
        <v>134111740</v>
      </c>
      <c r="C706" t="inlineStr">
        <is>
          <t>G</t>
        </is>
      </c>
      <c r="D706" t="inlineStr">
        <is>
          <t>A</t>
        </is>
      </c>
      <c r="E706" t="inlineStr">
        <is>
          <t>rs626717</t>
        </is>
      </c>
      <c r="F706" t="n">
        <v>0.016002269</v>
      </c>
      <c r="G706" t="n">
        <v>0.4984420179733784</v>
      </c>
      <c r="H706" t="n">
        <v>0.0284211547420635</v>
      </c>
      <c r="I706" t="n">
        <v>0.0159841075982906</v>
      </c>
      <c r="J706" t="n">
        <v>0.0062270947205293</v>
      </c>
      <c r="K706" t="n">
        <v>0.7912281498969321</v>
      </c>
      <c r="L706" t="b">
        <v>0</v>
      </c>
      <c r="M706" t="b">
        <v>0</v>
      </c>
      <c r="N706" t="inlineStr">
        <is>
          <t>alt</t>
        </is>
      </c>
      <c r="O706" t="n">
        <v>85</v>
      </c>
      <c r="P706" t="n">
        <v>0.003159</v>
      </c>
      <c r="Q706" t="n">
        <v>100</v>
      </c>
      <c r="R706" t="n">
        <v>0.0526</v>
      </c>
      <c r="S706">
        <f>IMAGE("https://mitra.stanford.edu/kundaje/oak/projects/neuro-variants/variant_position/credible/roussos_2024/variant_figures/roussos_2024.childhood.GABA/rs626717_count_position.png",4,220,900)</f>
        <v/>
      </c>
      <c r="T706">
        <f>IMAGE("https://mitra.stanford.edu/kundaje/oak/projects/neuro-variants/variant_position/credible/roussos_2024/variant_figures/roussos_2024.childhood.GABA/rs626717_profile_position.png",4,220,900)</f>
        <v/>
      </c>
    </row>
    <row r="707">
      <c r="A707" t="inlineStr">
        <is>
          <t>chr11</t>
        </is>
      </c>
      <c r="B707" t="n">
        <v>134128003</v>
      </c>
      <c r="C707" t="inlineStr">
        <is>
          <t>A</t>
        </is>
      </c>
      <c r="D707" t="inlineStr">
        <is>
          <t>G</t>
        </is>
      </c>
      <c r="E707" t="inlineStr">
        <is>
          <t>rs470713</t>
        </is>
      </c>
      <c r="F707" t="n">
        <v>0.0042380153</v>
      </c>
      <c r="G707" t="n">
        <v>0.8009952386893496</v>
      </c>
      <c r="H707" t="n">
        <v>0.008064291488126599</v>
      </c>
      <c r="I707" t="n">
        <v>0.8579918057392064</v>
      </c>
      <c r="J707" t="n">
        <v>0.0216403844945655</v>
      </c>
      <c r="K707" t="n">
        <v>0.6527921183065625</v>
      </c>
      <c r="L707" t="b">
        <v>0</v>
      </c>
      <c r="M707" t="b">
        <v>0</v>
      </c>
      <c r="N707" t="inlineStr">
        <is>
          <t>alt</t>
        </is>
      </c>
      <c r="O707" t="n">
        <v>-30</v>
      </c>
      <c r="P707" t="n">
        <v>0.00409</v>
      </c>
      <c r="Q707" t="n">
        <v>-100</v>
      </c>
      <c r="R707" t="n">
        <v>0.07190000000000001</v>
      </c>
      <c r="S707">
        <f>IMAGE("https://mitra.stanford.edu/kundaje/oak/projects/neuro-variants/variant_position/credible/roussos_2024/variant_figures/roussos_2024.childhood.GABA/rs470713_count_position.png",4,220,900)</f>
        <v/>
      </c>
      <c r="T707">
        <f>IMAGE("https://mitra.stanford.edu/kundaje/oak/projects/neuro-variants/variant_position/credible/roussos_2024/variant_figures/roussos_2024.childhood.GABA/rs470713_profile_position.png",4,220,900)</f>
        <v/>
      </c>
    </row>
    <row r="708">
      <c r="A708" t="inlineStr">
        <is>
          <t>chr11</t>
        </is>
      </c>
      <c r="B708" t="n">
        <v>134171989</v>
      </c>
      <c r="C708" t="inlineStr">
        <is>
          <t>C</t>
        </is>
      </c>
      <c r="D708" t="inlineStr">
        <is>
          <t>T</t>
        </is>
      </c>
      <c r="E708" t="inlineStr">
        <is>
          <t>rs10736610</t>
        </is>
      </c>
      <c r="F708" t="n">
        <v>0.007866386939999999</v>
      </c>
      <c r="G708" t="n">
        <v>0.6805259832466669</v>
      </c>
      <c r="H708" t="n">
        <v>0.009699290382166799</v>
      </c>
      <c r="I708" t="n">
        <v>0.672444062521252</v>
      </c>
      <c r="J708" t="n">
        <v>0.2410420724173315</v>
      </c>
      <c r="K708" t="n">
        <v>0.182785118455428</v>
      </c>
      <c r="L708" t="b">
        <v>0</v>
      </c>
      <c r="M708" t="b">
        <v>0</v>
      </c>
      <c r="N708" t="inlineStr">
        <is>
          <t>alt</t>
        </is>
      </c>
      <c r="O708" t="n">
        <v>100</v>
      </c>
      <c r="P708" t="n">
        <v>0.004013</v>
      </c>
      <c r="Q708" t="n">
        <v>90</v>
      </c>
      <c r="R708" t="n">
        <v>0.04285</v>
      </c>
      <c r="S708">
        <f>IMAGE("https://mitra.stanford.edu/kundaje/oak/projects/neuro-variants/variant_position/credible/roussos_2024/variant_figures/roussos_2024.childhood.GABA/rs10736610_count_position.png",4,220,900)</f>
        <v/>
      </c>
      <c r="T708">
        <f>IMAGE("https://mitra.stanford.edu/kundaje/oak/projects/neuro-variants/variant_position/credible/roussos_2024/variant_figures/roussos_2024.childhood.GABA/rs10736610_profile_position.png",4,220,900)</f>
        <v/>
      </c>
    </row>
    <row r="709">
      <c r="A709" t="inlineStr">
        <is>
          <t>chr11</t>
        </is>
      </c>
      <c r="B709" t="n">
        <v>134177781</v>
      </c>
      <c r="C709" t="inlineStr">
        <is>
          <t>G</t>
        </is>
      </c>
      <c r="D709" t="inlineStr">
        <is>
          <t>A</t>
        </is>
      </c>
      <c r="E709" t="inlineStr">
        <is>
          <t>rs11223722</t>
        </is>
      </c>
      <c r="F709" t="n">
        <v>0.1247571228</v>
      </c>
      <c r="G709" t="n">
        <v>0.0194813020476287</v>
      </c>
      <c r="H709" t="n">
        <v>0.0303454428958111</v>
      </c>
      <c r="I709" t="n">
        <v>0.0135343355588516</v>
      </c>
      <c r="J709" t="n">
        <v>0.08636154216665611</v>
      </c>
      <c r="K709" t="n">
        <v>0.3850060984479965</v>
      </c>
      <c r="L709" t="b">
        <v>1</v>
      </c>
      <c r="M709" t="b">
        <v>0</v>
      </c>
      <c r="N709" t="inlineStr">
        <is>
          <t>alt</t>
        </is>
      </c>
      <c r="O709" t="n">
        <v>100</v>
      </c>
      <c r="P709" t="n">
        <v>0.00958</v>
      </c>
      <c r="Q709" t="n">
        <v>65</v>
      </c>
      <c r="R709" t="n">
        <v>0.06859999999999999</v>
      </c>
      <c r="S709">
        <f>IMAGE("https://mitra.stanford.edu/kundaje/oak/projects/neuro-variants/variant_position/credible/roussos_2024/variant_figures/roussos_2024.childhood.GABA/rs11223722_count_position.png",4,220,900)</f>
        <v/>
      </c>
      <c r="T709">
        <f>IMAGE("https://mitra.stanford.edu/kundaje/oak/projects/neuro-variants/variant_position/credible/roussos_2024/variant_figures/roussos_2024.childhood.GABA/rs11223722_profile_position.png",4,220,900)</f>
        <v/>
      </c>
    </row>
    <row r="710">
      <c r="A710" t="inlineStr">
        <is>
          <t>chr11</t>
        </is>
      </c>
      <c r="B710" t="n">
        <v>134178248</v>
      </c>
      <c r="C710" t="inlineStr">
        <is>
          <t>G</t>
        </is>
      </c>
      <c r="D710" t="inlineStr">
        <is>
          <t>T</t>
        </is>
      </c>
      <c r="E710" t="inlineStr">
        <is>
          <t>rs10894782</t>
        </is>
      </c>
      <c r="F710" t="n">
        <v>-0.0526733316</v>
      </c>
      <c r="G710" t="n">
        <v>0.1323057959995832</v>
      </c>
      <c r="H710" t="n">
        <v>0.023296492146684</v>
      </c>
      <c r="I710" t="n">
        <v>0.0406929487309604</v>
      </c>
      <c r="J710" t="n">
        <v>0.0737953131871583</v>
      </c>
      <c r="K710" t="n">
        <v>0.4125402117468616</v>
      </c>
      <c r="L710" t="b">
        <v>0</v>
      </c>
      <c r="M710" t="b">
        <v>0</v>
      </c>
      <c r="N710" t="inlineStr">
        <is>
          <t>ref</t>
        </is>
      </c>
      <c r="O710" t="n">
        <v>-100</v>
      </c>
      <c r="P710" t="n">
        <v>0.0247</v>
      </c>
      <c r="Q710" t="n">
        <v>-80</v>
      </c>
      <c r="R710" t="n">
        <v>0.04095</v>
      </c>
      <c r="S710">
        <f>IMAGE("https://mitra.stanford.edu/kundaje/oak/projects/neuro-variants/variant_position/credible/roussos_2024/variant_figures/roussos_2024.childhood.GABA/rs10894782_count_position.png",4,220,900)</f>
        <v/>
      </c>
      <c r="T710">
        <f>IMAGE("https://mitra.stanford.edu/kundaje/oak/projects/neuro-variants/variant_position/credible/roussos_2024/variant_figures/roussos_2024.childhood.GABA/rs10894782_profile_position.png",4,220,900)</f>
        <v/>
      </c>
    </row>
    <row r="711">
      <c r="A711" t="inlineStr">
        <is>
          <t>chr11</t>
        </is>
      </c>
      <c r="B711" t="n">
        <v>134225779</v>
      </c>
      <c r="C711" t="inlineStr">
        <is>
          <t>C</t>
        </is>
      </c>
      <c r="D711" t="inlineStr">
        <is>
          <t>T</t>
        </is>
      </c>
      <c r="E711" t="inlineStr">
        <is>
          <t>rs523621</t>
        </is>
      </c>
      <c r="F711" t="n">
        <v>-0.0209222556</v>
      </c>
      <c r="G711" t="n">
        <v>0.4178212237347982</v>
      </c>
      <c r="H711" t="n">
        <v>0.0105518769463098</v>
      </c>
      <c r="I711" t="n">
        <v>0.5805239628454781</v>
      </c>
      <c r="J711" t="n">
        <v>0.5581485204498335</v>
      </c>
      <c r="K711" t="n">
        <v>0.0365953244203413</v>
      </c>
      <c r="L711" t="b">
        <v>0</v>
      </c>
      <c r="M711" t="b">
        <v>0</v>
      </c>
      <c r="N711" t="inlineStr">
        <is>
          <t>ref</t>
        </is>
      </c>
      <c r="O711" t="n">
        <v>100</v>
      </c>
      <c r="P711" t="n">
        <v>0.006767</v>
      </c>
      <c r="Q711" t="n">
        <v>-80</v>
      </c>
      <c r="R711" t="n">
        <v>0.10004</v>
      </c>
      <c r="S711">
        <f>IMAGE("https://mitra.stanford.edu/kundaje/oak/projects/neuro-variants/variant_position/credible/roussos_2024/variant_figures/roussos_2024.childhood.GABA/rs523621_count_position.png",4,220,900)</f>
        <v/>
      </c>
      <c r="T711">
        <f>IMAGE("https://mitra.stanford.edu/kundaje/oak/projects/neuro-variants/variant_position/credible/roussos_2024/variant_figures/roussos_2024.childhood.GABA/rs523621_profile_position.png",4,220,900)</f>
        <v/>
      </c>
    </row>
    <row r="712">
      <c r="A712" t="inlineStr">
        <is>
          <t>chr11</t>
        </is>
      </c>
      <c r="B712" t="n">
        <v>134229207</v>
      </c>
      <c r="C712" t="inlineStr">
        <is>
          <t>T</t>
        </is>
      </c>
      <c r="D712" t="inlineStr">
        <is>
          <t>G</t>
        </is>
      </c>
      <c r="E712" t="inlineStr">
        <is>
          <t>rs543528</t>
        </is>
      </c>
      <c r="F712" t="n">
        <v>0.0052643781719999</v>
      </c>
      <c r="G712" t="n">
        <v>0.7611341126560461</v>
      </c>
      <c r="H712" t="n">
        <v>0.0320811781986145</v>
      </c>
      <c r="I712" t="n">
        <v>0.009605814534952401</v>
      </c>
      <c r="J712" t="n">
        <v>0.1912410211304475</v>
      </c>
      <c r="K712" t="n">
        <v>0.2259701432492969</v>
      </c>
      <c r="L712" t="b">
        <v>1</v>
      </c>
      <c r="M712" t="b">
        <v>1</v>
      </c>
      <c r="N712" t="inlineStr">
        <is>
          <t>alt</t>
        </is>
      </c>
      <c r="O712" t="n">
        <v>-100</v>
      </c>
      <c r="P712" t="n">
        <v>0.0711</v>
      </c>
      <c r="Q712" t="n">
        <v>-20</v>
      </c>
      <c r="R712" t="n">
        <v>0.02275</v>
      </c>
      <c r="S712">
        <f>IMAGE("https://mitra.stanford.edu/kundaje/oak/projects/neuro-variants/variant_position/credible/roussos_2024/variant_figures/roussos_2024.childhood.GABA/rs543528_count_position.png",4,220,900)</f>
        <v/>
      </c>
      <c r="T712">
        <f>IMAGE("https://mitra.stanford.edu/kundaje/oak/projects/neuro-variants/variant_position/credible/roussos_2024/variant_figures/roussos_2024.childhood.GABA/rs543528_profile_position.png",4,220,900)</f>
        <v/>
      </c>
    </row>
    <row r="713">
      <c r="A713" t="inlineStr">
        <is>
          <t>chr11</t>
        </is>
      </c>
      <c r="B713" t="n">
        <v>134578234</v>
      </c>
      <c r="C713" t="inlineStr">
        <is>
          <t>G</t>
        </is>
      </c>
      <c r="D713" t="inlineStr">
        <is>
          <t>T</t>
        </is>
      </c>
      <c r="E713" t="inlineStr">
        <is>
          <t>rs7936986</t>
        </is>
      </c>
      <c r="F713" t="n">
        <v>-0.0285141988</v>
      </c>
      <c r="G713" t="n">
        <v>0.3148868944782645</v>
      </c>
      <c r="H713" t="n">
        <v>0.0108849153269504</v>
      </c>
      <c r="I713" t="n">
        <v>0.5390016147089596</v>
      </c>
      <c r="J713" t="n">
        <v>0.4510324391112227</v>
      </c>
      <c r="K713" t="n">
        <v>0.06694834348429179</v>
      </c>
      <c r="L713" t="b">
        <v>0</v>
      </c>
      <c r="M713" t="b">
        <v>0</v>
      </c>
      <c r="N713" t="inlineStr">
        <is>
          <t>ref</t>
        </is>
      </c>
      <c r="O713" t="n">
        <v>-100</v>
      </c>
      <c r="P713" t="n">
        <v>0.003578</v>
      </c>
      <c r="Q713" t="n">
        <v>90</v>
      </c>
      <c r="R713" t="n">
        <v>0.01953</v>
      </c>
      <c r="S713">
        <f>IMAGE("https://mitra.stanford.edu/kundaje/oak/projects/neuro-variants/variant_position/credible/roussos_2024/variant_figures/roussos_2024.childhood.GABA/rs7936986_count_position.png",4,220,900)</f>
        <v/>
      </c>
      <c r="T713">
        <f>IMAGE("https://mitra.stanford.edu/kundaje/oak/projects/neuro-variants/variant_position/credible/roussos_2024/variant_figures/roussos_2024.childhood.GABA/rs7936986_profile_position.png",4,220,900)</f>
        <v/>
      </c>
    </row>
    <row r="714">
      <c r="A714" t="inlineStr">
        <is>
          <t>chr11</t>
        </is>
      </c>
      <c r="B714" t="n">
        <v>134598569</v>
      </c>
      <c r="C714" t="inlineStr">
        <is>
          <t>G</t>
        </is>
      </c>
      <c r="D714" t="inlineStr">
        <is>
          <t>A</t>
        </is>
      </c>
      <c r="E714" t="inlineStr">
        <is>
          <t>rs10894852</t>
        </is>
      </c>
      <c r="F714" t="n">
        <v>-0.0210020748</v>
      </c>
      <c r="G714" t="n">
        <v>0.420900808750107</v>
      </c>
      <c r="H714" t="n">
        <v>0.009132302958769</v>
      </c>
      <c r="I714" t="n">
        <v>0.7374258916677238</v>
      </c>
      <c r="J714" t="n">
        <v>0.0909247973864421</v>
      </c>
      <c r="K714" t="n">
        <v>0.382631139846078</v>
      </c>
      <c r="L714" t="b">
        <v>0</v>
      </c>
      <c r="M714" t="b">
        <v>0</v>
      </c>
      <c r="N714" t="inlineStr">
        <is>
          <t>ref</t>
        </is>
      </c>
      <c r="O714" t="n">
        <v>20</v>
      </c>
      <c r="P714" t="n">
        <v>0.001862</v>
      </c>
      <c r="Q714" t="n">
        <v>-25</v>
      </c>
      <c r="R714" t="n">
        <v>0.0169</v>
      </c>
      <c r="S714">
        <f>IMAGE("https://mitra.stanford.edu/kundaje/oak/projects/neuro-variants/variant_position/credible/roussos_2024/variant_figures/roussos_2024.childhood.GABA/rs10894852_count_position.png",4,220,900)</f>
        <v/>
      </c>
      <c r="T714">
        <f>IMAGE("https://mitra.stanford.edu/kundaje/oak/projects/neuro-variants/variant_position/credible/roussos_2024/variant_figures/roussos_2024.childhood.GABA/rs10894852_profile_position.png",4,220,900)</f>
        <v/>
      </c>
    </row>
    <row r="715">
      <c r="A715" t="inlineStr">
        <is>
          <t>chr11</t>
        </is>
      </c>
      <c r="B715" t="n">
        <v>134629212</v>
      </c>
      <c r="C715" t="inlineStr">
        <is>
          <t>T</t>
        </is>
      </c>
      <c r="D715" t="inlineStr">
        <is>
          <t>C</t>
        </is>
      </c>
      <c r="E715" t="inlineStr">
        <is>
          <t>rs7122771</t>
        </is>
      </c>
      <c r="F715" t="n">
        <v>0.036586184</v>
      </c>
      <c r="G715" t="n">
        <v>0.2298648272583203</v>
      </c>
      <c r="H715" t="n">
        <v>0.0116093846758622</v>
      </c>
      <c r="I715" t="n">
        <v>0.4770545041193074</v>
      </c>
      <c r="J715" t="n">
        <v>0.09382526020397471</v>
      </c>
      <c r="K715" t="n">
        <v>0.3784127794096948</v>
      </c>
      <c r="L715" t="b">
        <v>0</v>
      </c>
      <c r="M715" t="b">
        <v>0</v>
      </c>
      <c r="N715" t="inlineStr">
        <is>
          <t>alt</t>
        </is>
      </c>
      <c r="O715" t="n">
        <v>-70</v>
      </c>
      <c r="P715" t="n">
        <v>0.01944</v>
      </c>
      <c r="Q715" t="n">
        <v>-95</v>
      </c>
      <c r="R715" t="n">
        <v>0.05396</v>
      </c>
      <c r="S715">
        <f>IMAGE("https://mitra.stanford.edu/kundaje/oak/projects/neuro-variants/variant_position/credible/roussos_2024/variant_figures/roussos_2024.childhood.GABA/rs7122771_count_position.png",4,220,900)</f>
        <v/>
      </c>
      <c r="T715">
        <f>IMAGE("https://mitra.stanford.edu/kundaje/oak/projects/neuro-variants/variant_position/credible/roussos_2024/variant_figures/roussos_2024.childhood.GABA/rs7122771_profile_position.png",4,220,900)</f>
        <v/>
      </c>
    </row>
    <row r="716">
      <c r="A716" t="inlineStr">
        <is>
          <t>chr11</t>
        </is>
      </c>
      <c r="B716" t="n">
        <v>134634166</v>
      </c>
      <c r="C716" t="inlineStr">
        <is>
          <t>T</t>
        </is>
      </c>
      <c r="D716" t="inlineStr">
        <is>
          <t>G</t>
        </is>
      </c>
      <c r="E716" t="inlineStr">
        <is>
          <t>rs4343039</t>
        </is>
      </c>
      <c r="F716" t="n">
        <v>0.0170302825</v>
      </c>
      <c r="G716" t="n">
        <v>0.454296007271787</v>
      </c>
      <c r="H716" t="n">
        <v>0.0155422137741131</v>
      </c>
      <c r="I716" t="n">
        <v>0.1997744013837276</v>
      </c>
      <c r="J716" t="n">
        <v>0.0530376327197335</v>
      </c>
      <c r="K716" t="n">
        <v>0.4922147625190122</v>
      </c>
      <c r="L716" t="b">
        <v>0</v>
      </c>
      <c r="M716" t="b">
        <v>0</v>
      </c>
      <c r="N716" t="inlineStr">
        <is>
          <t>alt</t>
        </is>
      </c>
      <c r="O716" t="n">
        <v>100</v>
      </c>
      <c r="P716" t="n">
        <v>0.01111</v>
      </c>
      <c r="Q716" t="n">
        <v>-45</v>
      </c>
      <c r="R716" t="n">
        <v>0.02557</v>
      </c>
      <c r="S716">
        <f>IMAGE("https://mitra.stanford.edu/kundaje/oak/projects/neuro-variants/variant_position/credible/roussos_2024/variant_figures/roussos_2024.childhood.GABA/rs4343039_count_position.png",4,220,900)</f>
        <v/>
      </c>
      <c r="T716">
        <f>IMAGE("https://mitra.stanford.edu/kundaje/oak/projects/neuro-variants/variant_position/credible/roussos_2024/variant_figures/roussos_2024.childhood.GABA/rs4343039_profile_position.png",4,220,900)</f>
        <v/>
      </c>
    </row>
    <row r="717">
      <c r="A717" t="inlineStr">
        <is>
          <t>chr11</t>
        </is>
      </c>
      <c r="B717" t="n">
        <v>134634720</v>
      </c>
      <c r="C717" t="inlineStr">
        <is>
          <t>G</t>
        </is>
      </c>
      <c r="D717" t="inlineStr">
        <is>
          <t>A</t>
        </is>
      </c>
      <c r="E717" t="inlineStr">
        <is>
          <t>rs2187466</t>
        </is>
      </c>
      <c r="F717" t="n">
        <v>-0.0363104105999999</v>
      </c>
      <c r="G717" t="n">
        <v>0.2413749805635456</v>
      </c>
      <c r="H717" t="n">
        <v>0.0124305584058887</v>
      </c>
      <c r="I717" t="n">
        <v>0.3885159313981856</v>
      </c>
      <c r="J717" t="n">
        <v>0.1327364871939854</v>
      </c>
      <c r="K717" t="n">
        <v>0.3046103054661491</v>
      </c>
      <c r="L717" t="b">
        <v>0</v>
      </c>
      <c r="M717" t="b">
        <v>0</v>
      </c>
      <c r="N717" t="inlineStr">
        <is>
          <t>ref</t>
        </is>
      </c>
      <c r="O717" t="n">
        <v>25</v>
      </c>
      <c r="P717" t="n">
        <v>0.0008926</v>
      </c>
      <c r="Q717" t="n">
        <v>20</v>
      </c>
      <c r="R717" t="n">
        <v>0.0562</v>
      </c>
      <c r="S717">
        <f>IMAGE("https://mitra.stanford.edu/kundaje/oak/projects/neuro-variants/variant_position/credible/roussos_2024/variant_figures/roussos_2024.childhood.GABA/rs2187466_count_position.png",4,220,900)</f>
        <v/>
      </c>
      <c r="T717">
        <f>IMAGE("https://mitra.stanford.edu/kundaje/oak/projects/neuro-variants/variant_position/credible/roussos_2024/variant_figures/roussos_2024.childhood.GABA/rs2187466_profile_position.png",4,220,900)</f>
        <v/>
      </c>
    </row>
    <row r="718">
      <c r="A718" t="inlineStr">
        <is>
          <t>chr11</t>
        </is>
      </c>
      <c r="B718" t="n">
        <v>134636158</v>
      </c>
      <c r="C718" t="inlineStr">
        <is>
          <t>T</t>
        </is>
      </c>
      <c r="D718" t="inlineStr">
        <is>
          <t>C</t>
        </is>
      </c>
      <c r="E718" t="inlineStr">
        <is>
          <t>rs3019649</t>
        </is>
      </c>
      <c r="F718" t="n">
        <v>0.046102216</v>
      </c>
      <c r="G718" t="n">
        <v>0.1508989061412565</v>
      </c>
      <c r="H718" t="n">
        <v>0.0094505269041615</v>
      </c>
      <c r="I718" t="n">
        <v>0.702667264579687</v>
      </c>
      <c r="J718" t="n">
        <v>0.592593872379636</v>
      </c>
      <c r="K718" t="n">
        <v>0.0303257007680086</v>
      </c>
      <c r="L718" t="b">
        <v>0</v>
      </c>
      <c r="M718" t="b">
        <v>0</v>
      </c>
      <c r="N718" t="inlineStr">
        <is>
          <t>alt</t>
        </is>
      </c>
      <c r="O718" t="n">
        <v>-100</v>
      </c>
      <c r="P718" t="n">
        <v>0.02141</v>
      </c>
      <c r="Q718" t="n">
        <v>100</v>
      </c>
      <c r="R718" t="n">
        <v>0.03455</v>
      </c>
      <c r="S718">
        <f>IMAGE("https://mitra.stanford.edu/kundaje/oak/projects/neuro-variants/variant_position/credible/roussos_2024/variant_figures/roussos_2024.childhood.GABA/rs3019649_count_position.png",4,220,900)</f>
        <v/>
      </c>
      <c r="T718">
        <f>IMAGE("https://mitra.stanford.edu/kundaje/oak/projects/neuro-variants/variant_position/credible/roussos_2024/variant_figures/roussos_2024.childhood.GABA/rs3019649_profile_position.png",4,220,900)</f>
        <v/>
      </c>
    </row>
    <row r="719">
      <c r="A719" t="inlineStr">
        <is>
          <t>chr11</t>
        </is>
      </c>
      <c r="B719" t="n">
        <v>134637729</v>
      </c>
      <c r="C719" t="inlineStr">
        <is>
          <t>C</t>
        </is>
      </c>
      <c r="D719" t="inlineStr">
        <is>
          <t>T</t>
        </is>
      </c>
      <c r="E719" t="inlineStr">
        <is>
          <t>rs3019651</t>
        </is>
      </c>
      <c r="F719" t="n">
        <v>-0.1196471878</v>
      </c>
      <c r="G719" t="n">
        <v>0.0219550595339047</v>
      </c>
      <c r="H719" t="n">
        <v>0.0171016253557075</v>
      </c>
      <c r="I719" t="n">
        <v>0.1423613899118091</v>
      </c>
      <c r="J719" t="n">
        <v>0.2652038700760193</v>
      </c>
      <c r="K719" t="n">
        <v>0.1623883124990084</v>
      </c>
      <c r="L719" t="b">
        <v>0</v>
      </c>
      <c r="M719" t="b">
        <v>0</v>
      </c>
      <c r="N719" t="inlineStr">
        <is>
          <t>ref</t>
        </is>
      </c>
      <c r="O719" t="n">
        <v>-100</v>
      </c>
      <c r="P719" t="n">
        <v>0.003866</v>
      </c>
      <c r="Q719" t="n">
        <v>100</v>
      </c>
      <c r="R719" t="n">
        <v>0.02783</v>
      </c>
      <c r="S719">
        <f>IMAGE("https://mitra.stanford.edu/kundaje/oak/projects/neuro-variants/variant_position/credible/roussos_2024/variant_figures/roussos_2024.childhood.GABA/rs3019651_count_position.png",4,220,900)</f>
        <v/>
      </c>
      <c r="T719">
        <f>IMAGE("https://mitra.stanford.edu/kundaje/oak/projects/neuro-variants/variant_position/credible/roussos_2024/variant_figures/roussos_2024.childhood.GABA/rs3019651_profile_position.png",4,220,900)</f>
        <v/>
      </c>
    </row>
    <row r="720">
      <c r="A720" t="inlineStr">
        <is>
          <t>chr11</t>
        </is>
      </c>
      <c r="B720" t="n">
        <v>134639072</v>
      </c>
      <c r="C720" t="inlineStr">
        <is>
          <t>T</t>
        </is>
      </c>
      <c r="D720" t="inlineStr">
        <is>
          <t>C</t>
        </is>
      </c>
      <c r="E720" t="inlineStr">
        <is>
          <t>rs3019652</t>
        </is>
      </c>
      <c r="F720" t="n">
        <v>-0.004329745832</v>
      </c>
      <c r="G720" t="n">
        <v>0.7198656307226829</v>
      </c>
      <c r="H720" t="n">
        <v>0.0072776324355719</v>
      </c>
      <c r="I720" t="n">
        <v>0.919733089043736</v>
      </c>
      <c r="J720" t="n">
        <v>0.3360997675441352</v>
      </c>
      <c r="K720" t="n">
        <v>0.1164395271225635</v>
      </c>
      <c r="L720" t="b">
        <v>0</v>
      </c>
      <c r="M720" t="b">
        <v>0</v>
      </c>
      <c r="N720" t="inlineStr">
        <is>
          <t>ref</t>
        </is>
      </c>
      <c r="O720" t="n">
        <v>80</v>
      </c>
      <c r="P720" t="n">
        <v>0.0013275</v>
      </c>
      <c r="Q720" t="n">
        <v>20</v>
      </c>
      <c r="R720" t="n">
        <v>0.05225</v>
      </c>
      <c r="S720">
        <f>IMAGE("https://mitra.stanford.edu/kundaje/oak/projects/neuro-variants/variant_position/credible/roussos_2024/variant_figures/roussos_2024.childhood.GABA/rs3019652_count_position.png",4,220,900)</f>
        <v/>
      </c>
      <c r="T720">
        <f>IMAGE("https://mitra.stanford.edu/kundaje/oak/projects/neuro-variants/variant_position/credible/roussos_2024/variant_figures/roussos_2024.childhood.GABA/rs3019652_profile_position.png",4,220,900)</f>
        <v/>
      </c>
    </row>
    <row r="721">
      <c r="A721" t="inlineStr">
        <is>
          <t>chr11</t>
        </is>
      </c>
      <c r="B721" t="n">
        <v>134649712</v>
      </c>
      <c r="C721" t="inlineStr">
        <is>
          <t>C</t>
        </is>
      </c>
      <c r="D721" t="inlineStr">
        <is>
          <t>A</t>
        </is>
      </c>
      <c r="E721" t="inlineStr">
        <is>
          <t>rs2226892</t>
        </is>
      </c>
      <c r="F721" t="n">
        <v>-0.0006584279012</v>
      </c>
      <c r="G721" t="n">
        <v>0.8841869675080747</v>
      </c>
      <c r="H721" t="n">
        <v>0.0120524806454658</v>
      </c>
      <c r="I721" t="n">
        <v>0.4378884245604466</v>
      </c>
      <c r="J721" t="n">
        <v>1.570647735125966e-05</v>
      </c>
      <c r="K721" t="n">
        <v>0.999989599857076</v>
      </c>
      <c r="L721" t="b">
        <v>0</v>
      </c>
      <c r="M721" t="b">
        <v>0</v>
      </c>
      <c r="N721" t="inlineStr">
        <is>
          <t>ref</t>
        </is>
      </c>
      <c r="O721" t="n">
        <v>-10</v>
      </c>
      <c r="P721" t="n">
        <v>0.0008809999999999999</v>
      </c>
      <c r="Q721" t="n">
        <v>-100</v>
      </c>
      <c r="R721" t="n">
        <v>0.0415</v>
      </c>
      <c r="S721">
        <f>IMAGE("https://mitra.stanford.edu/kundaje/oak/projects/neuro-variants/variant_position/credible/roussos_2024/variant_figures/roussos_2024.childhood.GABA/rs2226892_count_position.png",4,220,900)</f>
        <v/>
      </c>
      <c r="T721">
        <f>IMAGE("https://mitra.stanford.edu/kundaje/oak/projects/neuro-variants/variant_position/credible/roussos_2024/variant_figures/roussos_2024.childhood.GABA/rs2226892_profile_position.png",4,220,900)</f>
        <v/>
      </c>
    </row>
    <row r="722">
      <c r="A722" t="inlineStr">
        <is>
          <t>chr11</t>
        </is>
      </c>
      <c r="B722" t="n">
        <v>134654769</v>
      </c>
      <c r="C722" t="inlineStr">
        <is>
          <t>A</t>
        </is>
      </c>
      <c r="D722" t="inlineStr">
        <is>
          <t>C</t>
        </is>
      </c>
      <c r="E722" t="inlineStr">
        <is>
          <t>rs3018003</t>
        </is>
      </c>
      <c r="F722" t="n">
        <v>-0.0088997191259999</v>
      </c>
      <c r="G722" t="n">
        <v>0.2382203397377723</v>
      </c>
      <c r="H722" t="n">
        <v>0.0366432007152204</v>
      </c>
      <c r="I722" t="n">
        <v>0.0056411947843511</v>
      </c>
      <c r="J722" t="n">
        <v>0.5788255743335218</v>
      </c>
      <c r="K722" t="n">
        <v>0.0316700288845233</v>
      </c>
      <c r="L722" t="b">
        <v>1</v>
      </c>
      <c r="M722" t="b">
        <v>1</v>
      </c>
      <c r="N722" t="inlineStr">
        <is>
          <t>ref</t>
        </is>
      </c>
      <c r="O722" t="n">
        <v>15</v>
      </c>
      <c r="P722" t="n">
        <v>0.001312</v>
      </c>
      <c r="Q722" t="n">
        <v>-5</v>
      </c>
      <c r="R722" t="n">
        <v>0.006836</v>
      </c>
      <c r="S722">
        <f>IMAGE("https://mitra.stanford.edu/kundaje/oak/projects/neuro-variants/variant_position/credible/roussos_2024/variant_figures/roussos_2024.childhood.GABA/rs3018003_count_position.png",4,220,900)</f>
        <v/>
      </c>
      <c r="T722">
        <f>IMAGE("https://mitra.stanford.edu/kundaje/oak/projects/neuro-variants/variant_position/credible/roussos_2024/variant_figures/roussos_2024.childhood.GABA/rs3018003_profile_position.png",4,220,900)</f>
        <v/>
      </c>
    </row>
    <row r="723">
      <c r="A723" t="inlineStr">
        <is>
          <t>chr11</t>
        </is>
      </c>
      <c r="B723" t="n">
        <v>134657527</v>
      </c>
      <c r="C723" t="inlineStr">
        <is>
          <t>C</t>
        </is>
      </c>
      <c r="D723" t="inlineStr">
        <is>
          <t>T</t>
        </is>
      </c>
      <c r="E723" t="inlineStr">
        <is>
          <t>rs11223928</t>
        </is>
      </c>
      <c r="F723" t="n">
        <v>0.0205412892</v>
      </c>
      <c r="G723" t="n">
        <v>0.398459769285522</v>
      </c>
      <c r="H723" t="n">
        <v>0.0144909199559862</v>
      </c>
      <c r="I723" t="n">
        <v>0.2489000797960634</v>
      </c>
      <c r="J723" t="n">
        <v>0.5052710937990827</v>
      </c>
      <c r="K723" t="n">
        <v>0.0496250955324415</v>
      </c>
      <c r="L723" t="b">
        <v>0</v>
      </c>
      <c r="M723" t="b">
        <v>0</v>
      </c>
      <c r="N723" t="inlineStr">
        <is>
          <t>alt</t>
        </is>
      </c>
      <c r="O723" t="n">
        <v>-5</v>
      </c>
      <c r="P723" t="n">
        <v>6.485e-05</v>
      </c>
      <c r="Q723" t="n">
        <v>-80</v>
      </c>
      <c r="R723" t="n">
        <v>0.1218</v>
      </c>
      <c r="S723">
        <f>IMAGE("https://mitra.stanford.edu/kundaje/oak/projects/neuro-variants/variant_position/credible/roussos_2024/variant_figures/roussos_2024.childhood.GABA/rs11223928_count_position.png",4,220,900)</f>
        <v/>
      </c>
      <c r="T723">
        <f>IMAGE("https://mitra.stanford.edu/kundaje/oak/projects/neuro-variants/variant_position/credible/roussos_2024/variant_figures/roussos_2024.childhood.GABA/rs11223928_profile_position.png",4,220,900)</f>
        <v/>
      </c>
    </row>
    <row r="724">
      <c r="A724" t="inlineStr">
        <is>
          <t>chr11</t>
        </is>
      </c>
      <c r="B724" t="n">
        <v>134661373</v>
      </c>
      <c r="C724" t="inlineStr">
        <is>
          <t>A</t>
        </is>
      </c>
      <c r="D724" t="inlineStr">
        <is>
          <t>C</t>
        </is>
      </c>
      <c r="E724" t="inlineStr">
        <is>
          <t>rs999785</t>
        </is>
      </c>
      <c r="F724" t="n">
        <v>-0.00221566232</v>
      </c>
      <c r="G724" t="n">
        <v>0.70106986765949</v>
      </c>
      <c r="H724" t="n">
        <v>0.0106875516346703</v>
      </c>
      <c r="I724" t="n">
        <v>0.565725877217905</v>
      </c>
      <c r="J724" t="n">
        <v>0.050849196875458</v>
      </c>
      <c r="K724" t="n">
        <v>0.498048821486102</v>
      </c>
      <c r="L724" t="b">
        <v>0</v>
      </c>
      <c r="M724" t="b">
        <v>0</v>
      </c>
      <c r="N724" t="inlineStr">
        <is>
          <t>ref</t>
        </is>
      </c>
      <c r="O724" t="n">
        <v>5</v>
      </c>
      <c r="P724" t="n">
        <v>0.0008755</v>
      </c>
      <c r="Q724" t="n">
        <v>5</v>
      </c>
      <c r="R724" t="n">
        <v>0.001526</v>
      </c>
      <c r="S724">
        <f>IMAGE("https://mitra.stanford.edu/kundaje/oak/projects/neuro-variants/variant_position/credible/roussos_2024/variant_figures/roussos_2024.childhood.GABA/rs999785_count_position.png",4,220,900)</f>
        <v/>
      </c>
      <c r="T724">
        <f>IMAGE("https://mitra.stanford.edu/kundaje/oak/projects/neuro-variants/variant_position/credible/roussos_2024/variant_figures/roussos_2024.childhood.GABA/rs999785_profile_position.png",4,220,900)</f>
        <v/>
      </c>
    </row>
    <row r="725">
      <c r="A725" t="inlineStr">
        <is>
          <t>chr11</t>
        </is>
      </c>
      <c r="B725" t="n">
        <v>134665000</v>
      </c>
      <c r="C725" t="inlineStr">
        <is>
          <t>T</t>
        </is>
      </c>
      <c r="D725" t="inlineStr">
        <is>
          <t>C</t>
        </is>
      </c>
      <c r="E725" t="inlineStr">
        <is>
          <t>rs11223931</t>
        </is>
      </c>
      <c r="F725" t="n">
        <v>-0.0534877261999999</v>
      </c>
      <c r="G725" t="n">
        <v>0.1285484166196301</v>
      </c>
      <c r="H725" t="n">
        <v>0.0139929053670623</v>
      </c>
      <c r="I725" t="n">
        <v>0.2834459756668926</v>
      </c>
      <c r="J725" t="n">
        <v>0.5643735209733828</v>
      </c>
      <c r="K725" t="n">
        <v>0.0356311346971607</v>
      </c>
      <c r="L725" t="b">
        <v>0</v>
      </c>
      <c r="M725" t="b">
        <v>0</v>
      </c>
      <c r="N725" t="inlineStr">
        <is>
          <t>ref</t>
        </is>
      </c>
      <c r="O725" t="n">
        <v>85</v>
      </c>
      <c r="P725" t="n">
        <v>0.003038</v>
      </c>
      <c r="Q725" t="n">
        <v>75</v>
      </c>
      <c r="R725" t="n">
        <v>0.0525</v>
      </c>
      <c r="S725">
        <f>IMAGE("https://mitra.stanford.edu/kundaje/oak/projects/neuro-variants/variant_position/credible/roussos_2024/variant_figures/roussos_2024.childhood.GABA/rs11223931_count_position.png",4,220,900)</f>
        <v/>
      </c>
      <c r="T725">
        <f>IMAGE("https://mitra.stanford.edu/kundaje/oak/projects/neuro-variants/variant_position/credible/roussos_2024/variant_figures/roussos_2024.childhood.GABA/rs11223931_profile_position.png",4,220,900)</f>
        <v/>
      </c>
    </row>
    <row r="726">
      <c r="A726" t="inlineStr">
        <is>
          <t>chr11</t>
        </is>
      </c>
      <c r="B726" t="n">
        <v>134716809</v>
      </c>
      <c r="C726" t="inlineStr">
        <is>
          <t>T</t>
        </is>
      </c>
      <c r="D726" t="inlineStr">
        <is>
          <t>C</t>
        </is>
      </c>
      <c r="E726" t="inlineStr">
        <is>
          <t>rs10894859</t>
        </is>
      </c>
      <c r="F726" t="n">
        <v>-0.0274036174</v>
      </c>
      <c r="G726" t="n">
        <v>0.3259288624681464</v>
      </c>
      <c r="H726" t="n">
        <v>0.0121074469262061</v>
      </c>
      <c r="I726" t="n">
        <v>0.4218181458071284</v>
      </c>
      <c r="J726" t="n">
        <v>0.2782339636866243</v>
      </c>
      <c r="K726" t="n">
        <v>0.1523452538852085</v>
      </c>
      <c r="L726" t="b">
        <v>0</v>
      </c>
      <c r="M726" t="b">
        <v>0</v>
      </c>
      <c r="N726" t="inlineStr">
        <is>
          <t>ref</t>
        </is>
      </c>
      <c r="O726" t="n">
        <v>100</v>
      </c>
      <c r="P726" t="n">
        <v>0.001274</v>
      </c>
      <c r="Q726" t="n">
        <v>55</v>
      </c>
      <c r="R726" t="n">
        <v>0.014404</v>
      </c>
      <c r="S726">
        <f>IMAGE("https://mitra.stanford.edu/kundaje/oak/projects/neuro-variants/variant_position/credible/roussos_2024/variant_figures/roussos_2024.childhood.GABA/rs10894859_count_position.png",4,220,900)</f>
        <v/>
      </c>
      <c r="T726">
        <f>IMAGE("https://mitra.stanford.edu/kundaje/oak/projects/neuro-variants/variant_position/credible/roussos_2024/variant_figures/roussos_2024.childhood.GABA/rs10894859_profile_position.png",4,220,900)</f>
        <v/>
      </c>
    </row>
    <row r="727">
      <c r="A727" t="inlineStr">
        <is>
          <t>chr11</t>
        </is>
      </c>
      <c r="B727" t="n">
        <v>134716814</v>
      </c>
      <c r="C727" t="inlineStr">
        <is>
          <t>A</t>
        </is>
      </c>
      <c r="D727" t="inlineStr">
        <is>
          <t>G</t>
        </is>
      </c>
      <c r="E727" t="inlineStr">
        <is>
          <t>rs12277680</t>
        </is>
      </c>
      <c r="F727" t="n">
        <v>-0.076177602</v>
      </c>
      <c r="G727" t="n">
        <v>0.06683868506769949</v>
      </c>
      <c r="H727" t="n">
        <v>0.0211644022083372</v>
      </c>
      <c r="I727" t="n">
        <v>0.0591619724273584</v>
      </c>
      <c r="J727" t="n">
        <v>0.2778077946011602</v>
      </c>
      <c r="K727" t="n">
        <v>0.1526497559131025</v>
      </c>
      <c r="L727" t="b">
        <v>0</v>
      </c>
      <c r="M727" t="b">
        <v>0</v>
      </c>
      <c r="N727" t="inlineStr">
        <is>
          <t>ref</t>
        </is>
      </c>
      <c r="O727" t="n">
        <v>100</v>
      </c>
      <c r="P727" t="n">
        <v>0.005646</v>
      </c>
      <c r="Q727" t="n">
        <v>25</v>
      </c>
      <c r="R727" t="n">
        <v>0.00757</v>
      </c>
      <c r="S727">
        <f>IMAGE("https://mitra.stanford.edu/kundaje/oak/projects/neuro-variants/variant_position/credible/roussos_2024/variant_figures/roussos_2024.childhood.GABA/rs12277680_count_position.png",4,220,900)</f>
        <v/>
      </c>
      <c r="T727">
        <f>IMAGE("https://mitra.stanford.edu/kundaje/oak/projects/neuro-variants/variant_position/credible/roussos_2024/variant_figures/roussos_2024.childhood.GABA/rs12277680_profile_position.png",4,220,900)</f>
        <v/>
      </c>
    </row>
    <row r="728">
      <c r="A728" t="inlineStr">
        <is>
          <t>chr11</t>
        </is>
      </c>
      <c r="B728" t="n">
        <v>134725880</v>
      </c>
      <c r="C728" t="inlineStr">
        <is>
          <t>T</t>
        </is>
      </c>
      <c r="D728" t="inlineStr">
        <is>
          <t>C</t>
        </is>
      </c>
      <c r="E728" t="inlineStr">
        <is>
          <t>rs7951888</t>
        </is>
      </c>
      <c r="F728" t="n">
        <v>-0.01141003618</v>
      </c>
      <c r="G728" t="n">
        <v>0.6148423191318777</v>
      </c>
      <c r="H728" t="n">
        <v>0.0224639176705154</v>
      </c>
      <c r="I728" t="n">
        <v>0.0468404748506462</v>
      </c>
      <c r="J728" t="n">
        <v>0.5544229440221147</v>
      </c>
      <c r="K728" t="n">
        <v>0.0384294832050792</v>
      </c>
      <c r="L728" t="b">
        <v>0</v>
      </c>
      <c r="M728" t="b">
        <v>0</v>
      </c>
      <c r="N728" t="inlineStr">
        <is>
          <t>ref</t>
        </is>
      </c>
      <c r="O728" t="n">
        <v>-50</v>
      </c>
      <c r="P728" t="n">
        <v>0.00224</v>
      </c>
      <c r="Q728" t="n">
        <v>100</v>
      </c>
      <c r="R728" t="n">
        <v>0.135</v>
      </c>
      <c r="S728">
        <f>IMAGE("https://mitra.stanford.edu/kundaje/oak/projects/neuro-variants/variant_position/credible/roussos_2024/variant_figures/roussos_2024.childhood.GABA/rs7951888_count_position.png",4,220,900)</f>
        <v/>
      </c>
      <c r="T728">
        <f>IMAGE("https://mitra.stanford.edu/kundaje/oak/projects/neuro-variants/variant_position/credible/roussos_2024/variant_figures/roussos_2024.childhood.GABA/rs7951888_profile_position.png",4,220,900)</f>
        <v/>
      </c>
    </row>
    <row r="729">
      <c r="A729" t="inlineStr">
        <is>
          <t>chr11</t>
        </is>
      </c>
      <c r="B729" t="n">
        <v>134901806</v>
      </c>
      <c r="C729" t="inlineStr">
        <is>
          <t>T</t>
        </is>
      </c>
      <c r="D729" t="inlineStr">
        <is>
          <t>C</t>
        </is>
      </c>
      <c r="E729" t="inlineStr">
        <is>
          <t>rs10894902</t>
        </is>
      </c>
      <c r="F729" t="n">
        <v>0.0625422506</v>
      </c>
      <c r="G729" t="n">
        <v>0.0863187551586988</v>
      </c>
      <c r="H729" t="n">
        <v>0.0142164100055897</v>
      </c>
      <c r="I729" t="n">
        <v>0.2716249146167895</v>
      </c>
      <c r="J729" t="n">
        <v>0.3327218278151242</v>
      </c>
      <c r="K729" t="n">
        <v>0.117712597501062</v>
      </c>
      <c r="L729" t="b">
        <v>0</v>
      </c>
      <c r="M729" t="b">
        <v>0</v>
      </c>
      <c r="N729" t="inlineStr">
        <is>
          <t>alt</t>
        </is>
      </c>
      <c r="O729" t="n">
        <v>-90</v>
      </c>
      <c r="P729" t="n">
        <v>0.001301</v>
      </c>
      <c r="Q729" t="n">
        <v>-95</v>
      </c>
      <c r="R729" t="n">
        <v>0.0813</v>
      </c>
      <c r="S729">
        <f>IMAGE("https://mitra.stanford.edu/kundaje/oak/projects/neuro-variants/variant_position/credible/roussos_2024/variant_figures/roussos_2024.childhood.GABA/rs10894902_count_position.png",4,220,900)</f>
        <v/>
      </c>
      <c r="T729">
        <f>IMAGE("https://mitra.stanford.edu/kundaje/oak/projects/neuro-variants/variant_position/credible/roussos_2024/variant_figures/roussos_2024.childhood.GABA/rs10894902_profile_position.png",4,220,900)</f>
        <v/>
      </c>
    </row>
    <row r="730">
      <c r="A730" t="inlineStr">
        <is>
          <t>chr11</t>
        </is>
      </c>
      <c r="B730" t="n">
        <v>134903531</v>
      </c>
      <c r="C730" t="inlineStr">
        <is>
          <t>A</t>
        </is>
      </c>
      <c r="D730" t="inlineStr">
        <is>
          <t>C</t>
        </is>
      </c>
      <c r="E730" t="inlineStr">
        <is>
          <t>rs906627</t>
        </is>
      </c>
      <c r="F730" t="n">
        <v>-0.0348481624</v>
      </c>
      <c r="G730" t="n">
        <v>0.2453110873242767</v>
      </c>
      <c r="H730" t="n">
        <v>0.0175745255345824</v>
      </c>
      <c r="I730" t="n">
        <v>0.1327335334355875</v>
      </c>
      <c r="J730" t="n">
        <v>0.1688048417834181</v>
      </c>
      <c r="K730" t="n">
        <v>0.2494244723583049</v>
      </c>
      <c r="L730" t="b">
        <v>0</v>
      </c>
      <c r="M730" t="b">
        <v>0</v>
      </c>
      <c r="N730" t="inlineStr">
        <is>
          <t>ref</t>
        </is>
      </c>
      <c r="O730" t="n">
        <v>80</v>
      </c>
      <c r="P730" t="n">
        <v>0.005394</v>
      </c>
      <c r="Q730" t="n">
        <v>30</v>
      </c>
      <c r="R730" t="n">
        <v>0.01965</v>
      </c>
      <c r="S730">
        <f>IMAGE("https://mitra.stanford.edu/kundaje/oak/projects/neuro-variants/variant_position/credible/roussos_2024/variant_figures/roussos_2024.childhood.GABA/rs906627_count_position.png",4,220,900)</f>
        <v/>
      </c>
      <c r="T730">
        <f>IMAGE("https://mitra.stanford.edu/kundaje/oak/projects/neuro-variants/variant_position/credible/roussos_2024/variant_figures/roussos_2024.childhood.GABA/rs906627_profile_position.png",4,220,900)</f>
        <v/>
      </c>
    </row>
    <row r="731">
      <c r="A731" t="inlineStr">
        <is>
          <t>chr11</t>
        </is>
      </c>
      <c r="B731" t="n">
        <v>134905423</v>
      </c>
      <c r="C731" t="inlineStr">
        <is>
          <t>C</t>
        </is>
      </c>
      <c r="D731" t="inlineStr">
        <is>
          <t>A</t>
        </is>
      </c>
      <c r="E731" t="inlineStr">
        <is>
          <t>rs1154905</t>
        </is>
      </c>
      <c r="F731" t="n">
        <v>0.008981818860000001</v>
      </c>
      <c r="G731" t="n">
        <v>0.6298373014675097</v>
      </c>
      <c r="H731" t="n">
        <v>0.009843168808075699</v>
      </c>
      <c r="I731" t="n">
        <v>0.6428228860526012</v>
      </c>
      <c r="J731" t="n">
        <v>0.5656509811312852</v>
      </c>
      <c r="K731" t="n">
        <v>0.0366773960205956</v>
      </c>
      <c r="L731" t="b">
        <v>0</v>
      </c>
      <c r="M731" t="b">
        <v>0</v>
      </c>
      <c r="N731" t="inlineStr">
        <is>
          <t>alt</t>
        </is>
      </c>
      <c r="O731" t="n">
        <v>100</v>
      </c>
      <c r="P731" t="n">
        <v>0.008514000000000001</v>
      </c>
      <c r="Q731" t="n">
        <v>45</v>
      </c>
      <c r="R731" t="n">
        <v>0.0371</v>
      </c>
      <c r="S731">
        <f>IMAGE("https://mitra.stanford.edu/kundaje/oak/projects/neuro-variants/variant_position/credible/roussos_2024/variant_figures/roussos_2024.childhood.GABA/rs1154905_count_position.png",4,220,900)</f>
        <v/>
      </c>
      <c r="T731">
        <f>IMAGE("https://mitra.stanford.edu/kundaje/oak/projects/neuro-variants/variant_position/credible/roussos_2024/variant_figures/roussos_2024.childhood.GABA/rs1154905_profile_position.png",4,220,900)</f>
        <v/>
      </c>
    </row>
    <row r="732">
      <c r="A732" t="inlineStr">
        <is>
          <t>chr11</t>
        </is>
      </c>
      <c r="B732" t="n">
        <v>134915107</v>
      </c>
      <c r="C732" t="inlineStr">
        <is>
          <t>C</t>
        </is>
      </c>
      <c r="D732" t="inlineStr">
        <is>
          <t>T</t>
        </is>
      </c>
      <c r="E732" t="inlineStr">
        <is>
          <t>rs12226882</t>
        </is>
      </c>
      <c r="F732" t="n">
        <v>-0.0352685709</v>
      </c>
      <c r="G732" t="n">
        <v>0.237084823638997</v>
      </c>
      <c r="H732" t="n">
        <v>0.0155710374357345</v>
      </c>
      <c r="I732" t="n">
        <v>0.1966041346503553</v>
      </c>
      <c r="J732" t="n">
        <v>0.319365039475613</v>
      </c>
      <c r="K732" t="n">
        <v>0.1260614503325357</v>
      </c>
      <c r="L732" t="b">
        <v>0</v>
      </c>
      <c r="M732" t="b">
        <v>0</v>
      </c>
      <c r="N732" t="inlineStr">
        <is>
          <t>ref</t>
        </is>
      </c>
      <c r="O732" t="n">
        <v>95</v>
      </c>
      <c r="P732" t="n">
        <v>0.002052</v>
      </c>
      <c r="Q732" t="n">
        <v>70</v>
      </c>
      <c r="R732" t="n">
        <v>0.12115</v>
      </c>
      <c r="S732">
        <f>IMAGE("https://mitra.stanford.edu/kundaje/oak/projects/neuro-variants/variant_position/credible/roussos_2024/variant_figures/roussos_2024.childhood.GABA/rs12226882_count_position.png",4,220,900)</f>
        <v/>
      </c>
      <c r="T732">
        <f>IMAGE("https://mitra.stanford.edu/kundaje/oak/projects/neuro-variants/variant_position/credible/roussos_2024/variant_figures/roussos_2024.childhood.GABA/rs12226882_profile_position.png",4,220,900)</f>
        <v/>
      </c>
    </row>
    <row r="733">
      <c r="A733" t="inlineStr">
        <is>
          <t>chr11</t>
        </is>
      </c>
      <c r="B733" t="n">
        <v>134937731</v>
      </c>
      <c r="C733" t="inlineStr">
        <is>
          <t>T</t>
        </is>
      </c>
      <c r="D733" t="inlineStr">
        <is>
          <t>A</t>
        </is>
      </c>
      <c r="E733" t="inlineStr">
        <is>
          <t>rs7118700</t>
        </is>
      </c>
      <c r="F733" t="n">
        <v>-0.0471211976</v>
      </c>
      <c r="G733" t="n">
        <v>0.1922454596509532</v>
      </c>
      <c r="H733" t="n">
        <v>0.0218679905548826</v>
      </c>
      <c r="I733" t="n">
        <v>0.0621857693770633</v>
      </c>
      <c r="J733" t="n">
        <v>0.4166614311742163</v>
      </c>
      <c r="K733" t="n">
        <v>0.079455178873741</v>
      </c>
      <c r="L733" t="b">
        <v>0</v>
      </c>
      <c r="M733" t="b">
        <v>0</v>
      </c>
      <c r="N733" t="inlineStr">
        <is>
          <t>ref</t>
        </is>
      </c>
      <c r="O733" t="n">
        <v>40</v>
      </c>
      <c r="P733" t="n">
        <v>0.002453</v>
      </c>
      <c r="Q733" t="n">
        <v>-100</v>
      </c>
      <c r="R733" t="n">
        <v>0.1398</v>
      </c>
      <c r="S733">
        <f>IMAGE("https://mitra.stanford.edu/kundaje/oak/projects/neuro-variants/variant_position/credible/roussos_2024/variant_figures/roussos_2024.childhood.GABA/rs7118700_count_position.png",4,220,900)</f>
        <v/>
      </c>
      <c r="T733">
        <f>IMAGE("https://mitra.stanford.edu/kundaje/oak/projects/neuro-variants/variant_position/credible/roussos_2024/variant_figures/roussos_2024.childhood.GABA/rs7118700_profile_position.png",4,220,900)</f>
        <v/>
      </c>
    </row>
    <row r="734">
      <c r="A734" t="inlineStr">
        <is>
          <t>chr11</t>
        </is>
      </c>
      <c r="B734" t="n">
        <v>134940387</v>
      </c>
      <c r="C734" t="inlineStr">
        <is>
          <t>T</t>
        </is>
      </c>
      <c r="D734" t="inlineStr">
        <is>
          <t>C</t>
        </is>
      </c>
      <c r="E734" t="inlineStr">
        <is>
          <t>rs1319913</t>
        </is>
      </c>
      <c r="F734" t="n">
        <v>0.0450778486</v>
      </c>
      <c r="G734" t="n">
        <v>0.1644574324592027</v>
      </c>
      <c r="H734" t="n">
        <v>0.0160366758214674</v>
      </c>
      <c r="I734" t="n">
        <v>0.1762536372310255</v>
      </c>
      <c r="J734" t="n">
        <v>0.4617453037632719</v>
      </c>
      <c r="K734" t="n">
        <v>0.0622969415434321</v>
      </c>
      <c r="L734" t="b">
        <v>0</v>
      </c>
      <c r="M734" t="b">
        <v>0</v>
      </c>
      <c r="N734" t="inlineStr">
        <is>
          <t>alt</t>
        </is>
      </c>
      <c r="O734" t="n">
        <v>-100</v>
      </c>
      <c r="P734" t="n">
        <v>0.07729999999999999</v>
      </c>
      <c r="Q734" t="n">
        <v>-100</v>
      </c>
      <c r="R734" t="n">
        <v>0.3901</v>
      </c>
      <c r="S734">
        <f>IMAGE("https://mitra.stanford.edu/kundaje/oak/projects/neuro-variants/variant_position/credible/roussos_2024/variant_figures/roussos_2024.childhood.GABA/rs1319913_count_position.png",4,220,900)</f>
        <v/>
      </c>
      <c r="T734">
        <f>IMAGE("https://mitra.stanford.edu/kundaje/oak/projects/neuro-variants/variant_position/credible/roussos_2024/variant_figures/roussos_2024.childhood.GABA/rs1319913_profile_position.png",4,220,900)</f>
        <v/>
      </c>
    </row>
    <row r="735">
      <c r="A735" t="inlineStr">
        <is>
          <t>chr11</t>
        </is>
      </c>
      <c r="B735" t="n">
        <v>134951476</v>
      </c>
      <c r="C735" t="inlineStr">
        <is>
          <t>C</t>
        </is>
      </c>
      <c r="D735" t="inlineStr">
        <is>
          <t>T</t>
        </is>
      </c>
      <c r="E735" t="inlineStr">
        <is>
          <t>rs11224103</t>
        </is>
      </c>
      <c r="F735" t="n">
        <v>-0.024828773</v>
      </c>
      <c r="G735" t="n">
        <v>0.3704450076344182</v>
      </c>
      <c r="H735" t="n">
        <v>0.0117294607141271</v>
      </c>
      <c r="I735" t="n">
        <v>0.4453956232936839</v>
      </c>
      <c r="J735" t="n">
        <v>0.6445320516847814</v>
      </c>
      <c r="K735" t="n">
        <v>0.0222263102638137</v>
      </c>
      <c r="L735" t="b">
        <v>0</v>
      </c>
      <c r="M735" t="b">
        <v>0</v>
      </c>
      <c r="N735" t="inlineStr">
        <is>
          <t>ref</t>
        </is>
      </c>
      <c r="O735" t="n">
        <v>10</v>
      </c>
      <c r="P735" t="n">
        <v>0.00241</v>
      </c>
      <c r="Q735" t="n">
        <v>75</v>
      </c>
      <c r="R735" t="n">
        <v>0.06104</v>
      </c>
      <c r="S735">
        <f>IMAGE("https://mitra.stanford.edu/kundaje/oak/projects/neuro-variants/variant_position/credible/roussos_2024/variant_figures/roussos_2024.childhood.GABA/rs11224103_count_position.png",4,220,900)</f>
        <v/>
      </c>
      <c r="T735">
        <f>IMAGE("https://mitra.stanford.edu/kundaje/oak/projects/neuro-variants/variant_position/credible/roussos_2024/variant_figures/roussos_2024.childhood.GABA/rs11224103_profile_position.png",4,220,900)</f>
        <v/>
      </c>
    </row>
    <row r="736">
      <c r="A736" t="inlineStr">
        <is>
          <t>chr12</t>
        </is>
      </c>
      <c r="B736" t="n">
        <v>1754562</v>
      </c>
      <c r="C736" t="inlineStr">
        <is>
          <t>A</t>
        </is>
      </c>
      <c r="D736" t="inlineStr">
        <is>
          <t>T</t>
        </is>
      </c>
      <c r="E736" t="inlineStr">
        <is>
          <t>rs11061971</t>
        </is>
      </c>
      <c r="F736" t="n">
        <v>0.01071317072</v>
      </c>
      <c r="G736" t="n">
        <v>0.6278470367100624</v>
      </c>
      <c r="H736" t="n">
        <v>0.008159327846520801</v>
      </c>
      <c r="I736" t="n">
        <v>0.8080010361057933</v>
      </c>
      <c r="J736" t="n">
        <v>0.0288423279093631</v>
      </c>
      <c r="K736" t="n">
        <v>0.6068259020415169</v>
      </c>
      <c r="L736" t="b">
        <v>0</v>
      </c>
      <c r="M736" t="b">
        <v>0</v>
      </c>
      <c r="N736" t="inlineStr">
        <is>
          <t>alt</t>
        </is>
      </c>
      <c r="O736" t="n">
        <v>65</v>
      </c>
      <c r="P736" t="n">
        <v>0.006134</v>
      </c>
      <c r="Q736" t="n">
        <v>-80</v>
      </c>
      <c r="R736" t="n">
        <v>0.1531</v>
      </c>
      <c r="S736">
        <f>IMAGE("https://mitra.stanford.edu/kundaje/oak/projects/neuro-variants/variant_position/credible/roussos_2024/variant_figures/roussos_2024.childhood.GABA/rs11061971_count_position.png",4,220,900)</f>
        <v/>
      </c>
      <c r="T736">
        <f>IMAGE("https://mitra.stanford.edu/kundaje/oak/projects/neuro-variants/variant_position/credible/roussos_2024/variant_figures/roussos_2024.childhood.GABA/rs11061971_profile_position.png",4,220,900)</f>
        <v/>
      </c>
    </row>
    <row r="737">
      <c r="A737" t="inlineStr">
        <is>
          <t>chr12</t>
        </is>
      </c>
      <c r="B737" t="n">
        <v>1769369</v>
      </c>
      <c r="C737" t="inlineStr">
        <is>
          <t>C</t>
        </is>
      </c>
      <c r="D737" t="inlineStr">
        <is>
          <t>T</t>
        </is>
      </c>
      <c r="E737" t="inlineStr">
        <is>
          <t>rs7294668</t>
        </is>
      </c>
      <c r="F737" t="n">
        <v>-0.085944542</v>
      </c>
      <c r="G737" t="n">
        <v>0.0445079499927843</v>
      </c>
      <c r="H737" t="n">
        <v>0.0181241581537857</v>
      </c>
      <c r="I737" t="n">
        <v>0.1187435048109649</v>
      </c>
      <c r="J737" t="n">
        <v>0.0272214194467131</v>
      </c>
      <c r="K737" t="n">
        <v>0.5996141847030505</v>
      </c>
      <c r="L737" t="b">
        <v>0</v>
      </c>
      <c r="M737" t="b">
        <v>0</v>
      </c>
      <c r="N737" t="inlineStr">
        <is>
          <t>ref</t>
        </is>
      </c>
      <c r="O737" t="n">
        <v>85</v>
      </c>
      <c r="P737" t="n">
        <v>0.0048</v>
      </c>
      <c r="Q737" t="n">
        <v>-100</v>
      </c>
      <c r="R737" t="n">
        <v>0.1565</v>
      </c>
      <c r="S737">
        <f>IMAGE("https://mitra.stanford.edu/kundaje/oak/projects/neuro-variants/variant_position/credible/roussos_2024/variant_figures/roussos_2024.childhood.GABA/rs7294668_count_position.png",4,220,900)</f>
        <v/>
      </c>
      <c r="T737">
        <f>IMAGE("https://mitra.stanford.edu/kundaje/oak/projects/neuro-variants/variant_position/credible/roussos_2024/variant_figures/roussos_2024.childhood.GABA/rs7294668_profile_position.png",4,220,900)</f>
        <v/>
      </c>
    </row>
    <row r="738">
      <c r="A738" t="inlineStr">
        <is>
          <t>chr12</t>
        </is>
      </c>
      <c r="B738" t="n">
        <v>1777378</v>
      </c>
      <c r="C738" t="inlineStr">
        <is>
          <t>C</t>
        </is>
      </c>
      <c r="D738" t="inlineStr">
        <is>
          <t>T</t>
        </is>
      </c>
      <c r="E738" t="inlineStr">
        <is>
          <t>rs7306506</t>
        </is>
      </c>
      <c r="F738" t="n">
        <v>0.0167006463999999</v>
      </c>
      <c r="G738" t="n">
        <v>0.4597583023600993</v>
      </c>
      <c r="H738" t="n">
        <v>0.0370495541595332</v>
      </c>
      <c r="I738" t="n">
        <v>0.0051592682323362</v>
      </c>
      <c r="J738" t="n">
        <v>0.0289302841825301</v>
      </c>
      <c r="K738" t="n">
        <v>0.5947493002859262</v>
      </c>
      <c r="L738" t="b">
        <v>1</v>
      </c>
      <c r="M738" t="b">
        <v>0</v>
      </c>
      <c r="N738" t="inlineStr">
        <is>
          <t>alt</t>
        </is>
      </c>
      <c r="O738" t="n">
        <v>75</v>
      </c>
      <c r="P738" t="n">
        <v>0.00714</v>
      </c>
      <c r="Q738" t="n">
        <v>85</v>
      </c>
      <c r="R738" t="n">
        <v>0.03943</v>
      </c>
      <c r="S738">
        <f>IMAGE("https://mitra.stanford.edu/kundaje/oak/projects/neuro-variants/variant_position/credible/roussos_2024/variant_figures/roussos_2024.childhood.GABA/rs7306506_count_position.png",4,220,900)</f>
        <v/>
      </c>
      <c r="T738">
        <f>IMAGE("https://mitra.stanford.edu/kundaje/oak/projects/neuro-variants/variant_position/credible/roussos_2024/variant_figures/roussos_2024.childhood.GABA/rs7306506_profile_position.png",4,220,900)</f>
        <v/>
      </c>
    </row>
    <row r="739">
      <c r="A739" t="inlineStr">
        <is>
          <t>chr12</t>
        </is>
      </c>
      <c r="B739" t="n">
        <v>1789481</v>
      </c>
      <c r="C739" t="inlineStr">
        <is>
          <t>G</t>
        </is>
      </c>
      <c r="D739" t="inlineStr">
        <is>
          <t>C</t>
        </is>
      </c>
      <c r="E739" t="inlineStr">
        <is>
          <t>rs4766416</t>
        </is>
      </c>
      <c r="F739" t="n">
        <v>-0.0746518784</v>
      </c>
      <c r="G739" t="n">
        <v>0.06263575577622631</v>
      </c>
      <c r="H739" t="n">
        <v>0.0183689758829236</v>
      </c>
      <c r="I739" t="n">
        <v>0.1112798734051554</v>
      </c>
      <c r="J739" t="n">
        <v>0.0269156666876085</v>
      </c>
      <c r="K739" t="n">
        <v>0.6069978264984156</v>
      </c>
      <c r="L739" t="b">
        <v>0</v>
      </c>
      <c r="M739" t="b">
        <v>0</v>
      </c>
      <c r="N739" t="inlineStr">
        <is>
          <t>ref</t>
        </is>
      </c>
      <c r="O739" t="n">
        <v>-90</v>
      </c>
      <c r="P739" t="n">
        <v>0.00425</v>
      </c>
      <c r="Q739" t="n">
        <v>-15</v>
      </c>
      <c r="R739" t="n">
        <v>0.02512</v>
      </c>
      <c r="S739">
        <f>IMAGE("https://mitra.stanford.edu/kundaje/oak/projects/neuro-variants/variant_position/credible/roussos_2024/variant_figures/roussos_2024.childhood.GABA/rs4766416_count_position.png",4,220,900)</f>
        <v/>
      </c>
      <c r="T739">
        <f>IMAGE("https://mitra.stanford.edu/kundaje/oak/projects/neuro-variants/variant_position/credible/roussos_2024/variant_figures/roussos_2024.childhood.GABA/rs4766416_profile_position.png",4,220,900)</f>
        <v/>
      </c>
    </row>
    <row r="740">
      <c r="A740" t="inlineStr">
        <is>
          <t>chr12</t>
        </is>
      </c>
      <c r="B740" t="n">
        <v>1790548</v>
      </c>
      <c r="C740" t="inlineStr">
        <is>
          <t>A</t>
        </is>
      </c>
      <c r="D740" t="inlineStr">
        <is>
          <t>C</t>
        </is>
      </c>
      <c r="E740" t="inlineStr">
        <is>
          <t>rs7294540</t>
        </is>
      </c>
      <c r="F740" t="n">
        <v>0.0308639663999999</v>
      </c>
      <c r="G740" t="n">
        <v>0.2836714828285374</v>
      </c>
      <c r="H740" t="n">
        <v>0.0086768032481414</v>
      </c>
      <c r="I740" t="n">
        <v>0.7910905271293992</v>
      </c>
      <c r="J740" t="n">
        <v>0.2886881950116228</v>
      </c>
      <c r="K740" t="n">
        <v>0.1467072211363124</v>
      </c>
      <c r="L740" t="b">
        <v>0</v>
      </c>
      <c r="M740" t="b">
        <v>0</v>
      </c>
      <c r="N740" t="inlineStr">
        <is>
          <t>alt</t>
        </is>
      </c>
      <c r="O740" t="n">
        <v>10</v>
      </c>
      <c r="P740" t="n">
        <v>0.0003204</v>
      </c>
      <c r="Q740" t="n">
        <v>85</v>
      </c>
      <c r="R740" t="n">
        <v>0.0766</v>
      </c>
      <c r="S740">
        <f>IMAGE("https://mitra.stanford.edu/kundaje/oak/projects/neuro-variants/variant_position/credible/roussos_2024/variant_figures/roussos_2024.childhood.GABA/rs7294540_count_position.png",4,220,900)</f>
        <v/>
      </c>
      <c r="T740">
        <f>IMAGE("https://mitra.stanford.edu/kundaje/oak/projects/neuro-variants/variant_position/credible/roussos_2024/variant_figures/roussos_2024.childhood.GABA/rs7294540_profile_position.png",4,220,900)</f>
        <v/>
      </c>
    </row>
    <row r="741">
      <c r="A741" t="inlineStr">
        <is>
          <t>chr12</t>
        </is>
      </c>
      <c r="B741" t="n">
        <v>1792998</v>
      </c>
      <c r="C741" t="inlineStr">
        <is>
          <t>C</t>
        </is>
      </c>
      <c r="D741" t="inlineStr">
        <is>
          <t>T</t>
        </is>
      </c>
      <c r="E741" t="inlineStr">
        <is>
          <t>rs2286379</t>
        </is>
      </c>
      <c r="F741" t="n">
        <v>-0.0476563508</v>
      </c>
      <c r="G741" t="n">
        <v>0.1534282764474032</v>
      </c>
      <c r="H741" t="n">
        <v>0.0167804724924648</v>
      </c>
      <c r="I741" t="n">
        <v>0.1531852318343188</v>
      </c>
      <c r="J741" t="n">
        <v>0.3188079830788884</v>
      </c>
      <c r="K741" t="n">
        <v>0.1258557174781811</v>
      </c>
      <c r="L741" t="b">
        <v>0</v>
      </c>
      <c r="M741" t="b">
        <v>0</v>
      </c>
      <c r="N741" t="inlineStr">
        <is>
          <t>ref</t>
        </is>
      </c>
      <c r="O741" t="n">
        <v>-80</v>
      </c>
      <c r="P741" t="n">
        <v>0.01334</v>
      </c>
      <c r="Q741" t="n">
        <v>-20</v>
      </c>
      <c r="R741" t="n">
        <v>0.1385</v>
      </c>
      <c r="S741">
        <f>IMAGE("https://mitra.stanford.edu/kundaje/oak/projects/neuro-variants/variant_position/credible/roussos_2024/variant_figures/roussos_2024.childhood.GABA/rs2286379_count_position.png",4,220,900)</f>
        <v/>
      </c>
      <c r="T741">
        <f>IMAGE("https://mitra.stanford.edu/kundaje/oak/projects/neuro-variants/variant_position/credible/roussos_2024/variant_figures/roussos_2024.childhood.GABA/rs2286379_profile_position.png",4,220,900)</f>
        <v/>
      </c>
    </row>
    <row r="742">
      <c r="A742" t="inlineStr">
        <is>
          <t>chr12</t>
        </is>
      </c>
      <c r="B742" t="n">
        <v>2189882</v>
      </c>
      <c r="C742" t="inlineStr">
        <is>
          <t>C</t>
        </is>
      </c>
      <c r="D742" t="inlineStr">
        <is>
          <t>T</t>
        </is>
      </c>
      <c r="E742" t="inlineStr">
        <is>
          <t>rs2283288</t>
        </is>
      </c>
      <c r="F742" t="n">
        <v>-0.0555137224</v>
      </c>
      <c r="G742" t="n">
        <v>0.1159812148674309</v>
      </c>
      <c r="H742" t="n">
        <v>0.0105337827354347</v>
      </c>
      <c r="I742" t="n">
        <v>0.5753219833932082</v>
      </c>
      <c r="J742" t="n">
        <v>0.3155211409185148</v>
      </c>
      <c r="K742" t="n">
        <v>0.1273996595724703</v>
      </c>
      <c r="L742" t="b">
        <v>0</v>
      </c>
      <c r="M742" t="b">
        <v>0</v>
      </c>
      <c r="N742" t="inlineStr">
        <is>
          <t>ref</t>
        </is>
      </c>
      <c r="O742" t="n">
        <v>100</v>
      </c>
      <c r="P742" t="n">
        <v>0.012985</v>
      </c>
      <c r="Q742" t="n">
        <v>85</v>
      </c>
      <c r="R742" t="n">
        <v>0.0742</v>
      </c>
      <c r="S742">
        <f>IMAGE("https://mitra.stanford.edu/kundaje/oak/projects/neuro-variants/variant_position/credible/roussos_2024/variant_figures/roussos_2024.childhood.GABA/rs2283288_count_position.png",4,220,900)</f>
        <v/>
      </c>
      <c r="T742">
        <f>IMAGE("https://mitra.stanford.edu/kundaje/oak/projects/neuro-variants/variant_position/credible/roussos_2024/variant_figures/roussos_2024.childhood.GABA/rs2283288_profile_position.png",4,220,900)</f>
        <v/>
      </c>
    </row>
    <row r="743">
      <c r="A743" t="inlineStr">
        <is>
          <t>chr12</t>
        </is>
      </c>
      <c r="B743" t="n">
        <v>2191041</v>
      </c>
      <c r="C743" t="inlineStr">
        <is>
          <t>A</t>
        </is>
      </c>
      <c r="D743" t="inlineStr">
        <is>
          <t>G</t>
        </is>
      </c>
      <c r="E743" t="inlineStr">
        <is>
          <t>rs2238048</t>
        </is>
      </c>
      <c r="F743" t="n">
        <v>0.0795826228</v>
      </c>
      <c r="G743" t="n">
        <v>0.0550167267020371</v>
      </c>
      <c r="H743" t="n">
        <v>0.0222955522352841</v>
      </c>
      <c r="I743" t="n">
        <v>0.0491947085189922</v>
      </c>
      <c r="J743" t="n">
        <v>0.51583631756403</v>
      </c>
      <c r="K743" t="n">
        <v>0.0460283770402009</v>
      </c>
      <c r="L743" t="b">
        <v>0</v>
      </c>
      <c r="M743" t="b">
        <v>0</v>
      </c>
      <c r="N743" t="inlineStr">
        <is>
          <t>alt</t>
        </is>
      </c>
      <c r="O743" t="n">
        <v>55</v>
      </c>
      <c r="P743" t="n">
        <v>0.002247</v>
      </c>
      <c r="Q743" t="n">
        <v>-65</v>
      </c>
      <c r="R743" t="n">
        <v>0.0764</v>
      </c>
      <c r="S743">
        <f>IMAGE("https://mitra.stanford.edu/kundaje/oak/projects/neuro-variants/variant_position/credible/roussos_2024/variant_figures/roussos_2024.childhood.GABA/rs2238048_count_position.png",4,220,900)</f>
        <v/>
      </c>
      <c r="T743">
        <f>IMAGE("https://mitra.stanford.edu/kundaje/oak/projects/neuro-variants/variant_position/credible/roussos_2024/variant_figures/roussos_2024.childhood.GABA/rs2238048_profile_position.png",4,220,900)</f>
        <v/>
      </c>
    </row>
    <row r="744">
      <c r="A744" t="inlineStr">
        <is>
          <t>chr12</t>
        </is>
      </c>
      <c r="B744" t="n">
        <v>2191441</v>
      </c>
      <c r="C744" t="inlineStr">
        <is>
          <t>G</t>
        </is>
      </c>
      <c r="D744" t="inlineStr">
        <is>
          <t>C</t>
        </is>
      </c>
      <c r="E744" t="inlineStr">
        <is>
          <t>rs11614764</t>
        </is>
      </c>
      <c r="F744" t="n">
        <v>-0.0553657267999999</v>
      </c>
      <c r="G744" t="n">
        <v>0.1191590196264716</v>
      </c>
      <c r="H744" t="n">
        <v>0.0172087631814157</v>
      </c>
      <c r="I744" t="n">
        <v>0.1412194401445384</v>
      </c>
      <c r="J744" t="n">
        <v>0.4525015182928106</v>
      </c>
      <c r="K744" t="n">
        <v>0.0641239047806345</v>
      </c>
      <c r="L744" t="b">
        <v>0</v>
      </c>
      <c r="M744" t="b">
        <v>0</v>
      </c>
      <c r="N744" t="inlineStr">
        <is>
          <t>ref</t>
        </is>
      </c>
      <c r="O744" t="n">
        <v>80</v>
      </c>
      <c r="P744" t="n">
        <v>0.001295</v>
      </c>
      <c r="Q744" t="n">
        <v>-35</v>
      </c>
      <c r="R744" t="n">
        <v>0.07149999999999999</v>
      </c>
      <c r="S744">
        <f>IMAGE("https://mitra.stanford.edu/kundaje/oak/projects/neuro-variants/variant_position/credible/roussos_2024/variant_figures/roussos_2024.childhood.GABA/rs11614764_count_position.png",4,220,900)</f>
        <v/>
      </c>
      <c r="T744">
        <f>IMAGE("https://mitra.stanford.edu/kundaje/oak/projects/neuro-variants/variant_position/credible/roussos_2024/variant_figures/roussos_2024.childhood.GABA/rs11614764_profile_position.png",4,220,900)</f>
        <v/>
      </c>
    </row>
    <row r="745">
      <c r="A745" t="inlineStr">
        <is>
          <t>chr12</t>
        </is>
      </c>
      <c r="B745" t="n">
        <v>2195191</v>
      </c>
      <c r="C745" t="inlineStr">
        <is>
          <t>C</t>
        </is>
      </c>
      <c r="D745" t="inlineStr">
        <is>
          <t>T</t>
        </is>
      </c>
      <c r="E745" t="inlineStr">
        <is>
          <t>rs2239018</t>
        </is>
      </c>
      <c r="F745" t="n">
        <v>-0.0712669276</v>
      </c>
      <c r="G745" t="n">
        <v>0.0684004678732002</v>
      </c>
      <c r="H745" t="n">
        <v>0.0143711606020438</v>
      </c>
      <c r="I745" t="n">
        <v>0.2610186371400614</v>
      </c>
      <c r="J745" t="n">
        <v>0.225536637976168</v>
      </c>
      <c r="K745" t="n">
        <v>0.1945680017830067</v>
      </c>
      <c r="L745" t="b">
        <v>0</v>
      </c>
      <c r="M745" t="b">
        <v>0</v>
      </c>
      <c r="N745" t="inlineStr">
        <is>
          <t>ref</t>
        </is>
      </c>
      <c r="O745" t="n">
        <v>-70</v>
      </c>
      <c r="P745" t="n">
        <v>0.00407</v>
      </c>
      <c r="Q745" t="n">
        <v>0</v>
      </c>
      <c r="R745" t="n">
        <v>0</v>
      </c>
      <c r="S745">
        <f>IMAGE("https://mitra.stanford.edu/kundaje/oak/projects/neuro-variants/variant_position/credible/roussos_2024/variant_figures/roussos_2024.childhood.GABA/rs2239018_count_position.png",4,220,900)</f>
        <v/>
      </c>
      <c r="T745">
        <f>IMAGE("https://mitra.stanford.edu/kundaje/oak/projects/neuro-variants/variant_position/credible/roussos_2024/variant_figures/roussos_2024.childhood.GABA/rs2239018_profile_position.png",4,220,900)</f>
        <v/>
      </c>
    </row>
    <row r="746">
      <c r="A746" t="inlineStr">
        <is>
          <t>chr12</t>
        </is>
      </c>
      <c r="B746" t="n">
        <v>2207930</v>
      </c>
      <c r="C746" t="inlineStr">
        <is>
          <t>T</t>
        </is>
      </c>
      <c r="D746" t="inlineStr">
        <is>
          <t>C</t>
        </is>
      </c>
      <c r="E746" t="inlineStr">
        <is>
          <t>rs2238053</t>
        </is>
      </c>
      <c r="F746" t="n">
        <v>-0.0046770855128</v>
      </c>
      <c r="G746" t="n">
        <v>0.7844786748106293</v>
      </c>
      <c r="H746" t="n">
        <v>0.008411178576659101</v>
      </c>
      <c r="I746" t="n">
        <v>0.8160414504273289</v>
      </c>
      <c r="J746" t="n">
        <v>0.0516439446294317</v>
      </c>
      <c r="K746" t="n">
        <v>0.4958917915763249</v>
      </c>
      <c r="L746" t="b">
        <v>0</v>
      </c>
      <c r="M746" t="b">
        <v>0</v>
      </c>
      <c r="N746" t="inlineStr">
        <is>
          <t>ref</t>
        </is>
      </c>
      <c r="O746" t="n">
        <v>-95</v>
      </c>
      <c r="P746" t="n">
        <v>0.002567</v>
      </c>
      <c r="Q746" t="n">
        <v>60</v>
      </c>
      <c r="R746" t="n">
        <v>0.0688</v>
      </c>
      <c r="S746">
        <f>IMAGE("https://mitra.stanford.edu/kundaje/oak/projects/neuro-variants/variant_position/credible/roussos_2024/variant_figures/roussos_2024.childhood.GABA/rs2238053_count_position.png",4,220,900)</f>
        <v/>
      </c>
      <c r="T746">
        <f>IMAGE("https://mitra.stanford.edu/kundaje/oak/projects/neuro-variants/variant_position/credible/roussos_2024/variant_figures/roussos_2024.childhood.GABA/rs2238053_profile_position.png",4,220,900)</f>
        <v/>
      </c>
    </row>
    <row r="747">
      <c r="A747" t="inlineStr">
        <is>
          <t>chr12</t>
        </is>
      </c>
      <c r="B747" t="n">
        <v>2214876</v>
      </c>
      <c r="C747" t="inlineStr">
        <is>
          <t>T</t>
        </is>
      </c>
      <c r="D747" t="inlineStr">
        <is>
          <t>C</t>
        </is>
      </c>
      <c r="E747" t="inlineStr">
        <is>
          <t>rs7957545</t>
        </is>
      </c>
      <c r="F747" t="n">
        <v>-0.01801365072</v>
      </c>
      <c r="G747" t="n">
        <v>0.4848406740517946</v>
      </c>
      <c r="H747" t="n">
        <v>0.0154523322764813</v>
      </c>
      <c r="I747" t="n">
        <v>0.2047854632263845</v>
      </c>
      <c r="J747" t="n">
        <v>0.2107379950158111</v>
      </c>
      <c r="K747" t="n">
        <v>0.2118708067871864</v>
      </c>
      <c r="L747" t="b">
        <v>0</v>
      </c>
      <c r="M747" t="b">
        <v>0</v>
      </c>
      <c r="N747" t="inlineStr">
        <is>
          <t>ref</t>
        </is>
      </c>
      <c r="O747" t="n">
        <v>45</v>
      </c>
      <c r="P747" t="n">
        <v>0.003199</v>
      </c>
      <c r="Q747" t="n">
        <v>100</v>
      </c>
      <c r="R747" t="n">
        <v>0.1107</v>
      </c>
      <c r="S747">
        <f>IMAGE("https://mitra.stanford.edu/kundaje/oak/projects/neuro-variants/variant_position/credible/roussos_2024/variant_figures/roussos_2024.childhood.GABA/rs7957545_count_position.png",4,220,900)</f>
        <v/>
      </c>
      <c r="T747">
        <f>IMAGE("https://mitra.stanford.edu/kundaje/oak/projects/neuro-variants/variant_position/credible/roussos_2024/variant_figures/roussos_2024.childhood.GABA/rs7957545_profile_position.png",4,220,900)</f>
        <v/>
      </c>
    </row>
    <row r="748">
      <c r="A748" t="inlineStr">
        <is>
          <t>chr12</t>
        </is>
      </c>
      <c r="B748" t="n">
        <v>2222406</v>
      </c>
      <c r="C748" t="inlineStr">
        <is>
          <t>A</t>
        </is>
      </c>
      <c r="D748" t="inlineStr">
        <is>
          <t>G</t>
        </is>
      </c>
      <c r="E748" t="inlineStr">
        <is>
          <t>rs10848642</t>
        </is>
      </c>
      <c r="F748" t="n">
        <v>0.1351315252</v>
      </c>
      <c r="G748" t="n">
        <v>0.0134843288180143</v>
      </c>
      <c r="H748" t="n">
        <v>0.0160573586343481</v>
      </c>
      <c r="I748" t="n">
        <v>0.1798937110522825</v>
      </c>
      <c r="J748" t="n">
        <v>0.0390431613997612</v>
      </c>
      <c r="K748" t="n">
        <v>0.5462386541240721</v>
      </c>
      <c r="L748" t="b">
        <v>1</v>
      </c>
      <c r="M748" t="b">
        <v>0</v>
      </c>
      <c r="N748" t="inlineStr">
        <is>
          <t>alt</t>
        </is>
      </c>
      <c r="O748" t="n">
        <v>100</v>
      </c>
      <c r="P748" t="n">
        <v>0.00445</v>
      </c>
      <c r="Q748" t="n">
        <v>-35</v>
      </c>
      <c r="R748" t="n">
        <v>0.02661</v>
      </c>
      <c r="S748">
        <f>IMAGE("https://mitra.stanford.edu/kundaje/oak/projects/neuro-variants/variant_position/credible/roussos_2024/variant_figures/roussos_2024.childhood.GABA/rs10848642_count_position.png",4,220,900)</f>
        <v/>
      </c>
      <c r="T748">
        <f>IMAGE("https://mitra.stanford.edu/kundaje/oak/projects/neuro-variants/variant_position/credible/roussos_2024/variant_figures/roussos_2024.childhood.GABA/rs10848642_profile_position.png",4,220,900)</f>
        <v/>
      </c>
    </row>
    <row r="749">
      <c r="A749" t="inlineStr">
        <is>
          <t>chr12</t>
        </is>
      </c>
      <c r="B749" t="n">
        <v>2222938</v>
      </c>
      <c r="C749" t="inlineStr">
        <is>
          <t>A</t>
        </is>
      </c>
      <c r="D749" t="inlineStr">
        <is>
          <t>G</t>
        </is>
      </c>
      <c r="E749" t="inlineStr">
        <is>
          <t>rs11062162</t>
        </is>
      </c>
      <c r="F749" t="n">
        <v>0.06359755440000001</v>
      </c>
      <c r="G749" t="n">
        <v>0.0867105030001081</v>
      </c>
      <c r="H749" t="n">
        <v>0.015060925527065</v>
      </c>
      <c r="I749" t="n">
        <v>0.223694060191589</v>
      </c>
      <c r="J749" t="n">
        <v>0.0844987539527967</v>
      </c>
      <c r="K749" t="n">
        <v>0.409102739887993</v>
      </c>
      <c r="L749" t="b">
        <v>0</v>
      </c>
      <c r="M749" t="b">
        <v>0</v>
      </c>
      <c r="N749" t="inlineStr">
        <is>
          <t>alt</t>
        </is>
      </c>
      <c r="O749" t="n">
        <v>-35</v>
      </c>
      <c r="P749" t="n">
        <v>0.00241</v>
      </c>
      <c r="Q749" t="n">
        <v>5</v>
      </c>
      <c r="R749" t="n">
        <v>0.009766</v>
      </c>
      <c r="S749">
        <f>IMAGE("https://mitra.stanford.edu/kundaje/oak/projects/neuro-variants/variant_position/credible/roussos_2024/variant_figures/roussos_2024.childhood.GABA/rs11062162_count_position.png",4,220,900)</f>
        <v/>
      </c>
      <c r="T749">
        <f>IMAGE("https://mitra.stanford.edu/kundaje/oak/projects/neuro-variants/variant_position/credible/roussos_2024/variant_figures/roussos_2024.childhood.GABA/rs11062162_profile_position.png",4,220,900)</f>
        <v/>
      </c>
    </row>
    <row r="750">
      <c r="A750" t="inlineStr">
        <is>
          <t>chr12</t>
        </is>
      </c>
      <c r="B750" t="n">
        <v>2223690</v>
      </c>
      <c r="C750" t="inlineStr">
        <is>
          <t>C</t>
        </is>
      </c>
      <c r="D750" t="inlineStr">
        <is>
          <t>A</t>
        </is>
      </c>
      <c r="E750" t="inlineStr">
        <is>
          <t>rs1108222</t>
        </is>
      </c>
      <c r="F750" t="n">
        <v>-0.0004144953399999</v>
      </c>
      <c r="G750" t="n">
        <v>0.7293147815785881</v>
      </c>
      <c r="H750" t="n">
        <v>0.009575608785569199</v>
      </c>
      <c r="I750" t="n">
        <v>0.694761318648758</v>
      </c>
      <c r="J750" t="n">
        <v>0.0415677158593537</v>
      </c>
      <c r="K750" t="n">
        <v>0.547046033582956</v>
      </c>
      <c r="L750" t="b">
        <v>0</v>
      </c>
      <c r="M750" t="b">
        <v>0</v>
      </c>
      <c r="N750" t="inlineStr">
        <is>
          <t>ref</t>
        </is>
      </c>
      <c r="O750" t="n">
        <v>95</v>
      </c>
      <c r="P750" t="n">
        <v>0.00058</v>
      </c>
      <c r="Q750" t="n">
        <v>-100</v>
      </c>
      <c r="R750" t="n">
        <v>0.0678</v>
      </c>
      <c r="S750">
        <f>IMAGE("https://mitra.stanford.edu/kundaje/oak/projects/neuro-variants/variant_position/credible/roussos_2024/variant_figures/roussos_2024.childhood.GABA/rs1108222_count_position.png",4,220,900)</f>
        <v/>
      </c>
      <c r="T750">
        <f>IMAGE("https://mitra.stanford.edu/kundaje/oak/projects/neuro-variants/variant_position/credible/roussos_2024/variant_figures/roussos_2024.childhood.GABA/rs1108222_profile_position.png",4,220,900)</f>
        <v/>
      </c>
    </row>
    <row r="751">
      <c r="A751" t="inlineStr">
        <is>
          <t>chr12</t>
        </is>
      </c>
      <c r="B751" t="n">
        <v>2225094</v>
      </c>
      <c r="C751" t="inlineStr">
        <is>
          <t>G</t>
        </is>
      </c>
      <c r="D751" t="inlineStr">
        <is>
          <t>A</t>
        </is>
      </c>
      <c r="E751" t="inlineStr">
        <is>
          <t>rs11062166</t>
        </is>
      </c>
      <c r="F751" t="n">
        <v>0.0878322236</v>
      </c>
      <c r="G751" t="n">
        <v>0.0455919814165021</v>
      </c>
      <c r="H751" t="n">
        <v>0.031086302877023</v>
      </c>
      <c r="I751" t="n">
        <v>0.0108115152515361</v>
      </c>
      <c r="J751" t="n">
        <v>0.1661127515654122</v>
      </c>
      <c r="K751" t="n">
        <v>0.249661869982866</v>
      </c>
      <c r="L751" t="b">
        <v>1</v>
      </c>
      <c r="M751" t="b">
        <v>0</v>
      </c>
      <c r="N751" t="inlineStr">
        <is>
          <t>alt</t>
        </is>
      </c>
      <c r="O751" t="n">
        <v>-5</v>
      </c>
      <c r="P751" t="n">
        <v>0.002533</v>
      </c>
      <c r="Q751" t="n">
        <v>0</v>
      </c>
      <c r="R751" t="n">
        <v>0</v>
      </c>
      <c r="S751">
        <f>IMAGE("https://mitra.stanford.edu/kundaje/oak/projects/neuro-variants/variant_position/credible/roussos_2024/variant_figures/roussos_2024.childhood.GABA/rs11062166_count_position.png",4,220,900)</f>
        <v/>
      </c>
      <c r="T751">
        <f>IMAGE("https://mitra.stanford.edu/kundaje/oak/projects/neuro-variants/variant_position/credible/roussos_2024/variant_figures/roussos_2024.childhood.GABA/rs11062166_profile_position.png",4,220,900)</f>
        <v/>
      </c>
    </row>
    <row r="752">
      <c r="A752" t="inlineStr">
        <is>
          <t>chr12</t>
        </is>
      </c>
      <c r="B752" t="n">
        <v>2239678</v>
      </c>
      <c r="C752" t="inlineStr">
        <is>
          <t>G</t>
        </is>
      </c>
      <c r="D752" t="inlineStr">
        <is>
          <t>C</t>
        </is>
      </c>
      <c r="E752" t="inlineStr">
        <is>
          <t>rs11062170</t>
        </is>
      </c>
      <c r="F752" t="n">
        <v>-0.00446547268</v>
      </c>
      <c r="G752" t="n">
        <v>0.592957913127633</v>
      </c>
      <c r="H752" t="n">
        <v>0.0104915686500238</v>
      </c>
      <c r="I752" t="n">
        <v>0.5617391423293233</v>
      </c>
      <c r="J752" t="n">
        <v>0.6645797993759294</v>
      </c>
      <c r="K752" t="n">
        <v>0.0193570796900801</v>
      </c>
      <c r="L752" t="b">
        <v>0</v>
      </c>
      <c r="M752" t="b">
        <v>0</v>
      </c>
      <c r="N752" t="inlineStr">
        <is>
          <t>ref</t>
        </is>
      </c>
      <c r="O752" t="n">
        <v>90</v>
      </c>
      <c r="P752" t="n">
        <v>0.007217</v>
      </c>
      <c r="Q752" t="n">
        <v>-100</v>
      </c>
      <c r="R752" t="n">
        <v>0.1301</v>
      </c>
      <c r="S752">
        <f>IMAGE("https://mitra.stanford.edu/kundaje/oak/projects/neuro-variants/variant_position/credible/roussos_2024/variant_figures/roussos_2024.childhood.GABA/rs11062170_count_position.png",4,220,900)</f>
        <v/>
      </c>
      <c r="T752">
        <f>IMAGE("https://mitra.stanford.edu/kundaje/oak/projects/neuro-variants/variant_position/credible/roussos_2024/variant_figures/roussos_2024.childhood.GABA/rs11062170_profile_position.png",4,220,900)</f>
        <v/>
      </c>
    </row>
    <row r="753">
      <c r="A753" t="inlineStr">
        <is>
          <t>chr12</t>
        </is>
      </c>
      <c r="B753" t="n">
        <v>2259230</v>
      </c>
      <c r="C753" t="inlineStr">
        <is>
          <t>A</t>
        </is>
      </c>
      <c r="D753" t="inlineStr">
        <is>
          <t>G</t>
        </is>
      </c>
      <c r="E753" t="inlineStr">
        <is>
          <t>rs2370414</t>
        </is>
      </c>
      <c r="F753" t="n">
        <v>0.0559422668</v>
      </c>
      <c r="G753" t="n">
        <v>0.1108530115176579</v>
      </c>
      <c r="H753" t="n">
        <v>0.008647296963962801</v>
      </c>
      <c r="I753" t="n">
        <v>0.7774422746854941</v>
      </c>
      <c r="J753" t="n">
        <v>0.2512062574605767</v>
      </c>
      <c r="K753" t="n">
        <v>0.1678450678958313</v>
      </c>
      <c r="L753" t="b">
        <v>0</v>
      </c>
      <c r="M753" t="b">
        <v>0</v>
      </c>
      <c r="N753" t="inlineStr">
        <is>
          <t>alt</t>
        </is>
      </c>
      <c r="O753" t="n">
        <v>95</v>
      </c>
      <c r="P753" t="n">
        <v>0.04297</v>
      </c>
      <c r="Q753" t="n">
        <v>5</v>
      </c>
      <c r="R753" t="n">
        <v>0.01709</v>
      </c>
      <c r="S753">
        <f>IMAGE("https://mitra.stanford.edu/kundaje/oak/projects/neuro-variants/variant_position/credible/roussos_2024/variant_figures/roussos_2024.childhood.GABA/rs2370414_count_position.png",4,220,900)</f>
        <v/>
      </c>
      <c r="T753">
        <f>IMAGE("https://mitra.stanford.edu/kundaje/oak/projects/neuro-variants/variant_position/credible/roussos_2024/variant_figures/roussos_2024.childhood.GABA/rs2370414_profile_position.png",4,220,900)</f>
        <v/>
      </c>
    </row>
    <row r="754">
      <c r="A754" t="inlineStr">
        <is>
          <t>chr12</t>
        </is>
      </c>
      <c r="B754" t="n">
        <v>2274839</v>
      </c>
      <c r="C754" t="inlineStr">
        <is>
          <t>T</t>
        </is>
      </c>
      <c r="D754" t="inlineStr">
        <is>
          <t>G</t>
        </is>
      </c>
      <c r="E754" t="inlineStr">
        <is>
          <t>rs2238057</t>
        </is>
      </c>
      <c r="F754" t="n">
        <v>0.0190658351</v>
      </c>
      <c r="G754" t="n">
        <v>0.425420624876523</v>
      </c>
      <c r="H754" t="n">
        <v>0.016554468975039</v>
      </c>
      <c r="I754" t="n">
        <v>0.1609928392150028</v>
      </c>
      <c r="J754" t="n">
        <v>0.4298245062930619</v>
      </c>
      <c r="K754" t="n">
        <v>0.0734187070067331</v>
      </c>
      <c r="L754" t="b">
        <v>0</v>
      </c>
      <c r="M754" t="b">
        <v>0</v>
      </c>
      <c r="N754" t="inlineStr">
        <is>
          <t>alt</t>
        </is>
      </c>
      <c r="O754" t="n">
        <v>-80</v>
      </c>
      <c r="P754" t="n">
        <v>0.00278</v>
      </c>
      <c r="Q754" t="n">
        <v>-5</v>
      </c>
      <c r="R754" t="n">
        <v>0.01</v>
      </c>
      <c r="S754">
        <f>IMAGE("https://mitra.stanford.edu/kundaje/oak/projects/neuro-variants/variant_position/credible/roussos_2024/variant_figures/roussos_2024.childhood.GABA/rs2238057_count_position.png",4,220,900)</f>
        <v/>
      </c>
      <c r="T754">
        <f>IMAGE("https://mitra.stanford.edu/kundaje/oak/projects/neuro-variants/variant_position/credible/roussos_2024/variant_figures/roussos_2024.childhood.GABA/rs2238057_profile_position.png",4,220,900)</f>
        <v/>
      </c>
    </row>
    <row r="755">
      <c r="A755" t="inlineStr">
        <is>
          <t>chr12</t>
        </is>
      </c>
      <c r="B755" t="n">
        <v>3606194</v>
      </c>
      <c r="C755" t="inlineStr">
        <is>
          <t>A</t>
        </is>
      </c>
      <c r="D755" t="inlineStr">
        <is>
          <t>G</t>
        </is>
      </c>
      <c r="E755" t="inlineStr">
        <is>
          <t>rs6489486</t>
        </is>
      </c>
      <c r="F755" t="n">
        <v>0.0020051615599999</v>
      </c>
      <c r="G755" t="n">
        <v>0.7524699841122604</v>
      </c>
      <c r="H755" t="n">
        <v>0.0112157190934972</v>
      </c>
      <c r="I755" t="n">
        <v>0.5144202229413912</v>
      </c>
      <c r="J755" t="n">
        <v>0.3711639546815773</v>
      </c>
      <c r="K755" t="n">
        <v>0.0983266274939901</v>
      </c>
      <c r="L755" t="b">
        <v>0</v>
      </c>
      <c r="M755" t="b">
        <v>0</v>
      </c>
      <c r="N755" t="inlineStr">
        <is>
          <t>alt</t>
        </is>
      </c>
      <c r="O755" t="n">
        <v>-65</v>
      </c>
      <c r="P755" t="n">
        <v>0.01051</v>
      </c>
      <c r="Q755" t="n">
        <v>100</v>
      </c>
      <c r="R755" t="n">
        <v>0.1583</v>
      </c>
      <c r="S755">
        <f>IMAGE("https://mitra.stanford.edu/kundaje/oak/projects/neuro-variants/variant_position/credible/roussos_2024/variant_figures/roussos_2024.childhood.GABA/rs6489486_count_position.png",4,220,900)</f>
        <v/>
      </c>
      <c r="T755">
        <f>IMAGE("https://mitra.stanford.edu/kundaje/oak/projects/neuro-variants/variant_position/credible/roussos_2024/variant_figures/roussos_2024.childhood.GABA/rs6489486_profile_position.png",4,220,900)</f>
        <v/>
      </c>
    </row>
    <row r="756">
      <c r="A756" t="inlineStr">
        <is>
          <t>chr12</t>
        </is>
      </c>
      <c r="B756" t="n">
        <v>15549073</v>
      </c>
      <c r="C756" t="inlineStr">
        <is>
          <t>C</t>
        </is>
      </c>
      <c r="D756" t="inlineStr">
        <is>
          <t>T</t>
        </is>
      </c>
      <c r="E756" t="inlineStr">
        <is>
          <t>rs7132826</t>
        </is>
      </c>
      <c r="F756" t="n">
        <v>0.0066287032999999</v>
      </c>
      <c r="G756" t="n">
        <v>0.7227371041555817</v>
      </c>
      <c r="H756" t="n">
        <v>0.0222769029234032</v>
      </c>
      <c r="I756" t="n">
        <v>0.0484744123465212</v>
      </c>
      <c r="J756" t="n">
        <v>0.0136499759167346</v>
      </c>
      <c r="K756" t="n">
        <v>0.7014955549117682</v>
      </c>
      <c r="L756" t="b">
        <v>0</v>
      </c>
      <c r="M756" t="b">
        <v>0</v>
      </c>
      <c r="N756" t="inlineStr">
        <is>
          <t>alt</t>
        </is>
      </c>
      <c r="O756" t="n">
        <v>-40</v>
      </c>
      <c r="P756" t="n">
        <v>0.0006943</v>
      </c>
      <c r="Q756" t="n">
        <v>10</v>
      </c>
      <c r="R756" t="n">
        <v>0.01764</v>
      </c>
      <c r="S756">
        <f>IMAGE("https://mitra.stanford.edu/kundaje/oak/projects/neuro-variants/variant_position/credible/roussos_2024/variant_figures/roussos_2024.childhood.GABA/rs7132826_count_position.png",4,220,900)</f>
        <v/>
      </c>
      <c r="T756">
        <f>IMAGE("https://mitra.stanford.edu/kundaje/oak/projects/neuro-variants/variant_position/credible/roussos_2024/variant_figures/roussos_2024.childhood.GABA/rs7132826_profile_position.png",4,220,900)</f>
        <v/>
      </c>
    </row>
    <row r="757">
      <c r="A757" t="inlineStr">
        <is>
          <t>chr12</t>
        </is>
      </c>
      <c r="B757" t="n">
        <v>15554198</v>
      </c>
      <c r="C757" t="inlineStr">
        <is>
          <t>G</t>
        </is>
      </c>
      <c r="D757" t="inlineStr">
        <is>
          <t>A</t>
        </is>
      </c>
      <c r="E757" t="inlineStr">
        <is>
          <t>rs11056556</t>
        </is>
      </c>
      <c r="F757" t="n">
        <v>0.00111283986</v>
      </c>
      <c r="G757" t="n">
        <v>0.8350041148601079</v>
      </c>
      <c r="H757" t="n">
        <v>0.0181425291116881</v>
      </c>
      <c r="I757" t="n">
        <v>0.1098528617264974</v>
      </c>
      <c r="J757" t="n">
        <v>0.0602563297103725</v>
      </c>
      <c r="K757" t="n">
        <v>0.4630324059080614</v>
      </c>
      <c r="L757" t="b">
        <v>0</v>
      </c>
      <c r="M757" t="b">
        <v>0</v>
      </c>
      <c r="N757" t="inlineStr">
        <is>
          <t>alt</t>
        </is>
      </c>
      <c r="O757" t="n">
        <v>-80</v>
      </c>
      <c r="P757" t="n">
        <v>0.01848</v>
      </c>
      <c r="Q757" t="n">
        <v>-80</v>
      </c>
      <c r="R757" t="n">
        <v>0.02649</v>
      </c>
      <c r="S757">
        <f>IMAGE("https://mitra.stanford.edu/kundaje/oak/projects/neuro-variants/variant_position/credible/roussos_2024/variant_figures/roussos_2024.childhood.GABA/rs11056556_count_position.png",4,220,900)</f>
        <v/>
      </c>
      <c r="T757">
        <f>IMAGE("https://mitra.stanford.edu/kundaje/oak/projects/neuro-variants/variant_position/credible/roussos_2024/variant_figures/roussos_2024.childhood.GABA/rs11056556_profile_position.png",4,220,900)</f>
        <v/>
      </c>
    </row>
    <row r="758">
      <c r="A758" t="inlineStr">
        <is>
          <t>chr12</t>
        </is>
      </c>
      <c r="B758" t="n">
        <v>15554746</v>
      </c>
      <c r="C758" t="inlineStr">
        <is>
          <t>T</t>
        </is>
      </c>
      <c r="D758" t="inlineStr">
        <is>
          <t>A</t>
        </is>
      </c>
      <c r="E758" t="inlineStr">
        <is>
          <t>rs10846207</t>
        </is>
      </c>
      <c r="F758" t="n">
        <v>-0.08385839639999999</v>
      </c>
      <c r="G758" t="n">
        <v>0.0526798844774265</v>
      </c>
      <c r="H758" t="n">
        <v>0.0176703223595228</v>
      </c>
      <c r="I758" t="n">
        <v>0.1288509414023223</v>
      </c>
      <c r="J758" t="n">
        <v>0.0534365772444555</v>
      </c>
      <c r="K758" t="n">
        <v>0.4991171866638808</v>
      </c>
      <c r="L758" t="b">
        <v>0</v>
      </c>
      <c r="M758" t="b">
        <v>0</v>
      </c>
      <c r="N758" t="inlineStr">
        <is>
          <t>ref</t>
        </is>
      </c>
      <c r="O758" t="n">
        <v>100</v>
      </c>
      <c r="P758" t="n">
        <v>0.01361</v>
      </c>
      <c r="Q758" t="n">
        <v>-100</v>
      </c>
      <c r="R758" t="n">
        <v>0.06444999999999999</v>
      </c>
      <c r="S758">
        <f>IMAGE("https://mitra.stanford.edu/kundaje/oak/projects/neuro-variants/variant_position/credible/roussos_2024/variant_figures/roussos_2024.childhood.GABA/rs10846207_count_position.png",4,220,900)</f>
        <v/>
      </c>
      <c r="T758">
        <f>IMAGE("https://mitra.stanford.edu/kundaje/oak/projects/neuro-variants/variant_position/credible/roussos_2024/variant_figures/roussos_2024.childhood.GABA/rs10846207_profile_position.png",4,220,900)</f>
        <v/>
      </c>
    </row>
    <row r="759">
      <c r="A759" t="inlineStr">
        <is>
          <t>chr12</t>
        </is>
      </c>
      <c r="B759" t="n">
        <v>23364933</v>
      </c>
      <c r="C759" t="inlineStr">
        <is>
          <t>T</t>
        </is>
      </c>
      <c r="D759" t="inlineStr">
        <is>
          <t>G</t>
        </is>
      </c>
      <c r="E759" t="inlineStr">
        <is>
          <t>rs11046902</t>
        </is>
      </c>
      <c r="F759" t="n">
        <v>0.005238070046</v>
      </c>
      <c r="G759" t="n">
        <v>0.7506521521930695</v>
      </c>
      <c r="H759" t="n">
        <v>0.0232219823066894</v>
      </c>
      <c r="I759" t="n">
        <v>0.0419759598994334</v>
      </c>
      <c r="J759" t="n">
        <v>0.0150300517266653</v>
      </c>
      <c r="K759" t="n">
        <v>0.712703520164979</v>
      </c>
      <c r="L759" t="b">
        <v>0</v>
      </c>
      <c r="M759" t="b">
        <v>0</v>
      </c>
      <c r="N759" t="inlineStr">
        <is>
          <t>alt</t>
        </is>
      </c>
      <c r="O759" t="n">
        <v>-85</v>
      </c>
      <c r="P759" t="n">
        <v>0.02234</v>
      </c>
      <c r="Q759" t="n">
        <v>-85</v>
      </c>
      <c r="R759" t="n">
        <v>0.12476</v>
      </c>
      <c r="S759">
        <f>IMAGE("https://mitra.stanford.edu/kundaje/oak/projects/neuro-variants/variant_position/credible/roussos_2024/variant_figures/roussos_2024.childhood.GABA/rs11046902_count_position.png",4,220,900)</f>
        <v/>
      </c>
      <c r="T759">
        <f>IMAGE("https://mitra.stanford.edu/kundaje/oak/projects/neuro-variants/variant_position/credible/roussos_2024/variant_figures/roussos_2024.childhood.GABA/rs11046902_profile_position.png",4,220,900)</f>
        <v/>
      </c>
    </row>
    <row r="760">
      <c r="A760" t="inlineStr">
        <is>
          <t>chr12</t>
        </is>
      </c>
      <c r="B760" t="n">
        <v>23406204</v>
      </c>
      <c r="C760" t="inlineStr">
        <is>
          <t>A</t>
        </is>
      </c>
      <c r="D760" t="inlineStr">
        <is>
          <t>G</t>
        </is>
      </c>
      <c r="E760" t="inlineStr">
        <is>
          <t>rs2418108</t>
        </is>
      </c>
      <c r="F760" t="n">
        <v>-0.008077942899999999</v>
      </c>
      <c r="G760" t="n">
        <v>0.6369020411637657</v>
      </c>
      <c r="H760" t="n">
        <v>0.023242511815134</v>
      </c>
      <c r="I760" t="n">
        <v>0.0405014232463683</v>
      </c>
      <c r="J760" t="n">
        <v>0.0005664802831353</v>
      </c>
      <c r="K760" t="n">
        <v>0.9330820167554482</v>
      </c>
      <c r="L760" t="b">
        <v>0</v>
      </c>
      <c r="M760" t="b">
        <v>0</v>
      </c>
      <c r="N760" t="inlineStr">
        <is>
          <t>ref</t>
        </is>
      </c>
      <c r="O760" t="n">
        <v>-10</v>
      </c>
      <c r="P760" t="n">
        <v>0.0017395</v>
      </c>
      <c r="Q760" t="n">
        <v>-75</v>
      </c>
      <c r="R760" t="n">
        <v>0.0679</v>
      </c>
      <c r="S760">
        <f>IMAGE("https://mitra.stanford.edu/kundaje/oak/projects/neuro-variants/variant_position/credible/roussos_2024/variant_figures/roussos_2024.childhood.GABA/rs2418108_count_position.png",4,220,900)</f>
        <v/>
      </c>
      <c r="T760">
        <f>IMAGE("https://mitra.stanford.edu/kundaje/oak/projects/neuro-variants/variant_position/credible/roussos_2024/variant_figures/roussos_2024.childhood.GABA/rs2418108_profile_position.png",4,220,900)</f>
        <v/>
      </c>
    </row>
    <row r="761">
      <c r="A761" t="inlineStr">
        <is>
          <t>chr12</t>
        </is>
      </c>
      <c r="B761" t="n">
        <v>23486608</v>
      </c>
      <c r="C761" t="inlineStr">
        <is>
          <t>C</t>
        </is>
      </c>
      <c r="D761" t="inlineStr">
        <is>
          <t>G</t>
        </is>
      </c>
      <c r="E761" t="inlineStr">
        <is>
          <t>rs77777611</t>
        </is>
      </c>
      <c r="F761" t="n">
        <v>-0.0887640097999999</v>
      </c>
      <c r="G761" t="n">
        <v>0.0538800387013879</v>
      </c>
      <c r="H761" t="n">
        <v>0.0188285808229892</v>
      </c>
      <c r="I761" t="n">
        <v>0.0961926816237251</v>
      </c>
      <c r="J761" t="n">
        <v>0.0234508177839206</v>
      </c>
      <c r="K761" t="n">
        <v>0.6290627747849946</v>
      </c>
      <c r="L761" t="b">
        <v>0</v>
      </c>
      <c r="M761" t="b">
        <v>0</v>
      </c>
      <c r="N761" t="inlineStr">
        <is>
          <t>ref</t>
        </is>
      </c>
      <c r="O761" t="n">
        <v>-90</v>
      </c>
      <c r="P761" t="n">
        <v>0.0199</v>
      </c>
      <c r="Q761" t="n">
        <v>70</v>
      </c>
      <c r="R761" t="n">
        <v>0.0354</v>
      </c>
      <c r="S761">
        <f>IMAGE("https://mitra.stanford.edu/kundaje/oak/projects/neuro-variants/variant_position/credible/roussos_2024/variant_figures/roussos_2024.childhood.GABA/rs77777611_count_position.png",4,220,900)</f>
        <v/>
      </c>
      <c r="T761">
        <f>IMAGE("https://mitra.stanford.edu/kundaje/oak/projects/neuro-variants/variant_position/credible/roussos_2024/variant_figures/roussos_2024.childhood.GABA/rs77777611_profile_position.png",4,220,900)</f>
        <v/>
      </c>
    </row>
    <row r="762">
      <c r="A762" t="inlineStr">
        <is>
          <t>chr12</t>
        </is>
      </c>
      <c r="B762" t="n">
        <v>23545302</v>
      </c>
      <c r="C762" t="inlineStr">
        <is>
          <t>C</t>
        </is>
      </c>
      <c r="D762" t="inlineStr">
        <is>
          <t>T</t>
        </is>
      </c>
      <c r="E762" t="inlineStr">
        <is>
          <t>rs11612157</t>
        </is>
      </c>
      <c r="F762" t="n">
        <v>-0.06972463600000001</v>
      </c>
      <c r="G762" t="n">
        <v>0.0699884787792226</v>
      </c>
      <c r="H762" t="n">
        <v>0.0120607787840457</v>
      </c>
      <c r="I762" t="n">
        <v>0.430075198215731</v>
      </c>
      <c r="J762" t="n">
        <v>0.0752591568762957</v>
      </c>
      <c r="K762" t="n">
        <v>0.406050115070819</v>
      </c>
      <c r="L762" t="b">
        <v>0</v>
      </c>
      <c r="M762" t="b">
        <v>0</v>
      </c>
      <c r="N762" t="inlineStr">
        <is>
          <t>ref</t>
        </is>
      </c>
      <c r="O762" t="n">
        <v>-100</v>
      </c>
      <c r="P762" t="n">
        <v>0.006264</v>
      </c>
      <c r="Q762" t="n">
        <v>100</v>
      </c>
      <c r="R762" t="n">
        <v>0.06274</v>
      </c>
      <c r="S762">
        <f>IMAGE("https://mitra.stanford.edu/kundaje/oak/projects/neuro-variants/variant_position/credible/roussos_2024/variant_figures/roussos_2024.childhood.GABA/rs11612157_count_position.png",4,220,900)</f>
        <v/>
      </c>
      <c r="T762">
        <f>IMAGE("https://mitra.stanford.edu/kundaje/oak/projects/neuro-variants/variant_position/credible/roussos_2024/variant_figures/roussos_2024.childhood.GABA/rs11612157_profile_position.png",4,220,900)</f>
        <v/>
      </c>
    </row>
    <row r="763">
      <c r="A763" t="inlineStr">
        <is>
          <t>chr12</t>
        </is>
      </c>
      <c r="B763" t="n">
        <v>23608548</v>
      </c>
      <c r="C763" t="inlineStr">
        <is>
          <t>T</t>
        </is>
      </c>
      <c r="D763" t="inlineStr">
        <is>
          <t>C</t>
        </is>
      </c>
      <c r="E763" t="inlineStr">
        <is>
          <t>rs17468457</t>
        </is>
      </c>
      <c r="F763" t="n">
        <v>-0.0300516216</v>
      </c>
      <c r="G763" t="n">
        <v>0.2988314954544634</v>
      </c>
      <c r="H763" t="n">
        <v>0.0169846531411534</v>
      </c>
      <c r="I763" t="n">
        <v>0.1430731211844742</v>
      </c>
      <c r="J763" t="n">
        <v>0.0016701220916839</v>
      </c>
      <c r="K763" t="n">
        <v>0.8875089666446223</v>
      </c>
      <c r="L763" t="b">
        <v>0</v>
      </c>
      <c r="M763" t="b">
        <v>0</v>
      </c>
      <c r="N763" t="inlineStr">
        <is>
          <t>ref</t>
        </is>
      </c>
      <c r="O763" t="n">
        <v>55</v>
      </c>
      <c r="P763" t="n">
        <v>0.00452</v>
      </c>
      <c r="Q763" t="n">
        <v>70</v>
      </c>
      <c r="R763" t="n">
        <v>0.02917</v>
      </c>
      <c r="S763">
        <f>IMAGE("https://mitra.stanford.edu/kundaje/oak/projects/neuro-variants/variant_position/credible/roussos_2024/variant_figures/roussos_2024.childhood.GABA/rs17468457_count_position.png",4,220,900)</f>
        <v/>
      </c>
      <c r="T763">
        <f>IMAGE("https://mitra.stanford.edu/kundaje/oak/projects/neuro-variants/variant_position/credible/roussos_2024/variant_figures/roussos_2024.childhood.GABA/rs17468457_profile_position.png",4,220,900)</f>
        <v/>
      </c>
    </row>
    <row r="764">
      <c r="A764" t="inlineStr">
        <is>
          <t>chr12</t>
        </is>
      </c>
      <c r="B764" t="n">
        <v>23614364</v>
      </c>
      <c r="C764" t="inlineStr">
        <is>
          <t>T</t>
        </is>
      </c>
      <c r="D764" t="inlineStr">
        <is>
          <t>C</t>
        </is>
      </c>
      <c r="E764" t="inlineStr">
        <is>
          <t>rs17383970</t>
        </is>
      </c>
      <c r="F764" t="n">
        <v>0.01919391</v>
      </c>
      <c r="G764" t="n">
        <v>0.4134311606483772</v>
      </c>
      <c r="H764" t="n">
        <v>0.0098573620565409</v>
      </c>
      <c r="I764" t="n">
        <v>0.6482565623065106</v>
      </c>
      <c r="J764" t="n">
        <v>0.06479340746790629</v>
      </c>
      <c r="K764" t="n">
        <v>0.4659948535274536</v>
      </c>
      <c r="L764" t="b">
        <v>0</v>
      </c>
      <c r="M764" t="b">
        <v>0</v>
      </c>
      <c r="N764" t="inlineStr">
        <is>
          <t>alt</t>
        </is>
      </c>
      <c r="O764" t="n">
        <v>100</v>
      </c>
      <c r="P764" t="n">
        <v>0.003422</v>
      </c>
      <c r="Q764" t="n">
        <v>-25</v>
      </c>
      <c r="R764" t="n">
        <v>0.03653</v>
      </c>
      <c r="S764">
        <f>IMAGE("https://mitra.stanford.edu/kundaje/oak/projects/neuro-variants/variant_position/credible/roussos_2024/variant_figures/roussos_2024.childhood.GABA/rs17383970_count_position.png",4,220,900)</f>
        <v/>
      </c>
      <c r="T764">
        <f>IMAGE("https://mitra.stanford.edu/kundaje/oak/projects/neuro-variants/variant_position/credible/roussos_2024/variant_figures/roussos_2024.childhood.GABA/rs17383970_profile_position.png",4,220,900)</f>
        <v/>
      </c>
    </row>
    <row r="765">
      <c r="A765" t="inlineStr">
        <is>
          <t>chr12</t>
        </is>
      </c>
      <c r="B765" t="n">
        <v>23616961</v>
      </c>
      <c r="C765" t="inlineStr">
        <is>
          <t>A</t>
        </is>
      </c>
      <c r="D765" t="inlineStr">
        <is>
          <t>G</t>
        </is>
      </c>
      <c r="E765" t="inlineStr">
        <is>
          <t>rs73091330</t>
        </is>
      </c>
      <c r="F765" t="n">
        <v>0.0212060371</v>
      </c>
      <c r="G765" t="n">
        <v>0.4020362102094726</v>
      </c>
      <c r="H765" t="n">
        <v>0.0251961185831194</v>
      </c>
      <c r="I765" t="n">
        <v>0.0289021764099605</v>
      </c>
      <c r="J765" t="n">
        <v>0.0301595778098887</v>
      </c>
      <c r="K765" t="n">
        <v>0.5772517542418781</v>
      </c>
      <c r="L765" t="b">
        <v>0</v>
      </c>
      <c r="M765" t="b">
        <v>0</v>
      </c>
      <c r="N765" t="inlineStr">
        <is>
          <t>alt</t>
        </is>
      </c>
      <c r="O765" t="n">
        <v>90</v>
      </c>
      <c r="P765" t="n">
        <v>0.05734</v>
      </c>
      <c r="Q765" t="n">
        <v>10</v>
      </c>
      <c r="R765" t="n">
        <v>0.01416</v>
      </c>
      <c r="S765">
        <f>IMAGE("https://mitra.stanford.edu/kundaje/oak/projects/neuro-variants/variant_position/credible/roussos_2024/variant_figures/roussos_2024.childhood.GABA/rs73091330_count_position.png",4,220,900)</f>
        <v/>
      </c>
      <c r="T765">
        <f>IMAGE("https://mitra.stanford.edu/kundaje/oak/projects/neuro-variants/variant_position/credible/roussos_2024/variant_figures/roussos_2024.childhood.GABA/rs73091330_profile_position.png",4,220,900)</f>
        <v/>
      </c>
    </row>
    <row r="766">
      <c r="A766" t="inlineStr">
        <is>
          <t>chr12</t>
        </is>
      </c>
      <c r="B766" t="n">
        <v>23625917</v>
      </c>
      <c r="C766" t="inlineStr">
        <is>
          <t>G</t>
        </is>
      </c>
      <c r="D766" t="inlineStr">
        <is>
          <t>A</t>
        </is>
      </c>
      <c r="E766" t="inlineStr">
        <is>
          <t>rs73091349</t>
        </is>
      </c>
      <c r="F766" t="n">
        <v>-0.00168708864</v>
      </c>
      <c r="G766" t="n">
        <v>0.7498987225359246</v>
      </c>
      <c r="H766" t="n">
        <v>0.012030215058254</v>
      </c>
      <c r="I766" t="n">
        <v>0.436293160224775</v>
      </c>
      <c r="J766" t="n">
        <v>0.0093359301375887</v>
      </c>
      <c r="K766" t="n">
        <v>0.7486053090699957</v>
      </c>
      <c r="L766" t="b">
        <v>0</v>
      </c>
      <c r="M766" t="b">
        <v>0</v>
      </c>
      <c r="N766" t="inlineStr">
        <is>
          <t>ref</t>
        </is>
      </c>
      <c r="O766" t="n">
        <v>-100</v>
      </c>
      <c r="P766" t="n">
        <v>0.006893</v>
      </c>
      <c r="Q766" t="n">
        <v>-90</v>
      </c>
      <c r="R766" t="n">
        <v>0.1399</v>
      </c>
      <c r="S766">
        <f>IMAGE("https://mitra.stanford.edu/kundaje/oak/projects/neuro-variants/variant_position/credible/roussos_2024/variant_figures/roussos_2024.childhood.GABA/rs73091349_count_position.png",4,220,900)</f>
        <v/>
      </c>
      <c r="T766">
        <f>IMAGE("https://mitra.stanford.edu/kundaje/oak/projects/neuro-variants/variant_position/credible/roussos_2024/variant_figures/roussos_2024.childhood.GABA/rs73091349_profile_position.png",4,220,900)</f>
        <v/>
      </c>
    </row>
    <row r="767">
      <c r="A767" t="inlineStr">
        <is>
          <t>chr12</t>
        </is>
      </c>
      <c r="B767" t="n">
        <v>23627810</v>
      </c>
      <c r="C767" t="inlineStr">
        <is>
          <t>T</t>
        </is>
      </c>
      <c r="D767" t="inlineStr">
        <is>
          <t>C</t>
        </is>
      </c>
      <c r="E767" t="inlineStr">
        <is>
          <t>rs76571125</t>
        </is>
      </c>
      <c r="F767" t="n">
        <v>-0.0009679629459999</v>
      </c>
      <c r="G767" t="n">
        <v>0.9067671413116862</v>
      </c>
      <c r="H767" t="n">
        <v>0.0210155612470003</v>
      </c>
      <c r="I767" t="n">
        <v>0.0619834908257473</v>
      </c>
      <c r="J767" t="n">
        <v>0.0039580322925174</v>
      </c>
      <c r="K767" t="n">
        <v>0.8371465141661739</v>
      </c>
      <c r="L767" t="b">
        <v>0</v>
      </c>
      <c r="M767" t="b">
        <v>0</v>
      </c>
      <c r="N767" t="inlineStr">
        <is>
          <t>ref</t>
        </is>
      </c>
      <c r="O767" t="n">
        <v>100</v>
      </c>
      <c r="P767" t="n">
        <v>0.009674</v>
      </c>
      <c r="Q767" t="n">
        <v>100</v>
      </c>
      <c r="R767" t="n">
        <v>0.03638</v>
      </c>
      <c r="S767">
        <f>IMAGE("https://mitra.stanford.edu/kundaje/oak/projects/neuro-variants/variant_position/credible/roussos_2024/variant_figures/roussos_2024.childhood.GABA/rs76571125_count_position.png",4,220,900)</f>
        <v/>
      </c>
      <c r="T767">
        <f>IMAGE("https://mitra.stanford.edu/kundaje/oak/projects/neuro-variants/variant_position/credible/roussos_2024/variant_figures/roussos_2024.childhood.GABA/rs76571125_profile_position.png",4,220,900)</f>
        <v/>
      </c>
    </row>
    <row r="768">
      <c r="A768" t="inlineStr">
        <is>
          <t>chr12</t>
        </is>
      </c>
      <c r="B768" t="n">
        <v>23641960</v>
      </c>
      <c r="C768" t="inlineStr">
        <is>
          <t>C</t>
        </is>
      </c>
      <c r="D768" t="inlineStr">
        <is>
          <t>A</t>
        </is>
      </c>
      <c r="E768" t="inlineStr">
        <is>
          <t>rs73091376</t>
        </is>
      </c>
      <c r="F768" t="n">
        <v>0.0640750484</v>
      </c>
      <c r="G768" t="n">
        <v>0.0945520492606889</v>
      </c>
      <c r="H768" t="n">
        <v>0.0210587545683301</v>
      </c>
      <c r="I768" t="n">
        <v>0.0604083941765745</v>
      </c>
      <c r="J768" t="n">
        <v>0.0046449289020124</v>
      </c>
      <c r="K768" t="n">
        <v>0.8227800463288646</v>
      </c>
      <c r="L768" t="b">
        <v>0</v>
      </c>
      <c r="M768" t="b">
        <v>0</v>
      </c>
      <c r="N768" t="inlineStr">
        <is>
          <t>alt</t>
        </is>
      </c>
      <c r="O768" t="n">
        <v>-65</v>
      </c>
      <c r="P768" t="n">
        <v>0.006004</v>
      </c>
      <c r="Q768" t="n">
        <v>15</v>
      </c>
      <c r="R768" t="n">
        <v>0.00839</v>
      </c>
      <c r="S768">
        <f>IMAGE("https://mitra.stanford.edu/kundaje/oak/projects/neuro-variants/variant_position/credible/roussos_2024/variant_figures/roussos_2024.childhood.GABA/rs73091376_count_position.png",4,220,900)</f>
        <v/>
      </c>
      <c r="T768">
        <f>IMAGE("https://mitra.stanford.edu/kundaje/oak/projects/neuro-variants/variant_position/credible/roussos_2024/variant_figures/roussos_2024.childhood.GABA/rs73091376_profile_position.png",4,220,900)</f>
        <v/>
      </c>
    </row>
    <row r="769">
      <c r="A769" t="inlineStr">
        <is>
          <t>chr12</t>
        </is>
      </c>
      <c r="B769" t="n">
        <v>23646344</v>
      </c>
      <c r="C769" t="inlineStr">
        <is>
          <t>T</t>
        </is>
      </c>
      <c r="D769" t="inlineStr">
        <is>
          <t>C</t>
        </is>
      </c>
      <c r="E769" t="inlineStr">
        <is>
          <t>rs73073805</t>
        </is>
      </c>
      <c r="F769" t="n">
        <v>0.003352901702606</v>
      </c>
      <c r="G769" t="n">
        <v>0.8295519857959016</v>
      </c>
      <c r="H769" t="n">
        <v>0.0282569022479492</v>
      </c>
      <c r="I769" t="n">
        <v>0.0161949695088922</v>
      </c>
      <c r="J769" t="n">
        <v>0.0251052333982533</v>
      </c>
      <c r="K769" t="n">
        <v>0.6154014728085424</v>
      </c>
      <c r="L769" t="b">
        <v>1</v>
      </c>
      <c r="M769" t="b">
        <v>0</v>
      </c>
      <c r="N769" t="inlineStr">
        <is>
          <t>alt</t>
        </is>
      </c>
      <c r="O769" t="n">
        <v>80</v>
      </c>
      <c r="P769" t="n">
        <v>0.00983</v>
      </c>
      <c r="Q769" t="n">
        <v>100</v>
      </c>
      <c r="R769" t="n">
        <v>0.03238</v>
      </c>
      <c r="S769">
        <f>IMAGE("https://mitra.stanford.edu/kundaje/oak/projects/neuro-variants/variant_position/credible/roussos_2024/variant_figures/roussos_2024.childhood.GABA/rs73073805_count_position.png",4,220,900)</f>
        <v/>
      </c>
      <c r="T769">
        <f>IMAGE("https://mitra.stanford.edu/kundaje/oak/projects/neuro-variants/variant_position/credible/roussos_2024/variant_figures/roussos_2024.childhood.GABA/rs73073805_profile_position.png",4,220,900)</f>
        <v/>
      </c>
    </row>
    <row r="770">
      <c r="A770" t="inlineStr">
        <is>
          <t>chr12</t>
        </is>
      </c>
      <c r="B770" t="n">
        <v>29778123</v>
      </c>
      <c r="C770" t="inlineStr">
        <is>
          <t>C</t>
        </is>
      </c>
      <c r="D770" t="inlineStr">
        <is>
          <t>A</t>
        </is>
      </c>
      <c r="E770" t="inlineStr">
        <is>
          <t>rs10843507</t>
        </is>
      </c>
      <c r="F770" t="n">
        <v>-0.011612317</v>
      </c>
      <c r="G770" t="n">
        <v>0.5058901723980024</v>
      </c>
      <c r="H770" t="n">
        <v>0.0110116326844323</v>
      </c>
      <c r="I770" t="n">
        <v>0.5343772681246234</v>
      </c>
      <c r="J770" t="n">
        <v>0.0379583673640342</v>
      </c>
      <c r="K770" t="n">
        <v>0.5347629593184982</v>
      </c>
      <c r="L770" t="b">
        <v>0</v>
      </c>
      <c r="M770" t="b">
        <v>0</v>
      </c>
      <c r="N770" t="inlineStr">
        <is>
          <t>ref</t>
        </is>
      </c>
      <c r="O770" t="n">
        <v>100</v>
      </c>
      <c r="P770" t="n">
        <v>0.00966</v>
      </c>
      <c r="Q770" t="n">
        <v>70</v>
      </c>
      <c r="R770" t="n">
        <v>0.01727</v>
      </c>
      <c r="S770">
        <f>IMAGE("https://mitra.stanford.edu/kundaje/oak/projects/neuro-variants/variant_position/credible/roussos_2024/variant_figures/roussos_2024.childhood.GABA/rs10843507_count_position.png",4,220,900)</f>
        <v/>
      </c>
      <c r="T770">
        <f>IMAGE("https://mitra.stanford.edu/kundaje/oak/projects/neuro-variants/variant_position/credible/roussos_2024/variant_figures/roussos_2024.childhood.GABA/rs10843507_profile_position.png",4,220,900)</f>
        <v/>
      </c>
    </row>
    <row r="771">
      <c r="A771" t="inlineStr">
        <is>
          <t>chr12</t>
        </is>
      </c>
      <c r="B771" t="n">
        <v>29791226</v>
      </c>
      <c r="C771" t="inlineStr">
        <is>
          <t>T</t>
        </is>
      </c>
      <c r="D771" t="inlineStr">
        <is>
          <t>C</t>
        </is>
      </c>
      <c r="E771" t="inlineStr">
        <is>
          <t>rs7316162</t>
        </is>
      </c>
      <c r="F771" t="n">
        <v>0.08999897259999989</v>
      </c>
      <c r="G771" t="n">
        <v>0.0428318131636908</v>
      </c>
      <c r="H771" t="n">
        <v>0.0194136721860465</v>
      </c>
      <c r="I771" t="n">
        <v>0.08468178904970949</v>
      </c>
      <c r="J771" t="n">
        <v>0.2879960629096773</v>
      </c>
      <c r="K771" t="n">
        <v>0.141475081457362</v>
      </c>
      <c r="L771" t="b">
        <v>0</v>
      </c>
      <c r="M771" t="b">
        <v>0</v>
      </c>
      <c r="N771" t="inlineStr">
        <is>
          <t>alt</t>
        </is>
      </c>
      <c r="O771" t="n">
        <v>65</v>
      </c>
      <c r="P771" t="n">
        <v>0.008670000000000001</v>
      </c>
      <c r="Q771" t="n">
        <v>45</v>
      </c>
      <c r="R771" t="n">
        <v>0.1262</v>
      </c>
      <c r="S771">
        <f>IMAGE("https://mitra.stanford.edu/kundaje/oak/projects/neuro-variants/variant_position/credible/roussos_2024/variant_figures/roussos_2024.childhood.GABA/rs7316162_count_position.png",4,220,900)</f>
        <v/>
      </c>
      <c r="T771">
        <f>IMAGE("https://mitra.stanford.edu/kundaje/oak/projects/neuro-variants/variant_position/credible/roussos_2024/variant_figures/roussos_2024.childhood.GABA/rs7316162_profile_position.png",4,220,900)</f>
        <v/>
      </c>
    </row>
    <row r="772">
      <c r="A772" t="inlineStr">
        <is>
          <t>chr12</t>
        </is>
      </c>
      <c r="B772" t="n">
        <v>29791874</v>
      </c>
      <c r="C772" t="inlineStr">
        <is>
          <t>C</t>
        </is>
      </c>
      <c r="D772" t="inlineStr">
        <is>
          <t>G</t>
        </is>
      </c>
      <c r="E772" t="inlineStr">
        <is>
          <t>rs302350</t>
        </is>
      </c>
      <c r="F772" t="n">
        <v>-0.011865489288</v>
      </c>
      <c r="G772" t="n">
        <v>0.595077786250058</v>
      </c>
      <c r="H772" t="n">
        <v>0.008072386511193</v>
      </c>
      <c r="I772" t="n">
        <v>0.8275744541948475</v>
      </c>
      <c r="J772" t="n">
        <v>0.3489937383510293</v>
      </c>
      <c r="K772" t="n">
        <v>0.1066335141467425</v>
      </c>
      <c r="L772" t="b">
        <v>0</v>
      </c>
      <c r="M772" t="b">
        <v>0</v>
      </c>
      <c r="N772" t="inlineStr">
        <is>
          <t>ref</t>
        </is>
      </c>
      <c r="O772" t="n">
        <v>-20</v>
      </c>
      <c r="P772" t="n">
        <v>0.001701</v>
      </c>
      <c r="Q772" t="n">
        <v>-95</v>
      </c>
      <c r="R772" t="n">
        <v>0.01892</v>
      </c>
      <c r="S772">
        <f>IMAGE("https://mitra.stanford.edu/kundaje/oak/projects/neuro-variants/variant_position/credible/roussos_2024/variant_figures/roussos_2024.childhood.GABA/rs302350_count_position.png",4,220,900)</f>
        <v/>
      </c>
      <c r="T772">
        <f>IMAGE("https://mitra.stanford.edu/kundaje/oak/projects/neuro-variants/variant_position/credible/roussos_2024/variant_figures/roussos_2024.childhood.GABA/rs302350_profile_position.png",4,220,900)</f>
        <v/>
      </c>
    </row>
    <row r="773">
      <c r="A773" t="inlineStr">
        <is>
          <t>chr12</t>
        </is>
      </c>
      <c r="B773" t="n">
        <v>29806764</v>
      </c>
      <c r="C773" t="inlineStr">
        <is>
          <t>C</t>
        </is>
      </c>
      <c r="D773" t="inlineStr">
        <is>
          <t>A</t>
        </is>
      </c>
      <c r="E773" t="inlineStr">
        <is>
          <t>rs369003</t>
        </is>
      </c>
      <c r="F773" t="n">
        <v>0.006085439032</v>
      </c>
      <c r="G773" t="n">
        <v>0.727220595858319</v>
      </c>
      <c r="H773" t="n">
        <v>0.0311471984275565</v>
      </c>
      <c r="I773" t="n">
        <v>0.0107483221024234</v>
      </c>
      <c r="J773" t="n">
        <v>0.03217105400934</v>
      </c>
      <c r="K773" t="n">
        <v>0.5639933649711329</v>
      </c>
      <c r="L773" t="b">
        <v>1</v>
      </c>
      <c r="M773" t="b">
        <v>0</v>
      </c>
      <c r="N773" t="inlineStr">
        <is>
          <t>alt</t>
        </is>
      </c>
      <c r="O773" t="n">
        <v>-20</v>
      </c>
      <c r="P773" t="n">
        <v>0.001053</v>
      </c>
      <c r="Q773" t="n">
        <v>-35</v>
      </c>
      <c r="R773" t="n">
        <v>0.04144</v>
      </c>
      <c r="S773">
        <f>IMAGE("https://mitra.stanford.edu/kundaje/oak/projects/neuro-variants/variant_position/credible/roussos_2024/variant_figures/roussos_2024.childhood.GABA/rs369003_count_position.png",4,220,900)</f>
        <v/>
      </c>
      <c r="T773">
        <f>IMAGE("https://mitra.stanford.edu/kundaje/oak/projects/neuro-variants/variant_position/credible/roussos_2024/variant_figures/roussos_2024.childhood.GABA/rs369003_profile_position.png",4,220,900)</f>
        <v/>
      </c>
    </row>
    <row r="774">
      <c r="A774" t="inlineStr">
        <is>
          <t>chr12</t>
        </is>
      </c>
      <c r="B774" t="n">
        <v>29809890</v>
      </c>
      <c r="C774" t="inlineStr">
        <is>
          <t>C</t>
        </is>
      </c>
      <c r="D774" t="inlineStr">
        <is>
          <t>T</t>
        </is>
      </c>
      <c r="E774" t="inlineStr">
        <is>
          <t>rs625430</t>
        </is>
      </c>
      <c r="F774" t="n">
        <v>-0.04045661</v>
      </c>
      <c r="G774" t="n">
        <v>0.2124445838649876</v>
      </c>
      <c r="H774" t="n">
        <v>0.0108689923980834</v>
      </c>
      <c r="I774" t="n">
        <v>0.5462249774861805</v>
      </c>
      <c r="J774" t="n">
        <v>0.3412766224791103</v>
      </c>
      <c r="K774" t="n">
        <v>0.1132775486394724</v>
      </c>
      <c r="L774" t="b">
        <v>0</v>
      </c>
      <c r="M774" t="b">
        <v>0</v>
      </c>
      <c r="N774" t="inlineStr">
        <is>
          <t>ref</t>
        </is>
      </c>
      <c r="O774" t="n">
        <v>15</v>
      </c>
      <c r="P774" t="n">
        <v>0.001465</v>
      </c>
      <c r="Q774" t="n">
        <v>-40</v>
      </c>
      <c r="R774" t="n">
        <v>0.0371</v>
      </c>
      <c r="S774">
        <f>IMAGE("https://mitra.stanford.edu/kundaje/oak/projects/neuro-variants/variant_position/credible/roussos_2024/variant_figures/roussos_2024.childhood.GABA/rs625430_count_position.png",4,220,900)</f>
        <v/>
      </c>
      <c r="T774">
        <f>IMAGE("https://mitra.stanford.edu/kundaje/oak/projects/neuro-variants/variant_position/credible/roussos_2024/variant_figures/roussos_2024.childhood.GABA/rs625430_profile_position.png",4,220,900)</f>
        <v/>
      </c>
    </row>
    <row r="775">
      <c r="A775" t="inlineStr">
        <is>
          <t>chr12</t>
        </is>
      </c>
      <c r="B775" t="n">
        <v>29866765</v>
      </c>
      <c r="C775" t="inlineStr">
        <is>
          <t>A</t>
        </is>
      </c>
      <c r="D775" t="inlineStr">
        <is>
          <t>G</t>
        </is>
      </c>
      <c r="E775" t="inlineStr">
        <is>
          <t>rs58304678</t>
        </is>
      </c>
      <c r="F775" t="n">
        <v>0.0524201146</v>
      </c>
      <c r="G775" t="n">
        <v>0.1268668132692927</v>
      </c>
      <c r="H775" t="n">
        <v>0.0117206587786474</v>
      </c>
      <c r="I775" t="n">
        <v>0.4476375975491487</v>
      </c>
      <c r="J775" t="n">
        <v>0.0499193734162634</v>
      </c>
      <c r="K775" t="n">
        <v>0.5053840040180391</v>
      </c>
      <c r="L775" t="b">
        <v>0</v>
      </c>
      <c r="M775" t="b">
        <v>0</v>
      </c>
      <c r="N775" t="inlineStr">
        <is>
          <t>alt</t>
        </is>
      </c>
      <c r="O775" t="n">
        <v>-30</v>
      </c>
      <c r="P775" t="n">
        <v>0.002533</v>
      </c>
      <c r="Q775" t="n">
        <v>-35</v>
      </c>
      <c r="R775" t="n">
        <v>0.03918</v>
      </c>
      <c r="S775">
        <f>IMAGE("https://mitra.stanford.edu/kundaje/oak/projects/neuro-variants/variant_position/credible/roussos_2024/variant_figures/roussos_2024.childhood.GABA/rs58304678_count_position.png",4,220,900)</f>
        <v/>
      </c>
      <c r="T775">
        <f>IMAGE("https://mitra.stanford.edu/kundaje/oak/projects/neuro-variants/variant_position/credible/roussos_2024/variant_figures/roussos_2024.childhood.GABA/rs58304678_profile_position.png",4,220,900)</f>
        <v/>
      </c>
    </row>
    <row r="776">
      <c r="A776" t="inlineStr">
        <is>
          <t>chr12</t>
        </is>
      </c>
      <c r="B776" t="n">
        <v>29870745</v>
      </c>
      <c r="C776" t="inlineStr">
        <is>
          <t>T</t>
        </is>
      </c>
      <c r="D776" t="inlineStr">
        <is>
          <t>G</t>
        </is>
      </c>
      <c r="E776" t="inlineStr">
        <is>
          <t>rs10431276</t>
        </is>
      </c>
      <c r="F776" t="n">
        <v>0.00805986536</v>
      </c>
      <c r="G776" t="n">
        <v>0.6522726202855677</v>
      </c>
      <c r="H776" t="n">
        <v>0.015527991581183</v>
      </c>
      <c r="I776" t="n">
        <v>0.1998095738112246</v>
      </c>
      <c r="J776" t="n">
        <v>0.0360442713241607</v>
      </c>
      <c r="K776" t="n">
        <v>0.5498410687587431</v>
      </c>
      <c r="L776" t="b">
        <v>0</v>
      </c>
      <c r="M776" t="b">
        <v>0</v>
      </c>
      <c r="N776" t="inlineStr">
        <is>
          <t>alt</t>
        </is>
      </c>
      <c r="O776" t="n">
        <v>45</v>
      </c>
      <c r="P776" t="n">
        <v>0.005867</v>
      </c>
      <c r="Q776" t="n">
        <v>-55</v>
      </c>
      <c r="R776" t="n">
        <v>0.1428</v>
      </c>
      <c r="S776">
        <f>IMAGE("https://mitra.stanford.edu/kundaje/oak/projects/neuro-variants/variant_position/credible/roussos_2024/variant_figures/roussos_2024.childhood.GABA/rs10431276_count_position.png",4,220,900)</f>
        <v/>
      </c>
      <c r="T776">
        <f>IMAGE("https://mitra.stanford.edu/kundaje/oak/projects/neuro-variants/variant_position/credible/roussos_2024/variant_figures/roussos_2024.childhood.GABA/rs10431276_profile_position.png",4,220,900)</f>
        <v/>
      </c>
    </row>
    <row r="777">
      <c r="A777" t="inlineStr">
        <is>
          <t>chr12</t>
        </is>
      </c>
      <c r="B777" t="n">
        <v>29877776</v>
      </c>
      <c r="C777" t="inlineStr">
        <is>
          <t>A</t>
        </is>
      </c>
      <c r="D777" t="inlineStr">
        <is>
          <t>C</t>
        </is>
      </c>
      <c r="E777" t="inlineStr">
        <is>
          <t>rs12229602</t>
        </is>
      </c>
      <c r="F777" t="n">
        <v>0.0165543478</v>
      </c>
      <c r="G777" t="n">
        <v>0.4681377381866247</v>
      </c>
      <c r="H777" t="n">
        <v>0.0082531025666865</v>
      </c>
      <c r="I777" t="n">
        <v>0.8334946323178188</v>
      </c>
      <c r="J777" t="n">
        <v>0.0110625955477371</v>
      </c>
      <c r="K777" t="n">
        <v>0.7327105412349865</v>
      </c>
      <c r="L777" t="b">
        <v>0</v>
      </c>
      <c r="M777" t="b">
        <v>0</v>
      </c>
      <c r="N777" t="inlineStr">
        <is>
          <t>alt</t>
        </is>
      </c>
      <c r="O777" t="n">
        <v>-100</v>
      </c>
      <c r="P777" t="n">
        <v>0.006966</v>
      </c>
      <c r="Q777" t="n">
        <v>45</v>
      </c>
      <c r="R777" t="n">
        <v>0.02045</v>
      </c>
      <c r="S777">
        <f>IMAGE("https://mitra.stanford.edu/kundaje/oak/projects/neuro-variants/variant_position/credible/roussos_2024/variant_figures/roussos_2024.childhood.GABA/rs12229602_count_position.png",4,220,900)</f>
        <v/>
      </c>
      <c r="T777">
        <f>IMAGE("https://mitra.stanford.edu/kundaje/oak/projects/neuro-variants/variant_position/credible/roussos_2024/variant_figures/roussos_2024.childhood.GABA/rs12229602_profile_position.png",4,220,900)</f>
        <v/>
      </c>
    </row>
    <row r="778">
      <c r="A778" t="inlineStr">
        <is>
          <t>chr12</t>
        </is>
      </c>
      <c r="B778" t="n">
        <v>29889855</v>
      </c>
      <c r="C778" t="inlineStr">
        <is>
          <t>G</t>
        </is>
      </c>
      <c r="D778" t="inlineStr">
        <is>
          <t>A</t>
        </is>
      </c>
      <c r="E778" t="inlineStr">
        <is>
          <t>rs10843539</t>
        </is>
      </c>
      <c r="F778" t="n">
        <v>0.253423944</v>
      </c>
      <c r="G778" t="n">
        <v>0.0022787308206094</v>
      </c>
      <c r="H778" t="n">
        <v>0.0499531480976379</v>
      </c>
      <c r="I778" t="n">
        <v>0.00182877128972</v>
      </c>
      <c r="J778" t="n">
        <v>0.6555087851563318</v>
      </c>
      <c r="K778" t="n">
        <v>0.0206887601593679</v>
      </c>
      <c r="L778" t="b">
        <v>1</v>
      </c>
      <c r="M778" t="b">
        <v>1</v>
      </c>
      <c r="N778" t="inlineStr">
        <is>
          <t>alt</t>
        </is>
      </c>
      <c r="O778" t="n">
        <v>30</v>
      </c>
      <c r="P778" t="n">
        <v>0.003296</v>
      </c>
      <c r="Q778" t="n">
        <v>30</v>
      </c>
      <c r="R778" t="n">
        <v>0.1094</v>
      </c>
      <c r="S778">
        <f>IMAGE("https://mitra.stanford.edu/kundaje/oak/projects/neuro-variants/variant_position/credible/roussos_2024/variant_figures/roussos_2024.childhood.GABA/rs10843539_count_position.png",4,220,900)</f>
        <v/>
      </c>
      <c r="T778">
        <f>IMAGE("https://mitra.stanford.edu/kundaje/oak/projects/neuro-variants/variant_position/credible/roussos_2024/variant_figures/roussos_2024.childhood.GABA/rs10843539_profile_position.png",4,220,900)</f>
        <v/>
      </c>
    </row>
    <row r="779">
      <c r="A779" t="inlineStr">
        <is>
          <t>chr12</t>
        </is>
      </c>
      <c r="B779" t="n">
        <v>29896727</v>
      </c>
      <c r="C779" t="inlineStr">
        <is>
          <t>G</t>
        </is>
      </c>
      <c r="D779" t="inlineStr">
        <is>
          <t>T</t>
        </is>
      </c>
      <c r="E779" t="inlineStr">
        <is>
          <t>rs2351015</t>
        </is>
      </c>
      <c r="F779" t="n">
        <v>0.02397479268</v>
      </c>
      <c r="G779" t="n">
        <v>0.3845248802886536</v>
      </c>
      <c r="H779" t="n">
        <v>0.0241529178538341</v>
      </c>
      <c r="I779" t="n">
        <v>0.0336529561608106</v>
      </c>
      <c r="J779" t="n">
        <v>0.0045213712801825</v>
      </c>
      <c r="K779" t="n">
        <v>0.8252214509447425</v>
      </c>
      <c r="L779" t="b">
        <v>0</v>
      </c>
      <c r="M779" t="b">
        <v>0</v>
      </c>
      <c r="N779" t="inlineStr">
        <is>
          <t>alt</t>
        </is>
      </c>
      <c r="O779" t="n">
        <v>-60</v>
      </c>
      <c r="P779" t="n">
        <v>0.004135</v>
      </c>
      <c r="Q779" t="n">
        <v>-75</v>
      </c>
      <c r="R779" t="n">
        <v>0.02191</v>
      </c>
      <c r="S779">
        <f>IMAGE("https://mitra.stanford.edu/kundaje/oak/projects/neuro-variants/variant_position/credible/roussos_2024/variant_figures/roussos_2024.childhood.GABA/rs2351015_count_position.png",4,220,900)</f>
        <v/>
      </c>
      <c r="T779">
        <f>IMAGE("https://mitra.stanford.edu/kundaje/oak/projects/neuro-variants/variant_position/credible/roussos_2024/variant_figures/roussos_2024.childhood.GABA/rs2351015_profile_position.png",4,220,900)</f>
        <v/>
      </c>
    </row>
    <row r="780">
      <c r="A780" t="inlineStr">
        <is>
          <t>chr12</t>
        </is>
      </c>
      <c r="B780" t="n">
        <v>29902763</v>
      </c>
      <c r="C780" t="inlineStr">
        <is>
          <t>A</t>
        </is>
      </c>
      <c r="D780" t="inlineStr">
        <is>
          <t>G</t>
        </is>
      </c>
      <c r="E780" t="inlineStr">
        <is>
          <t>rs4622345</t>
        </is>
      </c>
      <c r="F780" t="n">
        <v>0.0001742524</v>
      </c>
      <c r="G780" t="n">
        <v>0.7046331182117406</v>
      </c>
      <c r="H780" t="n">
        <v>0.0207168531088735</v>
      </c>
      <c r="I780" t="n">
        <v>0.0647156554111972</v>
      </c>
      <c r="J780" t="n">
        <v>0.040250465958828</v>
      </c>
      <c r="K780" t="n">
        <v>0.5360406603349941</v>
      </c>
      <c r="L780" t="b">
        <v>0</v>
      </c>
      <c r="M780" t="b">
        <v>0</v>
      </c>
      <c r="N780" t="inlineStr">
        <is>
          <t>alt</t>
        </is>
      </c>
      <c r="O780" t="n">
        <v>15</v>
      </c>
      <c r="P780" t="n">
        <v>0.005287</v>
      </c>
      <c r="Q780" t="n">
        <v>-100</v>
      </c>
      <c r="R780" t="n">
        <v>0.04883</v>
      </c>
      <c r="S780">
        <f>IMAGE("https://mitra.stanford.edu/kundaje/oak/projects/neuro-variants/variant_position/credible/roussos_2024/variant_figures/roussos_2024.childhood.GABA/rs4622345_count_position.png",4,220,900)</f>
        <v/>
      </c>
      <c r="T780">
        <f>IMAGE("https://mitra.stanford.edu/kundaje/oak/projects/neuro-variants/variant_position/credible/roussos_2024/variant_figures/roussos_2024.childhood.GABA/rs4622345_profile_position.png",4,220,900)</f>
        <v/>
      </c>
    </row>
    <row r="781">
      <c r="A781" t="inlineStr">
        <is>
          <t>chr12</t>
        </is>
      </c>
      <c r="B781" t="n">
        <v>29926235</v>
      </c>
      <c r="C781" t="inlineStr">
        <is>
          <t>T</t>
        </is>
      </c>
      <c r="D781" t="inlineStr">
        <is>
          <t>G</t>
        </is>
      </c>
      <c r="E781" t="inlineStr">
        <is>
          <t>rs7970635</t>
        </is>
      </c>
      <c r="F781" t="n">
        <v>-0.009504761800000001</v>
      </c>
      <c r="G781" t="n">
        <v>0.5528408476811141</v>
      </c>
      <c r="H781" t="n">
        <v>0.0142866515537469</v>
      </c>
      <c r="I781" t="n">
        <v>0.2640157500541068</v>
      </c>
      <c r="J781" t="n">
        <v>0.0050030365856211</v>
      </c>
      <c r="K781" t="n">
        <v>0.8141123726661773</v>
      </c>
      <c r="L781" t="b">
        <v>0</v>
      </c>
      <c r="M781" t="b">
        <v>0</v>
      </c>
      <c r="N781" t="inlineStr">
        <is>
          <t>ref</t>
        </is>
      </c>
      <c r="O781" t="n">
        <v>100</v>
      </c>
      <c r="P781" t="n">
        <v>0.004284</v>
      </c>
      <c r="Q781" t="n">
        <v>45</v>
      </c>
      <c r="R781" t="n">
        <v>0.03888</v>
      </c>
      <c r="S781">
        <f>IMAGE("https://mitra.stanford.edu/kundaje/oak/projects/neuro-variants/variant_position/credible/roussos_2024/variant_figures/roussos_2024.childhood.GABA/rs7970635_count_position.png",4,220,900)</f>
        <v/>
      </c>
      <c r="T781">
        <f>IMAGE("https://mitra.stanford.edu/kundaje/oak/projects/neuro-variants/variant_position/credible/roussos_2024/variant_figures/roussos_2024.childhood.GABA/rs7970635_profile_position.png",4,220,900)</f>
        <v/>
      </c>
    </row>
    <row r="782">
      <c r="A782" t="inlineStr">
        <is>
          <t>chr12</t>
        </is>
      </c>
      <c r="B782" t="n">
        <v>39049882</v>
      </c>
      <c r="C782" t="inlineStr">
        <is>
          <t>C</t>
        </is>
      </c>
      <c r="D782" t="inlineStr">
        <is>
          <t>T</t>
        </is>
      </c>
      <c r="E782" t="inlineStr">
        <is>
          <t>rs114974785</t>
        </is>
      </c>
      <c r="F782" t="n">
        <v>-0.0580830377999999</v>
      </c>
      <c r="G782" t="n">
        <v>0.1069642637591965</v>
      </c>
      <c r="H782" t="n">
        <v>0.0152985185951704</v>
      </c>
      <c r="I782" t="n">
        <v>0.2108939815164674</v>
      </c>
      <c r="J782" t="n">
        <v>0.0262622772297961</v>
      </c>
      <c r="K782" t="n">
        <v>0.617545545690273</v>
      </c>
      <c r="L782" t="b">
        <v>0</v>
      </c>
      <c r="M782" t="b">
        <v>0</v>
      </c>
      <c r="N782" t="inlineStr">
        <is>
          <t>ref</t>
        </is>
      </c>
      <c r="O782" t="n">
        <v>100</v>
      </c>
      <c r="P782" t="n">
        <v>0.005547</v>
      </c>
      <c r="Q782" t="n">
        <v>-95</v>
      </c>
      <c r="R782" t="n">
        <v>0.04205</v>
      </c>
      <c r="S782">
        <f>IMAGE("https://mitra.stanford.edu/kundaje/oak/projects/neuro-variants/variant_position/credible/roussos_2024/variant_figures/roussos_2024.childhood.GABA/rs114974785_count_position.png",4,220,900)</f>
        <v/>
      </c>
      <c r="T782">
        <f>IMAGE("https://mitra.stanford.edu/kundaje/oak/projects/neuro-variants/variant_position/credible/roussos_2024/variant_figures/roussos_2024.childhood.GABA/rs114974785_profile_position.png",4,220,900)</f>
        <v/>
      </c>
    </row>
    <row r="783">
      <c r="A783" t="inlineStr">
        <is>
          <t>chr12</t>
        </is>
      </c>
      <c r="B783" t="n">
        <v>50070687</v>
      </c>
      <c r="C783" t="inlineStr">
        <is>
          <t>A</t>
        </is>
      </c>
      <c r="D783" t="inlineStr">
        <is>
          <t>G</t>
        </is>
      </c>
      <c r="E783" t="inlineStr">
        <is>
          <t>rs706790</t>
        </is>
      </c>
      <c r="F783" t="n">
        <v>-0.04190028726</v>
      </c>
      <c r="G783" t="n">
        <v>0.2243412173774709</v>
      </c>
      <c r="H783" t="n">
        <v>0.0154395690136108</v>
      </c>
      <c r="I783" t="n">
        <v>0.202232401695933</v>
      </c>
      <c r="J783" t="n">
        <v>0.6133065276119872</v>
      </c>
      <c r="K783" t="n">
        <v>0.0269465790415941</v>
      </c>
      <c r="L783" t="b">
        <v>0</v>
      </c>
      <c r="M783" t="b">
        <v>0</v>
      </c>
      <c r="N783" t="inlineStr">
        <is>
          <t>ref</t>
        </is>
      </c>
      <c r="O783" t="n">
        <v>-80</v>
      </c>
      <c r="P783" t="n">
        <v>0.00415</v>
      </c>
      <c r="Q783" t="n">
        <v>-15</v>
      </c>
      <c r="R783" t="n">
        <v>0.00586</v>
      </c>
      <c r="S783">
        <f>IMAGE("https://mitra.stanford.edu/kundaje/oak/projects/neuro-variants/variant_position/credible/roussos_2024/variant_figures/roussos_2024.childhood.GABA/rs706790_count_position.png",4,220,900)</f>
        <v/>
      </c>
      <c r="T783">
        <f>IMAGE("https://mitra.stanford.edu/kundaje/oak/projects/neuro-variants/variant_position/credible/roussos_2024/variant_figures/roussos_2024.childhood.GABA/rs706790_profile_position.png",4,220,900)</f>
        <v/>
      </c>
    </row>
    <row r="784">
      <c r="A784" t="inlineStr">
        <is>
          <t>chr12</t>
        </is>
      </c>
      <c r="B784" t="n">
        <v>50187707</v>
      </c>
      <c r="C784" t="inlineStr">
        <is>
          <t>C</t>
        </is>
      </c>
      <c r="D784" t="inlineStr">
        <is>
          <t>T</t>
        </is>
      </c>
      <c r="E784" t="inlineStr">
        <is>
          <t>rs7315690</t>
        </is>
      </c>
      <c r="F784" t="n">
        <v>0.0263556147399999</v>
      </c>
      <c r="G784" t="n">
        <v>0.2540543093771418</v>
      </c>
      <c r="H784" t="n">
        <v>0.0117356209723179</v>
      </c>
      <c r="I784" t="n">
        <v>0.4526949451296476</v>
      </c>
      <c r="J784" t="n">
        <v>0.3158897195870243</v>
      </c>
      <c r="K784" t="n">
        <v>0.1251427876277948</v>
      </c>
      <c r="L784" t="b">
        <v>0</v>
      </c>
      <c r="M784" t="b">
        <v>0</v>
      </c>
      <c r="N784" t="inlineStr">
        <is>
          <t>alt</t>
        </is>
      </c>
      <c r="O784" t="n">
        <v>-95</v>
      </c>
      <c r="P784" t="n">
        <v>0.00595</v>
      </c>
      <c r="Q784" t="n">
        <v>-55</v>
      </c>
      <c r="R784" t="n">
        <v>0.02246</v>
      </c>
      <c r="S784">
        <f>IMAGE("https://mitra.stanford.edu/kundaje/oak/projects/neuro-variants/variant_position/credible/roussos_2024/variant_figures/roussos_2024.childhood.GABA/rs7315690_count_position.png",4,220,900)</f>
        <v/>
      </c>
      <c r="T784">
        <f>IMAGE("https://mitra.stanford.edu/kundaje/oak/projects/neuro-variants/variant_position/credible/roussos_2024/variant_figures/roussos_2024.childhood.GABA/rs7315690_profile_position.png",4,220,900)</f>
        <v/>
      </c>
    </row>
    <row r="785">
      <c r="A785" t="inlineStr">
        <is>
          <t>chr12</t>
        </is>
      </c>
      <c r="B785" t="n">
        <v>50189367</v>
      </c>
      <c r="C785" t="inlineStr">
        <is>
          <t>A</t>
        </is>
      </c>
      <c r="D785" t="inlineStr">
        <is>
          <t>G</t>
        </is>
      </c>
      <c r="E785" t="inlineStr">
        <is>
          <t>rs7138420</t>
        </is>
      </c>
      <c r="F785" t="n">
        <v>0.01586415796</v>
      </c>
      <c r="G785" t="n">
        <v>0.3776146524028383</v>
      </c>
      <c r="H785" t="n">
        <v>0.0127650995331938</v>
      </c>
      <c r="I785" t="n">
        <v>0.3612317152469474</v>
      </c>
      <c r="J785" t="n">
        <v>0.0186331176310443</v>
      </c>
      <c r="K785" t="n">
        <v>0.6948767154594436</v>
      </c>
      <c r="L785" t="b">
        <v>0</v>
      </c>
      <c r="M785" t="b">
        <v>0</v>
      </c>
      <c r="N785" t="inlineStr">
        <is>
          <t>alt</t>
        </is>
      </c>
      <c r="O785" t="n">
        <v>-100</v>
      </c>
      <c r="P785" t="n">
        <v>0.010895</v>
      </c>
      <c r="Q785" t="n">
        <v>20</v>
      </c>
      <c r="R785" t="n">
        <v>0.03967</v>
      </c>
      <c r="S785">
        <f>IMAGE("https://mitra.stanford.edu/kundaje/oak/projects/neuro-variants/variant_position/credible/roussos_2024/variant_figures/roussos_2024.childhood.GABA/rs7138420_count_position.png",4,220,900)</f>
        <v/>
      </c>
      <c r="T785">
        <f>IMAGE("https://mitra.stanford.edu/kundaje/oak/projects/neuro-variants/variant_position/credible/roussos_2024/variant_figures/roussos_2024.childhood.GABA/rs7138420_profile_position.png",4,220,900)</f>
        <v/>
      </c>
    </row>
    <row r="786">
      <c r="A786" t="inlineStr">
        <is>
          <t>chr12</t>
        </is>
      </c>
      <c r="B786" t="n">
        <v>50231275</v>
      </c>
      <c r="C786" t="inlineStr">
        <is>
          <t>A</t>
        </is>
      </c>
      <c r="D786" t="inlineStr">
        <is>
          <t>C</t>
        </is>
      </c>
      <c r="E786" t="inlineStr">
        <is>
          <t>rs12425229</t>
        </is>
      </c>
      <c r="F786" t="n">
        <v>0.02692094442</v>
      </c>
      <c r="G786" t="n">
        <v>0.2888355529732823</v>
      </c>
      <c r="H786" t="n">
        <v>0.0132718905629302</v>
      </c>
      <c r="I786" t="n">
        <v>0.3292675314938371</v>
      </c>
      <c r="J786" t="n">
        <v>0.1542836799229335</v>
      </c>
      <c r="K786" t="n">
        <v>0.2746996422922427</v>
      </c>
      <c r="L786" t="b">
        <v>0</v>
      </c>
      <c r="M786" t="b">
        <v>0</v>
      </c>
      <c r="N786" t="inlineStr">
        <is>
          <t>alt</t>
        </is>
      </c>
      <c r="O786" t="n">
        <v>-70</v>
      </c>
      <c r="P786" t="n">
        <v>0.01506</v>
      </c>
      <c r="Q786" t="n">
        <v>-55</v>
      </c>
      <c r="R786" t="n">
        <v>0.1853</v>
      </c>
      <c r="S786">
        <f>IMAGE("https://mitra.stanford.edu/kundaje/oak/projects/neuro-variants/variant_position/credible/roussos_2024/variant_figures/roussos_2024.childhood.GABA/rs12425229_count_position.png",4,220,900)</f>
        <v/>
      </c>
      <c r="T786">
        <f>IMAGE("https://mitra.stanford.edu/kundaje/oak/projects/neuro-variants/variant_position/credible/roussos_2024/variant_figures/roussos_2024.childhood.GABA/rs12425229_profile_position.png",4,220,900)</f>
        <v/>
      </c>
    </row>
    <row r="787">
      <c r="A787" t="inlineStr">
        <is>
          <t>chr12</t>
        </is>
      </c>
      <c r="B787" t="n">
        <v>50259146</v>
      </c>
      <c r="C787" t="inlineStr">
        <is>
          <t>T</t>
        </is>
      </c>
      <c r="D787" t="inlineStr">
        <is>
          <t>C</t>
        </is>
      </c>
      <c r="E787" t="inlineStr">
        <is>
          <t>rs10783344</t>
        </is>
      </c>
      <c r="F787" t="n">
        <v>0.0291190750999999</v>
      </c>
      <c r="G787" t="n">
        <v>0.2912456301285067</v>
      </c>
      <c r="H787" t="n">
        <v>0.0114744708550118</v>
      </c>
      <c r="I787" t="n">
        <v>0.4870857137371032</v>
      </c>
      <c r="J787" t="n">
        <v>0.0912493979183682</v>
      </c>
      <c r="K787" t="n">
        <v>0.3660691150471185</v>
      </c>
      <c r="L787" t="b">
        <v>0</v>
      </c>
      <c r="M787" t="b">
        <v>0</v>
      </c>
      <c r="N787" t="inlineStr">
        <is>
          <t>alt</t>
        </is>
      </c>
      <c r="O787" t="n">
        <v>-15</v>
      </c>
      <c r="P787" t="n">
        <v>0.002468</v>
      </c>
      <c r="Q787" t="n">
        <v>-85</v>
      </c>
      <c r="R787" t="n">
        <v>0.013245</v>
      </c>
      <c r="S787">
        <f>IMAGE("https://mitra.stanford.edu/kundaje/oak/projects/neuro-variants/variant_position/credible/roussos_2024/variant_figures/roussos_2024.childhood.GABA/rs10783344_count_position.png",4,220,900)</f>
        <v/>
      </c>
      <c r="T787">
        <f>IMAGE("https://mitra.stanford.edu/kundaje/oak/projects/neuro-variants/variant_position/credible/roussos_2024/variant_figures/roussos_2024.childhood.GABA/rs10783344_profile_position.png",4,220,900)</f>
        <v/>
      </c>
    </row>
    <row r="788">
      <c r="A788" t="inlineStr">
        <is>
          <t>chr12</t>
        </is>
      </c>
      <c r="B788" t="n">
        <v>50260192</v>
      </c>
      <c r="C788" t="inlineStr">
        <is>
          <t>T</t>
        </is>
      </c>
      <c r="D788" t="inlineStr">
        <is>
          <t>C</t>
        </is>
      </c>
      <c r="E788" t="inlineStr">
        <is>
          <t>rs1972611</t>
        </is>
      </c>
      <c r="F788" t="n">
        <v>0.0463535846</v>
      </c>
      <c r="G788" t="n">
        <v>0.1533578360358814</v>
      </c>
      <c r="H788" t="n">
        <v>0.0110084255505112</v>
      </c>
      <c r="I788" t="n">
        <v>0.5297248725503967</v>
      </c>
      <c r="J788" t="n">
        <v>0.0158886724885342</v>
      </c>
      <c r="K788" t="n">
        <v>0.6811060712151923</v>
      </c>
      <c r="L788" t="b">
        <v>0</v>
      </c>
      <c r="M788" t="b">
        <v>0</v>
      </c>
      <c r="N788" t="inlineStr">
        <is>
          <t>alt</t>
        </is>
      </c>
      <c r="O788" t="n">
        <v>20</v>
      </c>
      <c r="P788" t="n">
        <v>0.002502</v>
      </c>
      <c r="Q788" t="n">
        <v>-50</v>
      </c>
      <c r="R788" t="n">
        <v>0.07294</v>
      </c>
      <c r="S788">
        <f>IMAGE("https://mitra.stanford.edu/kundaje/oak/projects/neuro-variants/variant_position/credible/roussos_2024/variant_figures/roussos_2024.childhood.GABA/rs1972611_count_position.png",4,220,900)</f>
        <v/>
      </c>
      <c r="T788">
        <f>IMAGE("https://mitra.stanford.edu/kundaje/oak/projects/neuro-variants/variant_position/credible/roussos_2024/variant_figures/roussos_2024.childhood.GABA/rs1972611_profile_position.png",4,220,900)</f>
        <v/>
      </c>
    </row>
    <row r="789">
      <c r="A789" t="inlineStr">
        <is>
          <t>chr12</t>
        </is>
      </c>
      <c r="B789" t="n">
        <v>50280266</v>
      </c>
      <c r="C789" t="inlineStr">
        <is>
          <t>C</t>
        </is>
      </c>
      <c r="D789" t="inlineStr">
        <is>
          <t>T</t>
        </is>
      </c>
      <c r="E789" t="inlineStr">
        <is>
          <t>rs67138019</t>
        </is>
      </c>
      <c r="F789" t="n">
        <v>-0.121469324</v>
      </c>
      <c r="G789" t="n">
        <v>0.0186997584020617</v>
      </c>
      <c r="H789" t="n">
        <v>0.0156297131141811</v>
      </c>
      <c r="I789" t="n">
        <v>0.1969368003688586</v>
      </c>
      <c r="J789" t="n">
        <v>0.0611086678813008</v>
      </c>
      <c r="K789" t="n">
        <v>0.4728366296228248</v>
      </c>
      <c r="L789" t="b">
        <v>1</v>
      </c>
      <c r="M789" t="b">
        <v>0</v>
      </c>
      <c r="N789" t="inlineStr">
        <is>
          <t>ref</t>
        </is>
      </c>
      <c r="O789" t="n">
        <v>-35</v>
      </c>
      <c r="P789" t="n">
        <v>0.01007</v>
      </c>
      <c r="Q789" t="n">
        <v>60</v>
      </c>
      <c r="R789" t="n">
        <v>0.05774</v>
      </c>
      <c r="S789">
        <f>IMAGE("https://mitra.stanford.edu/kundaje/oak/projects/neuro-variants/variant_position/credible/roussos_2024/variant_figures/roussos_2024.childhood.GABA/rs67138019_count_position.png",4,220,900)</f>
        <v/>
      </c>
      <c r="T789">
        <f>IMAGE("https://mitra.stanford.edu/kundaje/oak/projects/neuro-variants/variant_position/credible/roussos_2024/variant_figures/roussos_2024.childhood.GABA/rs67138019_profile_position.png",4,220,900)</f>
        <v/>
      </c>
    </row>
    <row r="790">
      <c r="A790" t="inlineStr">
        <is>
          <t>chr12</t>
        </is>
      </c>
      <c r="B790" t="n">
        <v>50284576</v>
      </c>
      <c r="C790" t="inlineStr">
        <is>
          <t>G</t>
        </is>
      </c>
      <c r="D790" t="inlineStr">
        <is>
          <t>A</t>
        </is>
      </c>
      <c r="E790" t="inlineStr">
        <is>
          <t>rs12832940</t>
        </is>
      </c>
      <c r="F790" t="n">
        <v>-0.1002924549999999</v>
      </c>
      <c r="G790" t="n">
        <v>0.0359789786639691</v>
      </c>
      <c r="H790" t="n">
        <v>0.0183304490353571</v>
      </c>
      <c r="I790" t="n">
        <v>0.1124888714202991</v>
      </c>
      <c r="J790" t="n">
        <v>0.4544156143326841</v>
      </c>
      <c r="K790" t="n">
        <v>0.0653879859788077</v>
      </c>
      <c r="L790" t="b">
        <v>0</v>
      </c>
      <c r="M790" t="b">
        <v>0</v>
      </c>
      <c r="N790" t="inlineStr">
        <is>
          <t>ref</t>
        </is>
      </c>
      <c r="O790" t="n">
        <v>-45</v>
      </c>
      <c r="P790" t="n">
        <v>0.0167</v>
      </c>
      <c r="Q790" t="n">
        <v>-45</v>
      </c>
      <c r="R790" t="n">
        <v>0.0925</v>
      </c>
      <c r="S790">
        <f>IMAGE("https://mitra.stanford.edu/kundaje/oak/projects/neuro-variants/variant_position/credible/roussos_2024/variant_figures/roussos_2024.childhood.GABA/rs12832940_count_position.png",4,220,900)</f>
        <v/>
      </c>
      <c r="T790">
        <f>IMAGE("https://mitra.stanford.edu/kundaje/oak/projects/neuro-variants/variant_position/credible/roussos_2024/variant_figures/roussos_2024.childhood.GABA/rs12832940_profile_position.png",4,220,900)</f>
        <v/>
      </c>
    </row>
    <row r="791">
      <c r="A791" t="inlineStr">
        <is>
          <t>chr12</t>
        </is>
      </c>
      <c r="B791" t="n">
        <v>50289962</v>
      </c>
      <c r="C791" t="inlineStr">
        <is>
          <t>T</t>
        </is>
      </c>
      <c r="D791" t="inlineStr">
        <is>
          <t>C</t>
        </is>
      </c>
      <c r="E791" t="inlineStr">
        <is>
          <t>rs7311973</t>
        </is>
      </c>
      <c r="F791" t="n">
        <v>-0.00232107426</v>
      </c>
      <c r="G791" t="n">
        <v>0.6885823919389489</v>
      </c>
      <c r="H791" t="n">
        <v>0.0254912489260505</v>
      </c>
      <c r="I791" t="n">
        <v>0.0263773827811084</v>
      </c>
      <c r="J791" t="n">
        <v>0.000212560993487</v>
      </c>
      <c r="K791" t="n">
        <v>0.9619216682672336</v>
      </c>
      <c r="L791" t="b">
        <v>0</v>
      </c>
      <c r="M791" t="b">
        <v>0</v>
      </c>
      <c r="N791" t="inlineStr">
        <is>
          <t>ref</t>
        </is>
      </c>
      <c r="O791" t="n">
        <v>-50</v>
      </c>
      <c r="P791" t="n">
        <v>0.002014</v>
      </c>
      <c r="Q791" t="n">
        <v>100</v>
      </c>
      <c r="R791" t="n">
        <v>0.0867</v>
      </c>
      <c r="S791">
        <f>IMAGE("https://mitra.stanford.edu/kundaje/oak/projects/neuro-variants/variant_position/credible/roussos_2024/variant_figures/roussos_2024.childhood.GABA/rs7311973_count_position.png",4,220,900)</f>
        <v/>
      </c>
      <c r="T791">
        <f>IMAGE("https://mitra.stanford.edu/kundaje/oak/projects/neuro-variants/variant_position/credible/roussos_2024/variant_figures/roussos_2024.childhood.GABA/rs7311973_profile_position.png",4,220,900)</f>
        <v/>
      </c>
    </row>
    <row r="792">
      <c r="A792" t="inlineStr">
        <is>
          <t>chr12</t>
        </is>
      </c>
      <c r="B792" t="n">
        <v>50358938</v>
      </c>
      <c r="C792" t="inlineStr">
        <is>
          <t>G</t>
        </is>
      </c>
      <c r="D792" t="inlineStr">
        <is>
          <t>A</t>
        </is>
      </c>
      <c r="E792" t="inlineStr">
        <is>
          <t>rs11169393</t>
        </is>
      </c>
      <c r="F792" t="n">
        <v>0.02233766026</v>
      </c>
      <c r="G792" t="n">
        <v>0.3919568429968839</v>
      </c>
      <c r="H792" t="n">
        <v>0.0387516238812074</v>
      </c>
      <c r="I792" t="n">
        <v>0.004340008393698</v>
      </c>
      <c r="J792" t="n">
        <v>0.0111777763816464</v>
      </c>
      <c r="K792" t="n">
        <v>0.7310821666347371</v>
      </c>
      <c r="L792" t="b">
        <v>1</v>
      </c>
      <c r="M792" t="b">
        <v>0</v>
      </c>
      <c r="N792" t="inlineStr">
        <is>
          <t>alt</t>
        </is>
      </c>
      <c r="O792" t="n">
        <v>-10</v>
      </c>
      <c r="P792" t="n">
        <v>0.0006713999999999999</v>
      </c>
      <c r="Q792" t="n">
        <v>-15</v>
      </c>
      <c r="R792" t="n">
        <v>0.02559</v>
      </c>
      <c r="S792">
        <f>IMAGE("https://mitra.stanford.edu/kundaje/oak/projects/neuro-variants/variant_position/credible/roussos_2024/variant_figures/roussos_2024.childhood.GABA/rs11169393_count_position.png",4,220,900)</f>
        <v/>
      </c>
      <c r="T792">
        <f>IMAGE("https://mitra.stanford.edu/kundaje/oak/projects/neuro-variants/variant_position/credible/roussos_2024/variant_figures/roussos_2024.childhood.GABA/rs11169393_profile_position.png",4,220,900)</f>
        <v/>
      </c>
    </row>
    <row r="793">
      <c r="A793" t="inlineStr">
        <is>
          <t>chr12</t>
        </is>
      </c>
      <c r="B793" t="n">
        <v>50465394</v>
      </c>
      <c r="C793" t="inlineStr">
        <is>
          <t>G</t>
        </is>
      </c>
      <c r="D793" t="inlineStr">
        <is>
          <t>A</t>
        </is>
      </c>
      <c r="E793" t="inlineStr">
        <is>
          <t>rs12578525</t>
        </is>
      </c>
      <c r="F793" t="n">
        <v>-0.0005846612319999</v>
      </c>
      <c r="G793" t="n">
        <v>0.8491992218838542</v>
      </c>
      <c r="H793" t="n">
        <v>0.0241326212529439</v>
      </c>
      <c r="I793" t="n">
        <v>0.0348020556613085</v>
      </c>
      <c r="J793" t="n">
        <v>0.0057506649075411</v>
      </c>
      <c r="K793" t="n">
        <v>0.7991532075008986</v>
      </c>
      <c r="L793" t="b">
        <v>0</v>
      </c>
      <c r="M793" t="b">
        <v>0</v>
      </c>
      <c r="N793" t="inlineStr">
        <is>
          <t>ref</t>
        </is>
      </c>
      <c r="O793" t="n">
        <v>-100</v>
      </c>
      <c r="P793" t="n">
        <v>0.01517</v>
      </c>
      <c r="Q793" t="n">
        <v>80</v>
      </c>
      <c r="R793" t="n">
        <v>0.1023</v>
      </c>
      <c r="S793">
        <f>IMAGE("https://mitra.stanford.edu/kundaje/oak/projects/neuro-variants/variant_position/credible/roussos_2024/variant_figures/roussos_2024.childhood.GABA/rs12578525_count_position.png",4,220,900)</f>
        <v/>
      </c>
      <c r="T793">
        <f>IMAGE("https://mitra.stanford.edu/kundaje/oak/projects/neuro-variants/variant_position/credible/roussos_2024/variant_figures/roussos_2024.childhood.GABA/rs12578525_profile_position.png",4,220,900)</f>
        <v/>
      </c>
    </row>
    <row r="794">
      <c r="A794" t="inlineStr">
        <is>
          <t>chr12</t>
        </is>
      </c>
      <c r="B794" t="n">
        <v>53250416</v>
      </c>
      <c r="C794" t="inlineStr">
        <is>
          <t>T</t>
        </is>
      </c>
      <c r="D794" t="inlineStr">
        <is>
          <t>C</t>
        </is>
      </c>
      <c r="E794" t="inlineStr">
        <is>
          <t>rs140587031</t>
        </is>
      </c>
      <c r="F794" t="n">
        <v>-0.0003134542399999</v>
      </c>
      <c r="G794" t="n">
        <v>0.7759437700838403</v>
      </c>
      <c r="H794" t="n">
        <v>0.0274320434315234</v>
      </c>
      <c r="I794" t="n">
        <v>0.018688527924676</v>
      </c>
      <c r="J794" t="n">
        <v>0.0143201189503884</v>
      </c>
      <c r="K794" t="n">
        <v>0.7107464171090709</v>
      </c>
      <c r="L794" t="b">
        <v>1</v>
      </c>
      <c r="M794" t="b">
        <v>0</v>
      </c>
      <c r="N794" t="inlineStr">
        <is>
          <t>ref</t>
        </is>
      </c>
      <c r="O794" t="n">
        <v>-45</v>
      </c>
      <c r="P794" t="n">
        <v>0.001434</v>
      </c>
      <c r="Q794" t="n">
        <v>-95</v>
      </c>
      <c r="R794" t="n">
        <v>0.009520000000000001</v>
      </c>
      <c r="S794">
        <f>IMAGE("https://mitra.stanford.edu/kundaje/oak/projects/neuro-variants/variant_position/credible/roussos_2024/variant_figures/roussos_2024.childhood.GABA/rs140587031_count_position.png",4,220,900)</f>
        <v/>
      </c>
      <c r="T794">
        <f>IMAGE("https://mitra.stanford.edu/kundaje/oak/projects/neuro-variants/variant_position/credible/roussos_2024/variant_figures/roussos_2024.childhood.GABA/rs140587031_profile_position.png",4,220,900)</f>
        <v/>
      </c>
    </row>
    <row r="795">
      <c r="A795" t="inlineStr">
        <is>
          <t>chr12</t>
        </is>
      </c>
      <c r="B795" t="n">
        <v>53336380</v>
      </c>
      <c r="C795" t="inlineStr">
        <is>
          <t>G</t>
        </is>
      </c>
      <c r="D795" t="inlineStr">
        <is>
          <t>A</t>
        </is>
      </c>
      <c r="E795" t="inlineStr">
        <is>
          <t>rs61928076</t>
        </is>
      </c>
      <c r="F795" t="n">
        <v>-0.0563862852</v>
      </c>
      <c r="G795" t="n">
        <v>0.1332346794421912</v>
      </c>
      <c r="H795" t="n">
        <v>0.0211633550015192</v>
      </c>
      <c r="I795" t="n">
        <v>0.0610305910396355</v>
      </c>
      <c r="J795" t="n">
        <v>0.6124332474712572</v>
      </c>
      <c r="K795" t="n">
        <v>0.0270385797168731</v>
      </c>
      <c r="L795" t="b">
        <v>0</v>
      </c>
      <c r="M795" t="b">
        <v>0</v>
      </c>
      <c r="N795" t="inlineStr">
        <is>
          <t>ref</t>
        </is>
      </c>
      <c r="O795" t="n">
        <v>-30</v>
      </c>
      <c r="P795" t="n">
        <v>0.001099</v>
      </c>
      <c r="Q795" t="n">
        <v>-15</v>
      </c>
      <c r="R795" t="n">
        <v>0.02002</v>
      </c>
      <c r="S795">
        <f>IMAGE("https://mitra.stanford.edu/kundaje/oak/projects/neuro-variants/variant_position/credible/roussos_2024/variant_figures/roussos_2024.childhood.GABA/rs61928076_count_position.png",4,220,900)</f>
        <v/>
      </c>
      <c r="T795">
        <f>IMAGE("https://mitra.stanford.edu/kundaje/oak/projects/neuro-variants/variant_position/credible/roussos_2024/variant_figures/roussos_2024.childhood.GABA/rs61928076_profile_position.png",4,220,900)</f>
        <v/>
      </c>
    </row>
    <row r="796">
      <c r="A796" t="inlineStr">
        <is>
          <t>chr12</t>
        </is>
      </c>
      <c r="B796" t="n">
        <v>53471071</v>
      </c>
      <c r="C796" t="inlineStr">
        <is>
          <t>A</t>
        </is>
      </c>
      <c r="D796" t="inlineStr">
        <is>
          <t>G</t>
        </is>
      </c>
      <c r="E796" t="inlineStr">
        <is>
          <t>rs11170562</t>
        </is>
      </c>
      <c r="F796" t="n">
        <v>0.0350959998</v>
      </c>
      <c r="G796" t="n">
        <v>0.2397465672366584</v>
      </c>
      <c r="H796" t="n">
        <v>0.008296649465254199</v>
      </c>
      <c r="I796" t="n">
        <v>0.8114872549636033</v>
      </c>
      <c r="J796" t="n">
        <v>0.153055433394065</v>
      </c>
      <c r="K796" t="n">
        <v>0.2745014231800931</v>
      </c>
      <c r="L796" t="b">
        <v>0</v>
      </c>
      <c r="M796" t="b">
        <v>0</v>
      </c>
      <c r="N796" t="inlineStr">
        <is>
          <t>alt</t>
        </is>
      </c>
      <c r="O796" t="n">
        <v>90</v>
      </c>
      <c r="P796" t="n">
        <v>0.01872</v>
      </c>
      <c r="Q796" t="n">
        <v>-75</v>
      </c>
      <c r="R796" t="n">
        <v>0.1456</v>
      </c>
      <c r="S796">
        <f>IMAGE("https://mitra.stanford.edu/kundaje/oak/projects/neuro-variants/variant_position/credible/roussos_2024/variant_figures/roussos_2024.childhood.GABA/rs11170562_count_position.png",4,220,900)</f>
        <v/>
      </c>
      <c r="T796">
        <f>IMAGE("https://mitra.stanford.edu/kundaje/oak/projects/neuro-variants/variant_position/credible/roussos_2024/variant_figures/roussos_2024.childhood.GABA/rs11170562_profile_position.png",4,220,900)</f>
        <v/>
      </c>
    </row>
    <row r="797">
      <c r="A797" t="inlineStr">
        <is>
          <t>chr12</t>
        </is>
      </c>
      <c r="B797" t="n">
        <v>53555002</v>
      </c>
      <c r="C797" t="inlineStr">
        <is>
          <t>A</t>
        </is>
      </c>
      <c r="D797" t="inlineStr">
        <is>
          <t>G</t>
        </is>
      </c>
      <c r="E797" t="inlineStr">
        <is>
          <t>rs7307025</t>
        </is>
      </c>
      <c r="F797" t="n">
        <v>0.0506695917999999</v>
      </c>
      <c r="G797" t="n">
        <v>0.1286453261588505</v>
      </c>
      <c r="H797" t="n">
        <v>0.0123439760162381</v>
      </c>
      <c r="I797" t="n">
        <v>0.4079237867187782</v>
      </c>
      <c r="J797" t="n">
        <v>0.0295784381478921</v>
      </c>
      <c r="K797" t="n">
        <v>0.6005048251946991</v>
      </c>
      <c r="L797" t="b">
        <v>0</v>
      </c>
      <c r="M797" t="b">
        <v>0</v>
      </c>
      <c r="N797" t="inlineStr">
        <is>
          <t>alt</t>
        </is>
      </c>
      <c r="O797" t="n">
        <v>-75</v>
      </c>
      <c r="P797" t="n">
        <v>0.01044</v>
      </c>
      <c r="Q797" t="n">
        <v>100</v>
      </c>
      <c r="R797" t="n">
        <v>0.0751</v>
      </c>
      <c r="S797">
        <f>IMAGE("https://mitra.stanford.edu/kundaje/oak/projects/neuro-variants/variant_position/credible/roussos_2024/variant_figures/roussos_2024.childhood.GABA/rs7307025_count_position.png",4,220,900)</f>
        <v/>
      </c>
      <c r="T797">
        <f>IMAGE("https://mitra.stanford.edu/kundaje/oak/projects/neuro-variants/variant_position/credible/roussos_2024/variant_figures/roussos_2024.childhood.GABA/rs7307025_profile_position.png",4,220,900)</f>
        <v/>
      </c>
    </row>
    <row r="798">
      <c r="A798" t="inlineStr">
        <is>
          <t>chr12</t>
        </is>
      </c>
      <c r="B798" t="n">
        <v>53684303</v>
      </c>
      <c r="C798" t="inlineStr">
        <is>
          <t>A</t>
        </is>
      </c>
      <c r="D798" t="inlineStr">
        <is>
          <t>C</t>
        </is>
      </c>
      <c r="E798" t="inlineStr">
        <is>
          <t>rs55844955</t>
        </is>
      </c>
      <c r="F798" t="n">
        <v>0.460396596</v>
      </c>
      <c r="G798" t="n">
        <v>0.0004181578343511</v>
      </c>
      <c r="H798" t="n">
        <v>0.07789303444032999</v>
      </c>
      <c r="I798" t="n">
        <v>0.0005876827470817</v>
      </c>
      <c r="J798" t="n">
        <v>0.1898703692069275</v>
      </c>
      <c r="K798" t="n">
        <v>0.2305871144006361</v>
      </c>
      <c r="L798" t="b">
        <v>1</v>
      </c>
      <c r="M798" t="b">
        <v>1</v>
      </c>
      <c r="N798" t="inlineStr">
        <is>
          <t>alt</t>
        </is>
      </c>
      <c r="O798" t="n">
        <v>-60</v>
      </c>
      <c r="P798" t="n">
        <v>0.009766</v>
      </c>
      <c r="Q798" t="n">
        <v>-75</v>
      </c>
      <c r="R798" t="n">
        <v>0.06226</v>
      </c>
      <c r="S798">
        <f>IMAGE("https://mitra.stanford.edu/kundaje/oak/projects/neuro-variants/variant_position/credible/roussos_2024/variant_figures/roussos_2024.childhood.GABA/rs55844955_count_position.png",4,220,900)</f>
        <v/>
      </c>
      <c r="T798">
        <f>IMAGE("https://mitra.stanford.edu/kundaje/oak/projects/neuro-variants/variant_position/credible/roussos_2024/variant_figures/roussos_2024.childhood.GABA/rs55844955_profile_position.png",4,220,900)</f>
        <v/>
      </c>
    </row>
    <row r="799">
      <c r="A799" t="inlineStr">
        <is>
          <t>chr12</t>
        </is>
      </c>
      <c r="B799" t="n">
        <v>71867788</v>
      </c>
      <c r="C799" t="inlineStr">
        <is>
          <t>C</t>
        </is>
      </c>
      <c r="D799" t="inlineStr">
        <is>
          <t>T</t>
        </is>
      </c>
      <c r="E799" t="inlineStr">
        <is>
          <t>rs7973727</t>
        </is>
      </c>
      <c r="F799" t="n">
        <v>0.0016183887</v>
      </c>
      <c r="G799" t="n">
        <v>0.6719216287967247</v>
      </c>
      <c r="H799" t="n">
        <v>0.0057670083870495</v>
      </c>
      <c r="I799" t="n">
        <v>0.9930655583421258</v>
      </c>
      <c r="J799" t="n">
        <v>0.0160373604741261</v>
      </c>
      <c r="K799" t="n">
        <v>0.6752043412489332</v>
      </c>
      <c r="L799" t="b">
        <v>0</v>
      </c>
      <c r="M799" t="b">
        <v>0</v>
      </c>
      <c r="N799" t="inlineStr">
        <is>
          <t>alt</t>
        </is>
      </c>
      <c r="O799" t="n">
        <v>-15</v>
      </c>
      <c r="P799" t="n">
        <v>0.003365</v>
      </c>
      <c r="Q799" t="n">
        <v>50</v>
      </c>
      <c r="R799" t="n">
        <v>0.01166</v>
      </c>
      <c r="S799">
        <f>IMAGE("https://mitra.stanford.edu/kundaje/oak/projects/neuro-variants/variant_position/credible/roussos_2024/variant_figures/roussos_2024.childhood.GABA/rs7973727_count_position.png",4,220,900)</f>
        <v/>
      </c>
      <c r="T799">
        <f>IMAGE("https://mitra.stanford.edu/kundaje/oak/projects/neuro-variants/variant_position/credible/roussos_2024/variant_figures/roussos_2024.childhood.GABA/rs7973727_profile_position.png",4,220,900)</f>
        <v/>
      </c>
    </row>
    <row r="800">
      <c r="A800" t="inlineStr">
        <is>
          <t>chr12</t>
        </is>
      </c>
      <c r="B800" t="n">
        <v>71878892</v>
      </c>
      <c r="C800" t="inlineStr">
        <is>
          <t>A</t>
        </is>
      </c>
      <c r="D800" t="inlineStr">
        <is>
          <t>G</t>
        </is>
      </c>
      <c r="E800" t="inlineStr">
        <is>
          <t>rs61924145</t>
        </is>
      </c>
      <c r="F800" t="n">
        <v>0.0124737340999999</v>
      </c>
      <c r="G800" t="n">
        <v>0.5439343086187064</v>
      </c>
      <c r="H800" t="n">
        <v>0.0143129245243784</v>
      </c>
      <c r="I800" t="n">
        <v>0.2627047532970223</v>
      </c>
      <c r="J800" t="n">
        <v>0.0075223555527632</v>
      </c>
      <c r="K800" t="n">
        <v>0.7725541192035177</v>
      </c>
      <c r="L800" t="b">
        <v>0</v>
      </c>
      <c r="M800" t="b">
        <v>0</v>
      </c>
      <c r="N800" t="inlineStr">
        <is>
          <t>alt</t>
        </is>
      </c>
      <c r="O800" t="n">
        <v>70</v>
      </c>
      <c r="P800" t="n">
        <v>0.003815</v>
      </c>
      <c r="Q800" t="n">
        <v>-100</v>
      </c>
      <c r="R800" t="n">
        <v>0.07074</v>
      </c>
      <c r="S800">
        <f>IMAGE("https://mitra.stanford.edu/kundaje/oak/projects/neuro-variants/variant_position/credible/roussos_2024/variant_figures/roussos_2024.childhood.GABA/rs61924145_count_position.png",4,220,900)</f>
        <v/>
      </c>
      <c r="T800">
        <f>IMAGE("https://mitra.stanford.edu/kundaje/oak/projects/neuro-variants/variant_position/credible/roussos_2024/variant_figures/roussos_2024.childhood.GABA/rs61924145_profile_position.png",4,220,900)</f>
        <v/>
      </c>
    </row>
    <row r="801">
      <c r="A801" t="inlineStr">
        <is>
          <t>chr12</t>
        </is>
      </c>
      <c r="B801" t="n">
        <v>71890721</v>
      </c>
      <c r="C801" t="inlineStr">
        <is>
          <t>G</t>
        </is>
      </c>
      <c r="D801" t="inlineStr">
        <is>
          <t>C</t>
        </is>
      </c>
      <c r="E801" t="inlineStr">
        <is>
          <t>rs12302711</t>
        </is>
      </c>
      <c r="F801" t="n">
        <v>0.024300957</v>
      </c>
      <c r="G801" t="n">
        <v>0.357592708544312</v>
      </c>
      <c r="H801" t="n">
        <v>0.0102482360735712</v>
      </c>
      <c r="I801" t="n">
        <v>0.5931406323342303</v>
      </c>
      <c r="J801" t="n">
        <v>0.0041999120437267</v>
      </c>
      <c r="K801" t="n">
        <v>0.8280990844911794</v>
      </c>
      <c r="L801" t="b">
        <v>0</v>
      </c>
      <c r="M801" t="b">
        <v>0</v>
      </c>
      <c r="N801" t="inlineStr">
        <is>
          <t>alt</t>
        </is>
      </c>
      <c r="O801" t="n">
        <v>15</v>
      </c>
      <c r="P801" t="n">
        <v>0.002014</v>
      </c>
      <c r="Q801" t="n">
        <v>-80</v>
      </c>
      <c r="R801" t="n">
        <v>0.0431</v>
      </c>
      <c r="S801">
        <f>IMAGE("https://mitra.stanford.edu/kundaje/oak/projects/neuro-variants/variant_position/credible/roussos_2024/variant_figures/roussos_2024.childhood.GABA/rs12302711_count_position.png",4,220,900)</f>
        <v/>
      </c>
      <c r="T801">
        <f>IMAGE("https://mitra.stanford.edu/kundaje/oak/projects/neuro-variants/variant_position/credible/roussos_2024/variant_figures/roussos_2024.childhood.GABA/rs12302711_profile_position.png",4,220,900)</f>
        <v/>
      </c>
    </row>
    <row r="802">
      <c r="A802" t="inlineStr">
        <is>
          <t>chr12</t>
        </is>
      </c>
      <c r="B802" t="n">
        <v>71912128</v>
      </c>
      <c r="C802" t="inlineStr">
        <is>
          <t>T</t>
        </is>
      </c>
      <c r="D802" t="inlineStr">
        <is>
          <t>A</t>
        </is>
      </c>
      <c r="E802" t="inlineStr">
        <is>
          <t>rs17110384</t>
        </is>
      </c>
      <c r="F802" t="n">
        <v>-0.0241612307999999</v>
      </c>
      <c r="G802" t="n">
        <v>0.3661221293295019</v>
      </c>
      <c r="H802" t="n">
        <v>0.0203186100180695</v>
      </c>
      <c r="I802" t="n">
        <v>0.07078010932891821</v>
      </c>
      <c r="J802" t="n">
        <v>0.0060585118636258</v>
      </c>
      <c r="K802" t="n">
        <v>0.7934953128579738</v>
      </c>
      <c r="L802" t="b">
        <v>0</v>
      </c>
      <c r="M802" t="b">
        <v>0</v>
      </c>
      <c r="N802" t="inlineStr">
        <is>
          <t>ref</t>
        </is>
      </c>
      <c r="O802" t="n">
        <v>-50</v>
      </c>
      <c r="P802" t="n">
        <v>0.002256</v>
      </c>
      <c r="Q802" t="n">
        <v>-15</v>
      </c>
      <c r="R802" t="n">
        <v>0.03787</v>
      </c>
      <c r="S802">
        <f>IMAGE("https://mitra.stanford.edu/kundaje/oak/projects/neuro-variants/variant_position/credible/roussos_2024/variant_figures/roussos_2024.childhood.GABA/rs17110384_count_position.png",4,220,900)</f>
        <v/>
      </c>
      <c r="T802">
        <f>IMAGE("https://mitra.stanford.edu/kundaje/oak/projects/neuro-variants/variant_position/credible/roussos_2024/variant_figures/roussos_2024.childhood.GABA/rs17110384_profile_position.png",4,220,900)</f>
        <v/>
      </c>
    </row>
    <row r="803">
      <c r="A803" t="inlineStr">
        <is>
          <t>chr12</t>
        </is>
      </c>
      <c r="B803" t="n">
        <v>71912352</v>
      </c>
      <c r="C803" t="inlineStr">
        <is>
          <t>C</t>
        </is>
      </c>
      <c r="D803" t="inlineStr">
        <is>
          <t>G</t>
        </is>
      </c>
      <c r="E803" t="inlineStr">
        <is>
          <t>rs17110387</t>
        </is>
      </c>
      <c r="F803" t="n">
        <v>-0.074465319</v>
      </c>
      <c r="G803" t="n">
        <v>0.0782014786596163</v>
      </c>
      <c r="H803" t="n">
        <v>0.0158298507308712</v>
      </c>
      <c r="I803" t="n">
        <v>0.1891590856631971</v>
      </c>
      <c r="J803" t="n">
        <v>0.0052082678896776</v>
      </c>
      <c r="K803" t="n">
        <v>0.8129442063106163</v>
      </c>
      <c r="L803" t="b">
        <v>0</v>
      </c>
      <c r="M803" t="b">
        <v>0</v>
      </c>
      <c r="N803" t="inlineStr">
        <is>
          <t>ref</t>
        </is>
      </c>
      <c r="O803" t="n">
        <v>-55</v>
      </c>
      <c r="P803" t="n">
        <v>0.005</v>
      </c>
      <c r="Q803" t="n">
        <v>0</v>
      </c>
      <c r="R803" t="n">
        <v>0</v>
      </c>
      <c r="S803">
        <f>IMAGE("https://mitra.stanford.edu/kundaje/oak/projects/neuro-variants/variant_position/credible/roussos_2024/variant_figures/roussos_2024.childhood.GABA/rs17110387_count_position.png",4,220,900)</f>
        <v/>
      </c>
      <c r="T803">
        <f>IMAGE("https://mitra.stanford.edu/kundaje/oak/projects/neuro-variants/variant_position/credible/roussos_2024/variant_figures/roussos_2024.childhood.GABA/rs17110387_profile_position.png",4,220,900)</f>
        <v/>
      </c>
    </row>
    <row r="804">
      <c r="A804" t="inlineStr">
        <is>
          <t>chr12</t>
        </is>
      </c>
      <c r="B804" t="n">
        <v>71918488</v>
      </c>
      <c r="C804" t="inlineStr">
        <is>
          <t>G</t>
        </is>
      </c>
      <c r="D804" t="inlineStr">
        <is>
          <t>A</t>
        </is>
      </c>
      <c r="E804" t="inlineStr">
        <is>
          <t>rs11178985</t>
        </is>
      </c>
      <c r="F804" t="n">
        <v>0.09188522339999999</v>
      </c>
      <c r="G804" t="n">
        <v>0.041788027836608</v>
      </c>
      <c r="H804" t="n">
        <v>0.0242327459363928</v>
      </c>
      <c r="I804" t="n">
        <v>0.0329811607998614</v>
      </c>
      <c r="J804" t="n">
        <v>0.0064658331762685</v>
      </c>
      <c r="K804" t="n">
        <v>0.790930524878882</v>
      </c>
      <c r="L804" t="b">
        <v>0</v>
      </c>
      <c r="M804" t="b">
        <v>0</v>
      </c>
      <c r="N804" t="inlineStr">
        <is>
          <t>alt</t>
        </is>
      </c>
      <c r="O804" t="n">
        <v>-15</v>
      </c>
      <c r="P804" t="n">
        <v>0.002209</v>
      </c>
      <c r="Q804" t="n">
        <v>-45</v>
      </c>
      <c r="R804" t="n">
        <v>0.0134</v>
      </c>
      <c r="S804">
        <f>IMAGE("https://mitra.stanford.edu/kundaje/oak/projects/neuro-variants/variant_position/credible/roussos_2024/variant_figures/roussos_2024.childhood.GABA/rs11178985_count_position.png",4,220,900)</f>
        <v/>
      </c>
      <c r="T804">
        <f>IMAGE("https://mitra.stanford.edu/kundaje/oak/projects/neuro-variants/variant_position/credible/roussos_2024/variant_figures/roussos_2024.childhood.GABA/rs11178985_profile_position.png",4,220,900)</f>
        <v/>
      </c>
    </row>
    <row r="805">
      <c r="A805" t="inlineStr">
        <is>
          <t>chr12</t>
        </is>
      </c>
      <c r="B805" t="n">
        <v>71927834</v>
      </c>
      <c r="C805" t="inlineStr">
        <is>
          <t>A</t>
        </is>
      </c>
      <c r="D805" t="inlineStr">
        <is>
          <t>G</t>
        </is>
      </c>
      <c r="E805" t="inlineStr">
        <is>
          <t>rs10506643</t>
        </is>
      </c>
      <c r="F805" t="n">
        <v>0.0059907856</v>
      </c>
      <c r="G805" t="n">
        <v>0.6313061336359086</v>
      </c>
      <c r="H805" t="n">
        <v>0.0110460915229046</v>
      </c>
      <c r="I805" t="n">
        <v>0.531592221557035</v>
      </c>
      <c r="J805" t="n">
        <v>0.0593715314862515</v>
      </c>
      <c r="K805" t="n">
        <v>0.4590271820144362</v>
      </c>
      <c r="L805" t="b">
        <v>0</v>
      </c>
      <c r="M805" t="b">
        <v>0</v>
      </c>
      <c r="N805" t="inlineStr">
        <is>
          <t>alt</t>
        </is>
      </c>
      <c r="O805" t="n">
        <v>-65</v>
      </c>
      <c r="P805" t="n">
        <v>0.0073</v>
      </c>
      <c r="Q805" t="n">
        <v>95</v>
      </c>
      <c r="R805" t="n">
        <v>0.176</v>
      </c>
      <c r="S805">
        <f>IMAGE("https://mitra.stanford.edu/kundaje/oak/projects/neuro-variants/variant_position/credible/roussos_2024/variant_figures/roussos_2024.childhood.GABA/rs10506643_count_position.png",4,220,900)</f>
        <v/>
      </c>
      <c r="T805">
        <f>IMAGE("https://mitra.stanford.edu/kundaje/oak/projects/neuro-variants/variant_position/credible/roussos_2024/variant_figures/roussos_2024.childhood.GABA/rs10506643_profile_position.png",4,220,900)</f>
        <v/>
      </c>
    </row>
    <row r="806">
      <c r="A806" t="inlineStr">
        <is>
          <t>chr12</t>
        </is>
      </c>
      <c r="B806" t="n">
        <v>74908804</v>
      </c>
      <c r="C806" t="inlineStr">
        <is>
          <t>G</t>
        </is>
      </c>
      <c r="D806" t="inlineStr">
        <is>
          <t>A</t>
        </is>
      </c>
      <c r="E806" t="inlineStr">
        <is>
          <t>rs7955462</t>
        </is>
      </c>
      <c r="F806" t="n">
        <v>-0.0004322399399999</v>
      </c>
      <c r="G806" t="n">
        <v>0.8062439036088136</v>
      </c>
      <c r="H806" t="n">
        <v>0.0066055037049788</v>
      </c>
      <c r="I806" t="n">
        <v>0.9605430535773944</v>
      </c>
      <c r="J806" t="n">
        <v>6.806140185543909e-05</v>
      </c>
      <c r="K806" t="n">
        <v>0.9833103008856726</v>
      </c>
      <c r="L806" t="b">
        <v>0</v>
      </c>
      <c r="M806" t="b">
        <v>0</v>
      </c>
      <c r="N806" t="inlineStr">
        <is>
          <t>ref</t>
        </is>
      </c>
      <c r="O806" t="n">
        <v>60</v>
      </c>
      <c r="P806" t="n">
        <v>0.003353</v>
      </c>
      <c r="Q806" t="n">
        <v>-100</v>
      </c>
      <c r="R806" t="n">
        <v>0.01553</v>
      </c>
      <c r="S806">
        <f>IMAGE("https://mitra.stanford.edu/kundaje/oak/projects/neuro-variants/variant_position/credible/roussos_2024/variant_figures/roussos_2024.childhood.GABA/rs7955462_count_position.png",4,220,900)</f>
        <v/>
      </c>
      <c r="T806">
        <f>IMAGE("https://mitra.stanford.edu/kundaje/oak/projects/neuro-variants/variant_position/credible/roussos_2024/variant_figures/roussos_2024.childhood.GABA/rs7955462_profile_position.png",4,220,900)</f>
        <v/>
      </c>
    </row>
    <row r="807">
      <c r="A807" t="inlineStr">
        <is>
          <t>chr12</t>
        </is>
      </c>
      <c r="B807" t="n">
        <v>74910078</v>
      </c>
      <c r="C807" t="inlineStr">
        <is>
          <t>G</t>
        </is>
      </c>
      <c r="D807" t="inlineStr">
        <is>
          <t>T</t>
        </is>
      </c>
      <c r="E807" t="inlineStr">
        <is>
          <t>rs6582256</t>
        </is>
      </c>
      <c r="F807" t="n">
        <v>0.0044816889</v>
      </c>
      <c r="G807" t="n">
        <v>0.7659189814203949</v>
      </c>
      <c r="H807" t="n">
        <v>0.034060579018231</v>
      </c>
      <c r="I807" t="n">
        <v>0.0073816506558672</v>
      </c>
      <c r="J807" t="n">
        <v>0.0004397813658352</v>
      </c>
      <c r="K807" t="n">
        <v>0.946921836838308</v>
      </c>
      <c r="L807" t="b">
        <v>0</v>
      </c>
      <c r="M807" t="b">
        <v>0</v>
      </c>
      <c r="N807" t="inlineStr">
        <is>
          <t>alt</t>
        </is>
      </c>
      <c r="O807" t="n">
        <v>-15</v>
      </c>
      <c r="P807" t="n">
        <v>0.0007935</v>
      </c>
      <c r="Q807" t="n">
        <v>-100</v>
      </c>
      <c r="R807" t="n">
        <v>0.1431</v>
      </c>
      <c r="S807">
        <f>IMAGE("https://mitra.stanford.edu/kundaje/oak/projects/neuro-variants/variant_position/credible/roussos_2024/variant_figures/roussos_2024.childhood.GABA/rs6582256_count_position.png",4,220,900)</f>
        <v/>
      </c>
      <c r="T807">
        <f>IMAGE("https://mitra.stanford.edu/kundaje/oak/projects/neuro-variants/variant_position/credible/roussos_2024/variant_figures/roussos_2024.childhood.GABA/rs6582256_profile_position.png",4,220,900)</f>
        <v/>
      </c>
    </row>
    <row r="808">
      <c r="A808" t="inlineStr">
        <is>
          <t>chr12</t>
        </is>
      </c>
      <c r="B808" t="n">
        <v>74916655</v>
      </c>
      <c r="C808" t="inlineStr">
        <is>
          <t>T</t>
        </is>
      </c>
      <c r="D808" t="inlineStr">
        <is>
          <t>C</t>
        </is>
      </c>
      <c r="E808" t="inlineStr">
        <is>
          <t>rs6582260</t>
        </is>
      </c>
      <c r="F808" t="n">
        <v>0.00613652556</v>
      </c>
      <c r="G808" t="n">
        <v>0.7304666146979496</v>
      </c>
      <c r="H808" t="n">
        <v>0.0216709894693328</v>
      </c>
      <c r="I808" t="n">
        <v>0.0544036227139452</v>
      </c>
      <c r="J808" t="n">
        <v>0.0165619568176582</v>
      </c>
      <c r="K808" t="n">
        <v>0.6711185491262504</v>
      </c>
      <c r="L808" t="b">
        <v>0</v>
      </c>
      <c r="M808" t="b">
        <v>0</v>
      </c>
      <c r="N808" t="inlineStr">
        <is>
          <t>alt</t>
        </is>
      </c>
      <c r="O808" t="n">
        <v>100</v>
      </c>
      <c r="P808" t="n">
        <v>0.004562</v>
      </c>
      <c r="Q808" t="n">
        <v>100</v>
      </c>
      <c r="R808" t="n">
        <v>0.3062</v>
      </c>
      <c r="S808">
        <f>IMAGE("https://mitra.stanford.edu/kundaje/oak/projects/neuro-variants/variant_position/credible/roussos_2024/variant_figures/roussos_2024.childhood.GABA/rs6582260_count_position.png",4,220,900)</f>
        <v/>
      </c>
      <c r="T808">
        <f>IMAGE("https://mitra.stanford.edu/kundaje/oak/projects/neuro-variants/variant_position/credible/roussos_2024/variant_figures/roussos_2024.childhood.GABA/rs6582260_profile_position.png",4,220,900)</f>
        <v/>
      </c>
    </row>
    <row r="809">
      <c r="A809" t="inlineStr">
        <is>
          <t>chr12</t>
        </is>
      </c>
      <c r="B809" t="n">
        <v>74943371</v>
      </c>
      <c r="C809" t="inlineStr">
        <is>
          <t>T</t>
        </is>
      </c>
      <c r="D809" t="inlineStr">
        <is>
          <t>C</t>
        </is>
      </c>
      <c r="E809" t="inlineStr">
        <is>
          <t>rs12316904</t>
        </is>
      </c>
      <c r="F809" t="n">
        <v>-0.0369497974</v>
      </c>
      <c r="G809" t="n">
        <v>0.2399896615299844</v>
      </c>
      <c r="H809" t="n">
        <v>0.0160090265299755</v>
      </c>
      <c r="I809" t="n">
        <v>0.1780345722387534</v>
      </c>
      <c r="J809" t="n">
        <v>0.0043192812715963</v>
      </c>
      <c r="K809" t="n">
        <v>0.8273256264123562</v>
      </c>
      <c r="L809" t="b">
        <v>0</v>
      </c>
      <c r="M809" t="b">
        <v>0</v>
      </c>
      <c r="N809" t="inlineStr">
        <is>
          <t>ref</t>
        </is>
      </c>
      <c r="O809" t="n">
        <v>-100</v>
      </c>
      <c r="P809" t="n">
        <v>0.0303</v>
      </c>
      <c r="Q809" t="n">
        <v>-20</v>
      </c>
      <c r="R809" t="n">
        <v>0.008880000000000001</v>
      </c>
      <c r="S809">
        <f>IMAGE("https://mitra.stanford.edu/kundaje/oak/projects/neuro-variants/variant_position/credible/roussos_2024/variant_figures/roussos_2024.childhood.GABA/rs12316904_count_position.png",4,220,900)</f>
        <v/>
      </c>
      <c r="T809">
        <f>IMAGE("https://mitra.stanford.edu/kundaje/oak/projects/neuro-variants/variant_position/credible/roussos_2024/variant_figures/roussos_2024.childhood.GABA/rs12316904_profile_position.png",4,220,900)</f>
        <v/>
      </c>
    </row>
    <row r="810">
      <c r="A810" t="inlineStr">
        <is>
          <t>chr12</t>
        </is>
      </c>
      <c r="B810" t="n">
        <v>74945510</v>
      </c>
      <c r="C810" t="inlineStr">
        <is>
          <t>A</t>
        </is>
      </c>
      <c r="D810" t="inlineStr">
        <is>
          <t>G</t>
        </is>
      </c>
      <c r="E810" t="inlineStr">
        <is>
          <t>rs1526821</t>
        </is>
      </c>
      <c r="F810" t="n">
        <v>0.0021962294</v>
      </c>
      <c r="G810" t="n">
        <v>0.784110051984397</v>
      </c>
      <c r="H810" t="n">
        <v>0.0186173481912381</v>
      </c>
      <c r="I810" t="n">
        <v>0.1005313104282489</v>
      </c>
      <c r="J810" t="n">
        <v>0.0066951477455969</v>
      </c>
      <c r="K810" t="n">
        <v>0.7896791062438632</v>
      </c>
      <c r="L810" t="b">
        <v>0</v>
      </c>
      <c r="M810" t="b">
        <v>0</v>
      </c>
      <c r="N810" t="inlineStr">
        <is>
          <t>alt</t>
        </is>
      </c>
      <c r="O810" t="n">
        <v>-100</v>
      </c>
      <c r="P810" t="n">
        <v>0.005722</v>
      </c>
      <c r="Q810" t="n">
        <v>100</v>
      </c>
      <c r="R810" t="n">
        <v>0.0579</v>
      </c>
      <c r="S810">
        <f>IMAGE("https://mitra.stanford.edu/kundaje/oak/projects/neuro-variants/variant_position/credible/roussos_2024/variant_figures/roussos_2024.childhood.GABA/rs1526821_count_position.png",4,220,900)</f>
        <v/>
      </c>
      <c r="T810">
        <f>IMAGE("https://mitra.stanford.edu/kundaje/oak/projects/neuro-variants/variant_position/credible/roussos_2024/variant_figures/roussos_2024.childhood.GABA/rs1526821_profile_position.png",4,220,900)</f>
        <v/>
      </c>
    </row>
    <row r="811">
      <c r="A811" t="inlineStr">
        <is>
          <t>chr12</t>
        </is>
      </c>
      <c r="B811" t="n">
        <v>74946622</v>
      </c>
      <c r="C811" t="inlineStr">
        <is>
          <t>C</t>
        </is>
      </c>
      <c r="D811" t="inlineStr">
        <is>
          <t>T</t>
        </is>
      </c>
      <c r="E811" t="inlineStr">
        <is>
          <t>rs12315638</t>
        </is>
      </c>
      <c r="F811" t="n">
        <v>-0.0236202523999999</v>
      </c>
      <c r="G811" t="n">
        <v>0.3278404874005309</v>
      </c>
      <c r="H811" t="n">
        <v>0.0165276085647601</v>
      </c>
      <c r="I811" t="n">
        <v>0.1574124450169965</v>
      </c>
      <c r="J811" t="n">
        <v>0.0116678184750057</v>
      </c>
      <c r="K811" t="n">
        <v>0.722848076327391</v>
      </c>
      <c r="L811" t="b">
        <v>0</v>
      </c>
      <c r="M811" t="b">
        <v>0</v>
      </c>
      <c r="N811" t="inlineStr">
        <is>
          <t>ref</t>
        </is>
      </c>
      <c r="O811" t="n">
        <v>70</v>
      </c>
      <c r="P811" t="n">
        <v>0.00225</v>
      </c>
      <c r="Q811" t="n">
        <v>-70</v>
      </c>
      <c r="R811" t="n">
        <v>0.08777</v>
      </c>
      <c r="S811">
        <f>IMAGE("https://mitra.stanford.edu/kundaje/oak/projects/neuro-variants/variant_position/credible/roussos_2024/variant_figures/roussos_2024.childhood.GABA/rs12315638_count_position.png",4,220,900)</f>
        <v/>
      </c>
      <c r="T811">
        <f>IMAGE("https://mitra.stanford.edu/kundaje/oak/projects/neuro-variants/variant_position/credible/roussos_2024/variant_figures/roussos_2024.childhood.GABA/rs12315638_profile_position.png",4,220,900)</f>
        <v/>
      </c>
    </row>
    <row r="812">
      <c r="A812" t="inlineStr">
        <is>
          <t>chr12</t>
        </is>
      </c>
      <c r="B812" t="n">
        <v>74951873</v>
      </c>
      <c r="C812" t="inlineStr">
        <is>
          <t>G</t>
        </is>
      </c>
      <c r="D812" t="inlineStr">
        <is>
          <t>C</t>
        </is>
      </c>
      <c r="E812" t="inlineStr">
        <is>
          <t>rs11180302</t>
        </is>
      </c>
      <c r="F812" t="n">
        <v>-0.0988567028</v>
      </c>
      <c r="G812" t="n">
        <v>0.0312562429832214</v>
      </c>
      <c r="H812" t="n">
        <v>0.0164999092056651</v>
      </c>
      <c r="I812" t="n">
        <v>0.1601468438802139</v>
      </c>
      <c r="J812" t="n">
        <v>0.0303867981822369</v>
      </c>
      <c r="K812" t="n">
        <v>0.5800809817210002</v>
      </c>
      <c r="L812" t="b">
        <v>0</v>
      </c>
      <c r="M812" t="b">
        <v>0</v>
      </c>
      <c r="N812" t="inlineStr">
        <is>
          <t>ref</t>
        </is>
      </c>
      <c r="O812" t="n">
        <v>-80</v>
      </c>
      <c r="P812" t="n">
        <v>0.003273</v>
      </c>
      <c r="Q812" t="n">
        <v>-40</v>
      </c>
      <c r="R812" t="n">
        <v>0.10034</v>
      </c>
      <c r="S812">
        <f>IMAGE("https://mitra.stanford.edu/kundaje/oak/projects/neuro-variants/variant_position/credible/roussos_2024/variant_figures/roussos_2024.childhood.GABA/rs11180302_count_position.png",4,220,900)</f>
        <v/>
      </c>
      <c r="T812">
        <f>IMAGE("https://mitra.stanford.edu/kundaje/oak/projects/neuro-variants/variant_position/credible/roussos_2024/variant_figures/roussos_2024.childhood.GABA/rs11180302_profile_position.png",4,220,900)</f>
        <v/>
      </c>
    </row>
    <row r="813">
      <c r="A813" t="inlineStr">
        <is>
          <t>chr12</t>
        </is>
      </c>
      <c r="B813" t="n">
        <v>74954419</v>
      </c>
      <c r="C813" t="inlineStr">
        <is>
          <t>C</t>
        </is>
      </c>
      <c r="D813" t="inlineStr">
        <is>
          <t>G</t>
        </is>
      </c>
      <c r="E813" t="inlineStr">
        <is>
          <t>rs1526803</t>
        </is>
      </c>
      <c r="F813" t="n">
        <v>-0.0023823486</v>
      </c>
      <c r="G813" t="n">
        <v>0.3968220451913326</v>
      </c>
      <c r="H813" t="n">
        <v>0.009137642049377099</v>
      </c>
      <c r="I813" t="n">
        <v>0.7377668165970664</v>
      </c>
      <c r="J813" t="n">
        <v>0.001659651106783</v>
      </c>
      <c r="K813" t="n">
        <v>0.9100353407812168</v>
      </c>
      <c r="L813" t="b">
        <v>0</v>
      </c>
      <c r="M813" t="b">
        <v>0</v>
      </c>
      <c r="N813" t="inlineStr">
        <is>
          <t>ref</t>
        </is>
      </c>
      <c r="O813" t="n">
        <v>90</v>
      </c>
      <c r="P813" t="n">
        <v>0.02621</v>
      </c>
      <c r="Q813" t="n">
        <v>-45</v>
      </c>
      <c r="R813" t="n">
        <v>0.02687</v>
      </c>
      <c r="S813">
        <f>IMAGE("https://mitra.stanford.edu/kundaje/oak/projects/neuro-variants/variant_position/credible/roussos_2024/variant_figures/roussos_2024.childhood.GABA/rs1526803_count_position.png",4,220,900)</f>
        <v/>
      </c>
      <c r="T813">
        <f>IMAGE("https://mitra.stanford.edu/kundaje/oak/projects/neuro-variants/variant_position/credible/roussos_2024/variant_figures/roussos_2024.childhood.GABA/rs1526803_profile_position.png",4,220,900)</f>
        <v/>
      </c>
    </row>
    <row r="814">
      <c r="A814" t="inlineStr">
        <is>
          <t>chr12</t>
        </is>
      </c>
      <c r="B814" t="n">
        <v>74959499</v>
      </c>
      <c r="C814" t="inlineStr">
        <is>
          <t>A</t>
        </is>
      </c>
      <c r="D814" t="inlineStr">
        <is>
          <t>G</t>
        </is>
      </c>
      <c r="E814" t="inlineStr">
        <is>
          <t>rs952408</t>
        </is>
      </c>
      <c r="F814" t="n">
        <v>0.00533444938</v>
      </c>
      <c r="G814" t="n">
        <v>0.7505110944847089</v>
      </c>
      <c r="H814" t="n">
        <v>0.0233079082596594</v>
      </c>
      <c r="I814" t="n">
        <v>0.0388657328342941</v>
      </c>
      <c r="J814" t="n">
        <v>0.0265460409206089</v>
      </c>
      <c r="K814" t="n">
        <v>0.6042596654143593</v>
      </c>
      <c r="L814" t="b">
        <v>0</v>
      </c>
      <c r="M814" t="b">
        <v>0</v>
      </c>
      <c r="N814" t="inlineStr">
        <is>
          <t>alt</t>
        </is>
      </c>
      <c r="O814" t="n">
        <v>15</v>
      </c>
      <c r="P814" t="n">
        <v>0.007782</v>
      </c>
      <c r="Q814" t="n">
        <v>-45</v>
      </c>
      <c r="R814" t="n">
        <v>0.07489999999999999</v>
      </c>
      <c r="S814">
        <f>IMAGE("https://mitra.stanford.edu/kundaje/oak/projects/neuro-variants/variant_position/credible/roussos_2024/variant_figures/roussos_2024.childhood.GABA/rs952408_count_position.png",4,220,900)</f>
        <v/>
      </c>
      <c r="T814">
        <f>IMAGE("https://mitra.stanford.edu/kundaje/oak/projects/neuro-variants/variant_position/credible/roussos_2024/variant_figures/roussos_2024.childhood.GABA/rs952408_profile_position.png",4,220,900)</f>
        <v/>
      </c>
    </row>
    <row r="815">
      <c r="A815" t="inlineStr">
        <is>
          <t>chr12</t>
        </is>
      </c>
      <c r="B815" t="n">
        <v>74973452</v>
      </c>
      <c r="C815" t="inlineStr">
        <is>
          <t>G</t>
        </is>
      </c>
      <c r="D815" t="inlineStr">
        <is>
          <t>T</t>
        </is>
      </c>
      <c r="E815" t="inlineStr">
        <is>
          <t>rs12300503</t>
        </is>
      </c>
      <c r="F815" t="n">
        <v>-0.15024653</v>
      </c>
      <c r="G815" t="n">
        <v>0.0112317907930771</v>
      </c>
      <c r="H815" t="n">
        <v>0.0272936866471785</v>
      </c>
      <c r="I815" t="n">
        <v>0.0239656751846781</v>
      </c>
      <c r="J815" t="n">
        <v>0.0343521601641849</v>
      </c>
      <c r="K815" t="n">
        <v>0.5575049389745838</v>
      </c>
      <c r="L815" t="b">
        <v>1</v>
      </c>
      <c r="M815" t="b">
        <v>0</v>
      </c>
      <c r="N815" t="inlineStr">
        <is>
          <t>ref</t>
        </is>
      </c>
      <c r="O815" t="n">
        <v>55</v>
      </c>
      <c r="P815" t="n">
        <v>0.007996</v>
      </c>
      <c r="Q815" t="n">
        <v>100</v>
      </c>
      <c r="R815" t="n">
        <v>0.1261</v>
      </c>
      <c r="S815">
        <f>IMAGE("https://mitra.stanford.edu/kundaje/oak/projects/neuro-variants/variant_position/credible/roussos_2024/variant_figures/roussos_2024.childhood.GABA/rs12300503_count_position.png",4,220,900)</f>
        <v/>
      </c>
      <c r="T815">
        <f>IMAGE("https://mitra.stanford.edu/kundaje/oak/projects/neuro-variants/variant_position/credible/roussos_2024/variant_figures/roussos_2024.childhood.GABA/rs12300503_profile_position.png",4,220,900)</f>
        <v/>
      </c>
    </row>
    <row r="816">
      <c r="A816" t="inlineStr">
        <is>
          <t>chr12</t>
        </is>
      </c>
      <c r="B816" t="n">
        <v>87265073</v>
      </c>
      <c r="C816" t="inlineStr">
        <is>
          <t>G</t>
        </is>
      </c>
      <c r="D816" t="inlineStr">
        <is>
          <t>A</t>
        </is>
      </c>
      <c r="E816" t="inlineStr">
        <is>
          <t>rs17014518</t>
        </is>
      </c>
      <c r="F816" t="n">
        <v>-0.0485397036</v>
      </c>
      <c r="G816" t="n">
        <v>0.1525200906403442</v>
      </c>
      <c r="H816" t="n">
        <v>0.0159074882522821</v>
      </c>
      <c r="I816" t="n">
        <v>0.1852573177904647</v>
      </c>
      <c r="J816" t="n">
        <v>0.0042114301271177</v>
      </c>
      <c r="K816" t="n">
        <v>0.8228728295117105</v>
      </c>
      <c r="L816" t="b">
        <v>0</v>
      </c>
      <c r="M816" t="b">
        <v>0</v>
      </c>
      <c r="N816" t="inlineStr">
        <is>
          <t>ref</t>
        </is>
      </c>
      <c r="O816" t="n">
        <v>40</v>
      </c>
      <c r="P816" t="n">
        <v>0.003311</v>
      </c>
      <c r="Q816" t="n">
        <v>70</v>
      </c>
      <c r="R816" t="n">
        <v>0.009310000000000001</v>
      </c>
      <c r="S816">
        <f>IMAGE("https://mitra.stanford.edu/kundaje/oak/projects/neuro-variants/variant_position/credible/roussos_2024/variant_figures/roussos_2024.childhood.GABA/rs17014518_count_position.png",4,220,900)</f>
        <v/>
      </c>
      <c r="T816">
        <f>IMAGE("https://mitra.stanford.edu/kundaje/oak/projects/neuro-variants/variant_position/credible/roussos_2024/variant_figures/roussos_2024.childhood.GABA/rs17014518_profile_position.png",4,220,900)</f>
        <v/>
      </c>
    </row>
    <row r="817">
      <c r="A817" t="inlineStr">
        <is>
          <t>chr12</t>
        </is>
      </c>
      <c r="B817" t="n">
        <v>87287207</v>
      </c>
      <c r="C817" t="inlineStr">
        <is>
          <t>T</t>
        </is>
      </c>
      <c r="D817" t="inlineStr">
        <is>
          <t>G</t>
        </is>
      </c>
      <c r="E817" t="inlineStr">
        <is>
          <t>rs66619626</t>
        </is>
      </c>
      <c r="F817" t="n">
        <v>0.0449744745999999</v>
      </c>
      <c r="G817" t="n">
        <v>0.1706792780253724</v>
      </c>
      <c r="H817" t="n">
        <v>0.0103294828395987</v>
      </c>
      <c r="I817" t="n">
        <v>0.5973871956678278</v>
      </c>
      <c r="J817" t="n">
        <v>0.028317731565831</v>
      </c>
      <c r="K817" t="n">
        <v>0.6112291543233034</v>
      </c>
      <c r="L817" t="b">
        <v>0</v>
      </c>
      <c r="M817" t="b">
        <v>0</v>
      </c>
      <c r="N817" t="inlineStr">
        <is>
          <t>alt</t>
        </is>
      </c>
      <c r="O817" t="n">
        <v>100</v>
      </c>
      <c r="P817" t="n">
        <v>0.002003</v>
      </c>
      <c r="Q817" t="n">
        <v>-100</v>
      </c>
      <c r="R817" t="n">
        <v>0.09906</v>
      </c>
      <c r="S817">
        <f>IMAGE("https://mitra.stanford.edu/kundaje/oak/projects/neuro-variants/variant_position/credible/roussos_2024/variant_figures/roussos_2024.childhood.GABA/rs66619626_count_position.png",4,220,900)</f>
        <v/>
      </c>
      <c r="T817">
        <f>IMAGE("https://mitra.stanford.edu/kundaje/oak/projects/neuro-variants/variant_position/credible/roussos_2024/variant_figures/roussos_2024.childhood.GABA/rs66619626_profile_position.png",4,220,900)</f>
        <v/>
      </c>
    </row>
    <row r="818">
      <c r="A818" t="inlineStr">
        <is>
          <t>chr12</t>
        </is>
      </c>
      <c r="B818" t="n">
        <v>87294412</v>
      </c>
      <c r="C818" t="inlineStr">
        <is>
          <t>T</t>
        </is>
      </c>
      <c r="D818" t="inlineStr">
        <is>
          <t>C</t>
        </is>
      </c>
      <c r="E818" t="inlineStr">
        <is>
          <t>rs11104403</t>
        </is>
      </c>
      <c r="F818" t="n">
        <v>-0.01786208426</v>
      </c>
      <c r="G818" t="n">
        <v>0.4857487987740412</v>
      </c>
      <c r="H818" t="n">
        <v>0.0279706873839878</v>
      </c>
      <c r="I818" t="n">
        <v>0.0172408563166899</v>
      </c>
      <c r="J818" t="n">
        <v>0.0037726958597725</v>
      </c>
      <c r="K818" t="n">
        <v>0.832916125170404</v>
      </c>
      <c r="L818" t="b">
        <v>0</v>
      </c>
      <c r="M818" t="b">
        <v>0</v>
      </c>
      <c r="N818" t="inlineStr">
        <is>
          <t>ref</t>
        </is>
      </c>
      <c r="O818" t="n">
        <v>90</v>
      </c>
      <c r="P818" t="n">
        <v>0.002127</v>
      </c>
      <c r="Q818" t="n">
        <v>-95</v>
      </c>
      <c r="R818" t="n">
        <v>0.0687</v>
      </c>
      <c r="S818">
        <f>IMAGE("https://mitra.stanford.edu/kundaje/oak/projects/neuro-variants/variant_position/credible/roussos_2024/variant_figures/roussos_2024.childhood.GABA/rs11104403_count_position.png",4,220,900)</f>
        <v/>
      </c>
      <c r="T818">
        <f>IMAGE("https://mitra.stanford.edu/kundaje/oak/projects/neuro-variants/variant_position/credible/roussos_2024/variant_figures/roussos_2024.childhood.GABA/rs11104403_profile_position.png",4,220,900)</f>
        <v/>
      </c>
    </row>
    <row r="819">
      <c r="A819" t="inlineStr">
        <is>
          <t>chr12</t>
        </is>
      </c>
      <c r="B819" t="n">
        <v>87295117</v>
      </c>
      <c r="C819" t="inlineStr">
        <is>
          <t>C</t>
        </is>
      </c>
      <c r="D819" t="inlineStr">
        <is>
          <t>A</t>
        </is>
      </c>
      <c r="E819" t="inlineStr">
        <is>
          <t>rs12815820</t>
        </is>
      </c>
      <c r="F819" t="n">
        <v>-0.0756856108</v>
      </c>
      <c r="G819" t="n">
        <v>0.06991693307299381</v>
      </c>
      <c r="H819" t="n">
        <v>0.0189061830063415</v>
      </c>
      <c r="I819" t="n">
        <v>0.0993850836914888</v>
      </c>
      <c r="J819" t="n">
        <v>0.0007088856777868</v>
      </c>
      <c r="K819" t="n">
        <v>0.9291579063962566</v>
      </c>
      <c r="L819" t="b">
        <v>0</v>
      </c>
      <c r="M819" t="b">
        <v>0</v>
      </c>
      <c r="N819" t="inlineStr">
        <is>
          <t>ref</t>
        </is>
      </c>
      <c r="O819" t="n">
        <v>-100</v>
      </c>
      <c r="P819" t="n">
        <v>0.004196</v>
      </c>
      <c r="Q819" t="n">
        <v>-100</v>
      </c>
      <c r="R819" t="n">
        <v>0.013306</v>
      </c>
      <c r="S819">
        <f>IMAGE("https://mitra.stanford.edu/kundaje/oak/projects/neuro-variants/variant_position/credible/roussos_2024/variant_figures/roussos_2024.childhood.GABA/rs12815820_count_position.png",4,220,900)</f>
        <v/>
      </c>
      <c r="T819">
        <f>IMAGE("https://mitra.stanford.edu/kundaje/oak/projects/neuro-variants/variant_position/credible/roussos_2024/variant_figures/roussos_2024.childhood.GABA/rs12815820_profile_position.png",4,220,900)</f>
        <v/>
      </c>
    </row>
    <row r="820">
      <c r="A820" t="inlineStr">
        <is>
          <t>chr12</t>
        </is>
      </c>
      <c r="B820" t="n">
        <v>87302883</v>
      </c>
      <c r="C820" t="inlineStr">
        <is>
          <t>T</t>
        </is>
      </c>
      <c r="D820" t="inlineStr">
        <is>
          <t>A</t>
        </is>
      </c>
      <c r="E820" t="inlineStr">
        <is>
          <t>rs725421</t>
        </is>
      </c>
      <c r="F820" t="n">
        <v>0.0332384668</v>
      </c>
      <c r="G820" t="n">
        <v>0.2676693510597852</v>
      </c>
      <c r="H820" t="n">
        <v>0.0219692955127537</v>
      </c>
      <c r="I820" t="n">
        <v>0.0513023454874281</v>
      </c>
      <c r="J820" t="n">
        <v>0.0392295449309961</v>
      </c>
      <c r="K820" t="n">
        <v>0.5359543448762208</v>
      </c>
      <c r="L820" t="b">
        <v>0</v>
      </c>
      <c r="M820" t="b">
        <v>0</v>
      </c>
      <c r="N820" t="inlineStr">
        <is>
          <t>alt</t>
        </is>
      </c>
      <c r="O820" t="n">
        <v>-65</v>
      </c>
      <c r="P820" t="n">
        <v>0.001704</v>
      </c>
      <c r="Q820" t="n">
        <v>10</v>
      </c>
      <c r="R820" t="n">
        <v>0.01807</v>
      </c>
      <c r="S820">
        <f>IMAGE("https://mitra.stanford.edu/kundaje/oak/projects/neuro-variants/variant_position/credible/roussos_2024/variant_figures/roussos_2024.childhood.GABA/rs725421_count_position.png",4,220,900)</f>
        <v/>
      </c>
      <c r="T820">
        <f>IMAGE("https://mitra.stanford.edu/kundaje/oak/projects/neuro-variants/variant_position/credible/roussos_2024/variant_figures/roussos_2024.childhood.GABA/rs725421_profile_position.png",4,220,900)</f>
        <v/>
      </c>
    </row>
    <row r="821">
      <c r="A821" t="inlineStr">
        <is>
          <t>chr12</t>
        </is>
      </c>
      <c r="B821" t="n">
        <v>87311437</v>
      </c>
      <c r="C821" t="inlineStr">
        <is>
          <t>G</t>
        </is>
      </c>
      <c r="D821" t="inlineStr">
        <is>
          <t>A</t>
        </is>
      </c>
      <c r="E821" t="inlineStr">
        <is>
          <t>rs7972062</t>
        </is>
      </c>
      <c r="F821" t="n">
        <v>-0.0434218444</v>
      </c>
      <c r="G821" t="n">
        <v>0.1844189243853241</v>
      </c>
      <c r="H821" t="n">
        <v>0.0127981776426655</v>
      </c>
      <c r="I821" t="n">
        <v>0.3677859940235978</v>
      </c>
      <c r="J821" t="n">
        <v>0.0221052962241627</v>
      </c>
      <c r="K821" t="n">
        <v>0.62881527210642</v>
      </c>
      <c r="L821" t="b">
        <v>0</v>
      </c>
      <c r="M821" t="b">
        <v>0</v>
      </c>
      <c r="N821" t="inlineStr">
        <is>
          <t>ref</t>
        </is>
      </c>
      <c r="O821" t="n">
        <v>20</v>
      </c>
      <c r="P821" t="n">
        <v>0.001732</v>
      </c>
      <c r="Q821" t="n">
        <v>15</v>
      </c>
      <c r="R821" t="n">
        <v>0.0323</v>
      </c>
      <c r="S821">
        <f>IMAGE("https://mitra.stanford.edu/kundaje/oak/projects/neuro-variants/variant_position/credible/roussos_2024/variant_figures/roussos_2024.childhood.GABA/rs7972062_count_position.png",4,220,900)</f>
        <v/>
      </c>
      <c r="T821">
        <f>IMAGE("https://mitra.stanford.edu/kundaje/oak/projects/neuro-variants/variant_position/credible/roussos_2024/variant_figures/roussos_2024.childhood.GABA/rs7972062_profile_position.png",4,220,900)</f>
        <v/>
      </c>
    </row>
    <row r="822">
      <c r="A822" t="inlineStr">
        <is>
          <t>chr12</t>
        </is>
      </c>
      <c r="B822" t="n">
        <v>87318399</v>
      </c>
      <c r="C822" t="inlineStr">
        <is>
          <t>T</t>
        </is>
      </c>
      <c r="D822" t="inlineStr">
        <is>
          <t>A</t>
        </is>
      </c>
      <c r="E822" t="inlineStr">
        <is>
          <t>rs10858579</t>
        </is>
      </c>
      <c r="F822" t="n">
        <v>0.0001277936399999</v>
      </c>
      <c r="G822" t="n">
        <v>0.7355230765498436</v>
      </c>
      <c r="H822" t="n">
        <v>0.0077368525625437</v>
      </c>
      <c r="I822" t="n">
        <v>0.8837940714982512</v>
      </c>
      <c r="J822" t="n">
        <v>0.052295239890264</v>
      </c>
      <c r="K822" t="n">
        <v>0.4770799718777229</v>
      </c>
      <c r="L822" t="b">
        <v>0</v>
      </c>
      <c r="M822" t="b">
        <v>0</v>
      </c>
      <c r="N822" t="inlineStr">
        <is>
          <t>alt</t>
        </is>
      </c>
      <c r="O822" t="n">
        <v>90</v>
      </c>
      <c r="P822" t="n">
        <v>0.01495</v>
      </c>
      <c r="Q822" t="n">
        <v>95</v>
      </c>
      <c r="R822" t="n">
        <v>0.1676</v>
      </c>
      <c r="S822">
        <f>IMAGE("https://mitra.stanford.edu/kundaje/oak/projects/neuro-variants/variant_position/credible/roussos_2024/variant_figures/roussos_2024.childhood.GABA/rs10858579_count_position.png",4,220,900)</f>
        <v/>
      </c>
      <c r="T822">
        <f>IMAGE("https://mitra.stanford.edu/kundaje/oak/projects/neuro-variants/variant_position/credible/roussos_2024/variant_figures/roussos_2024.childhood.GABA/rs10858579_profile_position.png",4,220,900)</f>
        <v/>
      </c>
    </row>
    <row r="823">
      <c r="A823" t="inlineStr">
        <is>
          <t>chr12</t>
        </is>
      </c>
      <c r="B823" t="n">
        <v>89434954</v>
      </c>
      <c r="C823" t="inlineStr">
        <is>
          <t>C</t>
        </is>
      </c>
      <c r="D823" t="inlineStr">
        <is>
          <t>T</t>
        </is>
      </c>
      <c r="E823" t="inlineStr">
        <is>
          <t>rs1845141</t>
        </is>
      </c>
      <c r="F823" t="n">
        <v>-0.0241090304799999</v>
      </c>
      <c r="G823" t="n">
        <v>0.3731757496853634</v>
      </c>
      <c r="H823" t="n">
        <v>0.0306617561620487</v>
      </c>
      <c r="I823" t="n">
        <v>0.0115343504773499</v>
      </c>
      <c r="J823" t="n">
        <v>0.0057831249607337</v>
      </c>
      <c r="K823" t="n">
        <v>0.8046238074862833</v>
      </c>
      <c r="L823" t="b">
        <v>0</v>
      </c>
      <c r="M823" t="b">
        <v>0</v>
      </c>
      <c r="N823" t="inlineStr">
        <is>
          <t>ref</t>
        </is>
      </c>
      <c r="O823" t="n">
        <v>100</v>
      </c>
      <c r="P823" t="n">
        <v>0.00299</v>
      </c>
      <c r="Q823" t="n">
        <v>-90</v>
      </c>
      <c r="R823" t="n">
        <v>0.03394</v>
      </c>
      <c r="S823">
        <f>IMAGE("https://mitra.stanford.edu/kundaje/oak/projects/neuro-variants/variant_position/credible/roussos_2024/variant_figures/roussos_2024.childhood.GABA/rs1845141_count_position.png",4,220,900)</f>
        <v/>
      </c>
      <c r="T823">
        <f>IMAGE("https://mitra.stanford.edu/kundaje/oak/projects/neuro-variants/variant_position/credible/roussos_2024/variant_figures/roussos_2024.childhood.GABA/rs1845141_profile_position.png",4,220,900)</f>
        <v/>
      </c>
    </row>
    <row r="824">
      <c r="A824" t="inlineStr">
        <is>
          <t>chr12</t>
        </is>
      </c>
      <c r="B824" t="n">
        <v>89457189</v>
      </c>
      <c r="C824" t="inlineStr">
        <is>
          <t>A</t>
        </is>
      </c>
      <c r="D824" t="inlineStr">
        <is>
          <t>C</t>
        </is>
      </c>
      <c r="E824" t="inlineStr">
        <is>
          <t>rs7308051</t>
        </is>
      </c>
      <c r="F824" t="n">
        <v>0.0232419673999999</v>
      </c>
      <c r="G824" t="n">
        <v>0.1812252756327674</v>
      </c>
      <c r="H824" t="n">
        <v>0.0120751638968811</v>
      </c>
      <c r="I824" t="n">
        <v>0.4273259446948193</v>
      </c>
      <c r="J824" t="n">
        <v>0.011609180959561</v>
      </c>
      <c r="K824" t="n">
        <v>0.7330415413127901</v>
      </c>
      <c r="L824" t="b">
        <v>0</v>
      </c>
      <c r="M824" t="b">
        <v>0</v>
      </c>
      <c r="N824" t="inlineStr">
        <is>
          <t>alt</t>
        </is>
      </c>
      <c r="O824" t="n">
        <v>-60</v>
      </c>
      <c r="P824" t="n">
        <v>0.009809999999999999</v>
      </c>
      <c r="Q824" t="n">
        <v>-10</v>
      </c>
      <c r="R824" t="n">
        <v>0.014404</v>
      </c>
      <c r="S824">
        <f>IMAGE("https://mitra.stanford.edu/kundaje/oak/projects/neuro-variants/variant_position/credible/roussos_2024/variant_figures/roussos_2024.childhood.GABA/rs7308051_count_position.png",4,220,900)</f>
        <v/>
      </c>
      <c r="T824">
        <f>IMAGE("https://mitra.stanford.edu/kundaje/oak/projects/neuro-variants/variant_position/credible/roussos_2024/variant_figures/roussos_2024.childhood.GABA/rs7308051_profile_position.png",4,220,900)</f>
        <v/>
      </c>
    </row>
    <row r="825">
      <c r="A825" t="inlineStr">
        <is>
          <t>chr12</t>
        </is>
      </c>
      <c r="B825" t="n">
        <v>89463361</v>
      </c>
      <c r="C825" t="inlineStr">
        <is>
          <t>G</t>
        </is>
      </c>
      <c r="D825" t="inlineStr">
        <is>
          <t>A</t>
        </is>
      </c>
      <c r="E825" t="inlineStr">
        <is>
          <t>rs6538188</t>
        </is>
      </c>
      <c r="F825" t="n">
        <v>0.0718301392</v>
      </c>
      <c r="G825" t="n">
        <v>0.0641611685164746</v>
      </c>
      <c r="H825" t="n">
        <v>0.017406415926737</v>
      </c>
      <c r="I825" t="n">
        <v>0.1330916589729265</v>
      </c>
      <c r="J825" t="n">
        <v>0.0266884463152603</v>
      </c>
      <c r="K825" t="n">
        <v>0.5947958326198381</v>
      </c>
      <c r="L825" t="b">
        <v>0</v>
      </c>
      <c r="M825" t="b">
        <v>0</v>
      </c>
      <c r="N825" t="inlineStr">
        <is>
          <t>alt</t>
        </is>
      </c>
      <c r="O825" t="n">
        <v>-10</v>
      </c>
      <c r="P825" t="n">
        <v>0.001984</v>
      </c>
      <c r="Q825" t="n">
        <v>10</v>
      </c>
      <c r="R825" t="n">
        <v>0.003418</v>
      </c>
      <c r="S825">
        <f>IMAGE("https://mitra.stanford.edu/kundaje/oak/projects/neuro-variants/variant_position/credible/roussos_2024/variant_figures/roussos_2024.childhood.GABA/rs6538188_count_position.png",4,220,900)</f>
        <v/>
      </c>
      <c r="T825">
        <f>IMAGE("https://mitra.stanford.edu/kundaje/oak/projects/neuro-variants/variant_position/credible/roussos_2024/variant_figures/roussos_2024.childhood.GABA/rs6538188_profile_position.png",4,220,900)</f>
        <v/>
      </c>
    </row>
    <row r="826">
      <c r="A826" t="inlineStr">
        <is>
          <t>chr12</t>
        </is>
      </c>
      <c r="B826" t="n">
        <v>89488768</v>
      </c>
      <c r="C826" t="inlineStr">
        <is>
          <t>T</t>
        </is>
      </c>
      <c r="D826" t="inlineStr">
        <is>
          <t>C</t>
        </is>
      </c>
      <c r="E826" t="inlineStr">
        <is>
          <t>rs9634199</t>
        </is>
      </c>
      <c r="F826" t="n">
        <v>-0.06068630668</v>
      </c>
      <c r="G826" t="n">
        <v>0.0879199295682743</v>
      </c>
      <c r="H826" t="n">
        <v>0.0189094226374458</v>
      </c>
      <c r="I826" t="n">
        <v>0.0964786189294404</v>
      </c>
      <c r="J826" t="n">
        <v>0.0654823982743816</v>
      </c>
      <c r="K826" t="n">
        <v>0.4670756889700099</v>
      </c>
      <c r="L826" t="b">
        <v>0</v>
      </c>
      <c r="M826" t="b">
        <v>0</v>
      </c>
      <c r="N826" t="inlineStr">
        <is>
          <t>ref</t>
        </is>
      </c>
      <c r="O826" t="n">
        <v>-65</v>
      </c>
      <c r="P826" t="n">
        <v>0.0065</v>
      </c>
      <c r="Q826" t="n">
        <v>95</v>
      </c>
      <c r="R826" t="n">
        <v>0.1396</v>
      </c>
      <c r="S826">
        <f>IMAGE("https://mitra.stanford.edu/kundaje/oak/projects/neuro-variants/variant_position/credible/roussos_2024/variant_figures/roussos_2024.childhood.GABA/rs9634199_count_position.png",4,220,900)</f>
        <v/>
      </c>
      <c r="T826">
        <f>IMAGE("https://mitra.stanford.edu/kundaje/oak/projects/neuro-variants/variant_position/credible/roussos_2024/variant_figures/roussos_2024.childhood.GABA/rs9634199_profile_position.png",4,220,900)</f>
        <v/>
      </c>
    </row>
    <row r="827">
      <c r="A827" t="inlineStr">
        <is>
          <t>chr12</t>
        </is>
      </c>
      <c r="B827" t="n">
        <v>89499935</v>
      </c>
      <c r="C827" t="inlineStr">
        <is>
          <t>A</t>
        </is>
      </c>
      <c r="D827" t="inlineStr">
        <is>
          <t>G</t>
        </is>
      </c>
      <c r="E827" t="inlineStr">
        <is>
          <t>rs10858884</t>
        </is>
      </c>
      <c r="F827" t="n">
        <v>0.286450526</v>
      </c>
      <c r="G827" t="n">
        <v>0.001543323002011</v>
      </c>
      <c r="H827" t="n">
        <v>0.0333027200832699</v>
      </c>
      <c r="I827" t="n">
        <v>0.008744122537271</v>
      </c>
      <c r="J827" t="n">
        <v>0.5167347280685221</v>
      </c>
      <c r="K827" t="n">
        <v>0.0480348892329261</v>
      </c>
      <c r="L827" t="b">
        <v>1</v>
      </c>
      <c r="M827" t="b">
        <v>1</v>
      </c>
      <c r="N827" t="inlineStr">
        <is>
          <t>alt</t>
        </is>
      </c>
      <c r="O827" t="n">
        <v>100</v>
      </c>
      <c r="P827" t="n">
        <v>0.002792</v>
      </c>
      <c r="Q827" t="n">
        <v>55</v>
      </c>
      <c r="R827" t="n">
        <v>0.187</v>
      </c>
      <c r="S827">
        <f>IMAGE("https://mitra.stanford.edu/kundaje/oak/projects/neuro-variants/variant_position/credible/roussos_2024/variant_figures/roussos_2024.childhood.GABA/rs10858884_count_position.png",4,220,900)</f>
        <v/>
      </c>
      <c r="T827">
        <f>IMAGE("https://mitra.stanford.edu/kundaje/oak/projects/neuro-variants/variant_position/credible/roussos_2024/variant_figures/roussos_2024.childhood.GABA/rs10858884_profile_position.png",4,220,900)</f>
        <v/>
      </c>
    </row>
    <row r="828">
      <c r="A828" t="inlineStr">
        <is>
          <t>chr12</t>
        </is>
      </c>
      <c r="B828" t="n">
        <v>89503226</v>
      </c>
      <c r="C828" t="inlineStr">
        <is>
          <t>T</t>
        </is>
      </c>
      <c r="D828" t="inlineStr">
        <is>
          <t>C</t>
        </is>
      </c>
      <c r="E828" t="inlineStr">
        <is>
          <t>rs10777173</t>
        </is>
      </c>
      <c r="F828" t="n">
        <v>0.09223159459999999</v>
      </c>
      <c r="G828" t="n">
        <v>0.0366739906032039</v>
      </c>
      <c r="H828" t="n">
        <v>0.0145756286708352</v>
      </c>
      <c r="I828" t="n">
        <v>0.2439343410285274</v>
      </c>
      <c r="J828" t="n">
        <v>0.3073474901049192</v>
      </c>
      <c r="K828" t="n">
        <v>0.1321685829686512</v>
      </c>
      <c r="L828" t="b">
        <v>0</v>
      </c>
      <c r="M828" t="b">
        <v>0</v>
      </c>
      <c r="N828" t="inlineStr">
        <is>
          <t>alt</t>
        </is>
      </c>
      <c r="O828" t="n">
        <v>-55</v>
      </c>
      <c r="P828" t="n">
        <v>0.02095</v>
      </c>
      <c r="Q828" t="n">
        <v>70</v>
      </c>
      <c r="R828" t="n">
        <v>0.02005</v>
      </c>
      <c r="S828">
        <f>IMAGE("https://mitra.stanford.edu/kundaje/oak/projects/neuro-variants/variant_position/credible/roussos_2024/variant_figures/roussos_2024.childhood.GABA/rs10777173_count_position.png",4,220,900)</f>
        <v/>
      </c>
      <c r="T828">
        <f>IMAGE("https://mitra.stanford.edu/kundaje/oak/projects/neuro-variants/variant_position/credible/roussos_2024/variant_figures/roussos_2024.childhood.GABA/rs10777173_profile_position.png",4,220,900)</f>
        <v/>
      </c>
    </row>
    <row r="829">
      <c r="A829" t="inlineStr">
        <is>
          <t>chr12</t>
        </is>
      </c>
      <c r="B829" t="n">
        <v>89545558</v>
      </c>
      <c r="C829" t="inlineStr">
        <is>
          <t>G</t>
        </is>
      </c>
      <c r="D829" t="inlineStr">
        <is>
          <t>A</t>
        </is>
      </c>
      <c r="E829" t="inlineStr">
        <is>
          <t>rs11105326</t>
        </is>
      </c>
      <c r="F829" t="n">
        <v>-0.2232973939999999</v>
      </c>
      <c r="G829" t="n">
        <v>0.0034763095779928</v>
      </c>
      <c r="H829" t="n">
        <v>0.038356254172629</v>
      </c>
      <c r="I829" t="n">
        <v>0.004871905159594</v>
      </c>
      <c r="J829" t="n">
        <v>0.2232885175179577</v>
      </c>
      <c r="K829" t="n">
        <v>0.1950704029211435</v>
      </c>
      <c r="L829" t="b">
        <v>1</v>
      </c>
      <c r="M829" t="b">
        <v>1</v>
      </c>
      <c r="N829" t="inlineStr">
        <is>
          <t>ref</t>
        </is>
      </c>
      <c r="O829" t="n">
        <v>-20</v>
      </c>
      <c r="P829" t="n">
        <v>0.0003223</v>
      </c>
      <c r="Q829" t="n">
        <v>85</v>
      </c>
      <c r="R829" t="n">
        <v>0.05353</v>
      </c>
      <c r="S829">
        <f>IMAGE("https://mitra.stanford.edu/kundaje/oak/projects/neuro-variants/variant_position/credible/roussos_2024/variant_figures/roussos_2024.childhood.GABA/rs11105326_count_position.png",4,220,900)</f>
        <v/>
      </c>
      <c r="T829">
        <f>IMAGE("https://mitra.stanford.edu/kundaje/oak/projects/neuro-variants/variant_position/credible/roussos_2024/variant_figures/roussos_2024.childhood.GABA/rs11105326_profile_position.png",4,220,900)</f>
        <v/>
      </c>
    </row>
    <row r="830">
      <c r="A830" t="inlineStr">
        <is>
          <t>chr12</t>
        </is>
      </c>
      <c r="B830" t="n">
        <v>89576410</v>
      </c>
      <c r="C830" t="inlineStr">
        <is>
          <t>T</t>
        </is>
      </c>
      <c r="D830" t="inlineStr">
        <is>
          <t>C</t>
        </is>
      </c>
      <c r="E830" t="inlineStr">
        <is>
          <t>rs77966649</t>
        </is>
      </c>
      <c r="F830" t="n">
        <v>0.0423230066</v>
      </c>
      <c r="G830" t="n">
        <v>0.1866066390842605</v>
      </c>
      <c r="H830" t="n">
        <v>0.0134005493228899</v>
      </c>
      <c r="I830" t="n">
        <v>0.3272162448235837</v>
      </c>
      <c r="J830" t="n">
        <v>0.0556648028313542</v>
      </c>
      <c r="K830" t="n">
        <v>0.468901552902804</v>
      </c>
      <c r="L830" t="b">
        <v>0</v>
      </c>
      <c r="M830" t="b">
        <v>0</v>
      </c>
      <c r="N830" t="inlineStr">
        <is>
          <t>alt</t>
        </is>
      </c>
      <c r="O830" t="n">
        <v>-55</v>
      </c>
      <c r="P830" t="n">
        <v>0.00367</v>
      </c>
      <c r="Q830" t="n">
        <v>-55</v>
      </c>
      <c r="R830" t="n">
        <v>0.0646</v>
      </c>
      <c r="S830">
        <f>IMAGE("https://mitra.stanford.edu/kundaje/oak/projects/neuro-variants/variant_position/credible/roussos_2024/variant_figures/roussos_2024.childhood.GABA/rs77966649_count_position.png",4,220,900)</f>
        <v/>
      </c>
      <c r="T830">
        <f>IMAGE("https://mitra.stanford.edu/kundaje/oak/projects/neuro-variants/variant_position/credible/roussos_2024/variant_figures/roussos_2024.childhood.GABA/rs77966649_profile_position.png",4,220,900)</f>
        <v/>
      </c>
    </row>
    <row r="831">
      <c r="A831" t="inlineStr">
        <is>
          <t>chr12</t>
        </is>
      </c>
      <c r="B831" t="n">
        <v>91853010</v>
      </c>
      <c r="C831" t="inlineStr">
        <is>
          <t>C</t>
        </is>
      </c>
      <c r="D831" t="inlineStr">
        <is>
          <t>G</t>
        </is>
      </c>
      <c r="E831" t="inlineStr">
        <is>
          <t>rs4240748</t>
        </is>
      </c>
      <c r="F831" t="n">
        <v>-0.0865286212</v>
      </c>
      <c r="G831" t="n">
        <v>0.0523572179585855</v>
      </c>
      <c r="H831" t="n">
        <v>0.0336102274770467</v>
      </c>
      <c r="I831" t="n">
        <v>0.0081692401367102</v>
      </c>
      <c r="J831" t="n">
        <v>0.107669996439865</v>
      </c>
      <c r="K831" t="n">
        <v>0.336057748418301</v>
      </c>
      <c r="L831" t="b">
        <v>1</v>
      </c>
      <c r="M831" t="b">
        <v>1</v>
      </c>
      <c r="N831" t="inlineStr">
        <is>
          <t>ref</t>
        </is>
      </c>
      <c r="O831" t="n">
        <v>-80</v>
      </c>
      <c r="P831" t="n">
        <v>0.005554</v>
      </c>
      <c r="Q831" t="n">
        <v>-95</v>
      </c>
      <c r="R831" t="n">
        <v>0.1301</v>
      </c>
      <c r="S831">
        <f>IMAGE("https://mitra.stanford.edu/kundaje/oak/projects/neuro-variants/variant_position/credible/roussos_2024/variant_figures/roussos_2024.childhood.GABA/rs4240748_count_position.png",4,220,900)</f>
        <v/>
      </c>
      <c r="T831">
        <f>IMAGE("https://mitra.stanford.edu/kundaje/oak/projects/neuro-variants/variant_position/credible/roussos_2024/variant_figures/roussos_2024.childhood.GABA/rs4240748_profile_position.png",4,220,900)</f>
        <v/>
      </c>
    </row>
    <row r="832">
      <c r="A832" t="inlineStr">
        <is>
          <t>chr12</t>
        </is>
      </c>
      <c r="B832" t="n">
        <v>91948482</v>
      </c>
      <c r="C832" t="inlineStr">
        <is>
          <t>T</t>
        </is>
      </c>
      <c r="D832" t="inlineStr">
        <is>
          <t>C</t>
        </is>
      </c>
      <c r="E832" t="inlineStr">
        <is>
          <t>rs63482062</t>
        </is>
      </c>
      <c r="F832" t="n">
        <v>0.004478962524</v>
      </c>
      <c r="G832" t="n">
        <v>0.7832489288215443</v>
      </c>
      <c r="H832" t="n">
        <v>0.0244023321234269</v>
      </c>
      <c r="I832" t="n">
        <v>0.0323829252781121</v>
      </c>
      <c r="J832" t="n">
        <v>0.0774434043266109</v>
      </c>
      <c r="K832" t="n">
        <v>0.4031402439349669</v>
      </c>
      <c r="L832" t="b">
        <v>0</v>
      </c>
      <c r="M832" t="b">
        <v>0</v>
      </c>
      <c r="N832" t="inlineStr">
        <is>
          <t>alt</t>
        </is>
      </c>
      <c r="O832" t="n">
        <v>90</v>
      </c>
      <c r="P832" t="n">
        <v>0.01125</v>
      </c>
      <c r="Q832" t="n">
        <v>90</v>
      </c>
      <c r="R832" t="n">
        <v>0.2134</v>
      </c>
      <c r="S832">
        <f>IMAGE("https://mitra.stanford.edu/kundaje/oak/projects/neuro-variants/variant_position/credible/roussos_2024/variant_figures/roussos_2024.childhood.GABA/rs63482062_count_position.png",4,220,900)</f>
        <v/>
      </c>
      <c r="T832">
        <f>IMAGE("https://mitra.stanford.edu/kundaje/oak/projects/neuro-variants/variant_position/credible/roussos_2024/variant_figures/roussos_2024.childhood.GABA/rs63482062_profile_position.png",4,220,900)</f>
        <v/>
      </c>
    </row>
    <row r="833">
      <c r="A833" t="inlineStr">
        <is>
          <t>chr12</t>
        </is>
      </c>
      <c r="B833" t="n">
        <v>94783625</v>
      </c>
      <c r="C833" t="inlineStr">
        <is>
          <t>G</t>
        </is>
      </c>
      <c r="D833" t="inlineStr">
        <is>
          <t>T</t>
        </is>
      </c>
      <c r="E833" t="inlineStr">
        <is>
          <t>rs10777617</t>
        </is>
      </c>
      <c r="F833" t="n">
        <v>-0.02333028528</v>
      </c>
      <c r="G833" t="n">
        <v>0.3813440262202118</v>
      </c>
      <c r="H833" t="n">
        <v>0.0146102384073112</v>
      </c>
      <c r="I833" t="n">
        <v>0.2483999834715803</v>
      </c>
      <c r="J833" t="n">
        <v>0.1152237649473309</v>
      </c>
      <c r="K833" t="n">
        <v>0.3204307407206191</v>
      </c>
      <c r="L833" t="b">
        <v>0</v>
      </c>
      <c r="M833" t="b">
        <v>0</v>
      </c>
      <c r="N833" t="inlineStr">
        <is>
          <t>ref</t>
        </is>
      </c>
      <c r="O833" t="n">
        <v>90</v>
      </c>
      <c r="P833" t="n">
        <v>0.00485</v>
      </c>
      <c r="Q833" t="n">
        <v>100</v>
      </c>
      <c r="R833" t="n">
        <v>0.0935</v>
      </c>
      <c r="S833">
        <f>IMAGE("https://mitra.stanford.edu/kundaje/oak/projects/neuro-variants/variant_position/credible/roussos_2024/variant_figures/roussos_2024.childhood.GABA/rs10777617_count_position.png",4,220,900)</f>
        <v/>
      </c>
      <c r="T833">
        <f>IMAGE("https://mitra.stanford.edu/kundaje/oak/projects/neuro-variants/variant_position/credible/roussos_2024/variant_figures/roussos_2024.childhood.GABA/rs10777617_profile_position.png",4,220,900)</f>
        <v/>
      </c>
    </row>
    <row r="834">
      <c r="A834" t="inlineStr">
        <is>
          <t>chr12</t>
        </is>
      </c>
      <c r="B834" t="n">
        <v>94797338</v>
      </c>
      <c r="C834" t="inlineStr">
        <is>
          <t>C</t>
        </is>
      </c>
      <c r="D834" t="inlineStr">
        <is>
          <t>T</t>
        </is>
      </c>
      <c r="E834" t="inlineStr">
        <is>
          <t>rs7311279</t>
        </is>
      </c>
      <c r="F834" t="n">
        <v>-0.0816964042</v>
      </c>
      <c r="G834" t="n">
        <v>0.0553067698814934</v>
      </c>
      <c r="H834" t="n">
        <v>0.0156341008356859</v>
      </c>
      <c r="I834" t="n">
        <v>0.1911258065737717</v>
      </c>
      <c r="J834" t="n">
        <v>0.0221513685577264</v>
      </c>
      <c r="K834" t="n">
        <v>0.6360501444246958</v>
      </c>
      <c r="L834" t="b">
        <v>0</v>
      </c>
      <c r="M834" t="b">
        <v>0</v>
      </c>
      <c r="N834" t="inlineStr">
        <is>
          <t>ref</t>
        </is>
      </c>
      <c r="O834" t="n">
        <v>-5</v>
      </c>
      <c r="P834" t="n">
        <v>0.0002441</v>
      </c>
      <c r="Q834" t="n">
        <v>10</v>
      </c>
      <c r="R834" t="n">
        <v>0.006348</v>
      </c>
      <c r="S834">
        <f>IMAGE("https://mitra.stanford.edu/kundaje/oak/projects/neuro-variants/variant_position/credible/roussos_2024/variant_figures/roussos_2024.childhood.GABA/rs7311279_count_position.png",4,220,900)</f>
        <v/>
      </c>
      <c r="T834">
        <f>IMAGE("https://mitra.stanford.edu/kundaje/oak/projects/neuro-variants/variant_position/credible/roussos_2024/variant_figures/roussos_2024.childhood.GABA/rs7311279_profile_position.png",4,220,900)</f>
        <v/>
      </c>
    </row>
    <row r="835">
      <c r="A835" t="inlineStr">
        <is>
          <t>chr12</t>
        </is>
      </c>
      <c r="B835" t="n">
        <v>94797413</v>
      </c>
      <c r="C835" t="inlineStr">
        <is>
          <t>A</t>
        </is>
      </c>
      <c r="D835" t="inlineStr">
        <is>
          <t>C</t>
        </is>
      </c>
      <c r="E835" t="inlineStr">
        <is>
          <t>rs7311211</t>
        </is>
      </c>
      <c r="F835" t="n">
        <v>0.1915408519999999</v>
      </c>
      <c r="G835" t="n">
        <v>0.0061383417103922</v>
      </c>
      <c r="H835" t="n">
        <v>0.0231205693053963</v>
      </c>
      <c r="I835" t="n">
        <v>0.0441923800283885</v>
      </c>
      <c r="J835" t="n">
        <v>0.0474157609264726</v>
      </c>
      <c r="K835" t="n">
        <v>0.5082666634777425</v>
      </c>
      <c r="L835" t="b">
        <v>1</v>
      </c>
      <c r="M835" t="b">
        <v>1</v>
      </c>
      <c r="N835" t="inlineStr">
        <is>
          <t>alt</t>
        </is>
      </c>
      <c r="O835" t="n">
        <v>-80</v>
      </c>
      <c r="P835" t="n">
        <v>0.01278</v>
      </c>
      <c r="Q835" t="n">
        <v>-65</v>
      </c>
      <c r="R835" t="n">
        <v>0.0925</v>
      </c>
      <c r="S835">
        <f>IMAGE("https://mitra.stanford.edu/kundaje/oak/projects/neuro-variants/variant_position/credible/roussos_2024/variant_figures/roussos_2024.childhood.GABA/rs7311211_count_position.png",4,220,900)</f>
        <v/>
      </c>
      <c r="T835">
        <f>IMAGE("https://mitra.stanford.edu/kundaje/oak/projects/neuro-variants/variant_position/credible/roussos_2024/variant_figures/roussos_2024.childhood.GABA/rs7311211_profile_position.png",4,220,900)</f>
        <v/>
      </c>
    </row>
    <row r="836">
      <c r="A836" t="inlineStr">
        <is>
          <t>chr12</t>
        </is>
      </c>
      <c r="B836" t="n">
        <v>94801919</v>
      </c>
      <c r="C836" t="inlineStr">
        <is>
          <t>G</t>
        </is>
      </c>
      <c r="D836" t="inlineStr">
        <is>
          <t>A</t>
        </is>
      </c>
      <c r="E836" t="inlineStr">
        <is>
          <t>rs11835590</t>
        </is>
      </c>
      <c r="F836" t="n">
        <v>0.0828379766</v>
      </c>
      <c r="G836" t="n">
        <v>0.0441704086819657</v>
      </c>
      <c r="H836" t="n">
        <v>0.01820157931209</v>
      </c>
      <c r="I836" t="n">
        <v>0.1129975861742076</v>
      </c>
      <c r="J836" t="n">
        <v>0.3618290716424787</v>
      </c>
      <c r="K836" t="n">
        <v>0.1007117887892657</v>
      </c>
      <c r="L836" t="b">
        <v>0</v>
      </c>
      <c r="M836" t="b">
        <v>0</v>
      </c>
      <c r="N836" t="inlineStr">
        <is>
          <t>alt</t>
        </is>
      </c>
      <c r="O836" t="n">
        <v>80</v>
      </c>
      <c r="P836" t="n">
        <v>0.02344</v>
      </c>
      <c r="Q836" t="n">
        <v>5</v>
      </c>
      <c r="R836" t="n">
        <v>0.02734</v>
      </c>
      <c r="S836">
        <f>IMAGE("https://mitra.stanford.edu/kundaje/oak/projects/neuro-variants/variant_position/credible/roussos_2024/variant_figures/roussos_2024.childhood.GABA/rs11835590_count_position.png",4,220,900)</f>
        <v/>
      </c>
      <c r="T836">
        <f>IMAGE("https://mitra.stanford.edu/kundaje/oak/projects/neuro-variants/variant_position/credible/roussos_2024/variant_figures/roussos_2024.childhood.GABA/rs11835590_profile_position.png",4,220,900)</f>
        <v/>
      </c>
    </row>
    <row r="837">
      <c r="A837" t="inlineStr">
        <is>
          <t>chr12</t>
        </is>
      </c>
      <c r="B837" t="n">
        <v>99042804</v>
      </c>
      <c r="C837" t="inlineStr">
        <is>
          <t>T</t>
        </is>
      </c>
      <c r="D837" t="inlineStr">
        <is>
          <t>G</t>
        </is>
      </c>
      <c r="E837" t="inlineStr">
        <is>
          <t>rs1319893</t>
        </is>
      </c>
      <c r="F837" t="n">
        <v>-0.0090983946199999</v>
      </c>
      <c r="G837" t="n">
        <v>0.6046501523245613</v>
      </c>
      <c r="H837" t="n">
        <v>0.020162847292791</v>
      </c>
      <c r="I837" t="n">
        <v>0.075760502756003</v>
      </c>
      <c r="J837" t="n">
        <v>0.1280590982387803</v>
      </c>
      <c r="K837" t="n">
        <v>0.3034296699602757</v>
      </c>
      <c r="L837" t="b">
        <v>0</v>
      </c>
      <c r="M837" t="b">
        <v>0</v>
      </c>
      <c r="N837" t="inlineStr">
        <is>
          <t>ref</t>
        </is>
      </c>
      <c r="O837" t="n">
        <v>-80</v>
      </c>
      <c r="P837" t="n">
        <v>0.006832</v>
      </c>
      <c r="Q837" t="n">
        <v>-40</v>
      </c>
      <c r="R837" t="n">
        <v>0.04602</v>
      </c>
      <c r="S837">
        <f>IMAGE("https://mitra.stanford.edu/kundaje/oak/projects/neuro-variants/variant_position/credible/roussos_2024/variant_figures/roussos_2024.childhood.GABA/rs1319893_count_position.png",4,220,900)</f>
        <v/>
      </c>
      <c r="T837">
        <f>IMAGE("https://mitra.stanford.edu/kundaje/oak/projects/neuro-variants/variant_position/credible/roussos_2024/variant_figures/roussos_2024.childhood.GABA/rs1319893_profile_position.png",4,220,900)</f>
        <v/>
      </c>
    </row>
    <row r="838">
      <c r="A838" t="inlineStr">
        <is>
          <t>chr12</t>
        </is>
      </c>
      <c r="B838" t="n">
        <v>99044685</v>
      </c>
      <c r="C838" t="inlineStr">
        <is>
          <t>C</t>
        </is>
      </c>
      <c r="D838" t="inlineStr">
        <is>
          <t>T</t>
        </is>
      </c>
      <c r="E838" t="inlineStr">
        <is>
          <t>rs7311721</t>
        </is>
      </c>
      <c r="F838" t="n">
        <v>-0.105445132</v>
      </c>
      <c r="G838" t="n">
        <v>0.0272709442129143</v>
      </c>
      <c r="H838" t="n">
        <v>0.0139430413900912</v>
      </c>
      <c r="I838" t="n">
        <v>0.281941346780487</v>
      </c>
      <c r="J838" t="n">
        <v>0.1796988544742518</v>
      </c>
      <c r="K838" t="n">
        <v>0.2368365204784863</v>
      </c>
      <c r="L838" t="b">
        <v>0</v>
      </c>
      <c r="M838" t="b">
        <v>0</v>
      </c>
      <c r="N838" t="inlineStr">
        <is>
          <t>ref</t>
        </is>
      </c>
      <c r="O838" t="n">
        <v>95</v>
      </c>
      <c r="P838" t="n">
        <v>0.002998</v>
      </c>
      <c r="Q838" t="n">
        <v>70</v>
      </c>
      <c r="R838" t="n">
        <v>0.02539</v>
      </c>
      <c r="S838">
        <f>IMAGE("https://mitra.stanford.edu/kundaje/oak/projects/neuro-variants/variant_position/credible/roussos_2024/variant_figures/roussos_2024.childhood.GABA/rs7311721_count_position.png",4,220,900)</f>
        <v/>
      </c>
      <c r="T838">
        <f>IMAGE("https://mitra.stanford.edu/kundaje/oak/projects/neuro-variants/variant_position/credible/roussos_2024/variant_figures/roussos_2024.childhood.GABA/rs7311721_profile_position.png",4,220,900)</f>
        <v/>
      </c>
    </row>
    <row r="839">
      <c r="A839" t="inlineStr">
        <is>
          <t>chr12</t>
        </is>
      </c>
      <c r="B839" t="n">
        <v>99046453</v>
      </c>
      <c r="C839" t="inlineStr">
        <is>
          <t>G</t>
        </is>
      </c>
      <c r="D839" t="inlineStr">
        <is>
          <t>A</t>
        </is>
      </c>
      <c r="E839" t="inlineStr">
        <is>
          <t>rs7955942</t>
        </is>
      </c>
      <c r="F839" t="n">
        <v>0.009490576599999899</v>
      </c>
      <c r="G839" t="n">
        <v>0.6130484403229155</v>
      </c>
      <c r="H839" t="n">
        <v>0.008184310674656499</v>
      </c>
      <c r="I839" t="n">
        <v>0.8316548213214997</v>
      </c>
      <c r="J839" t="n">
        <v>0.0116206990429519</v>
      </c>
      <c r="K839" t="n">
        <v>0.721972220864738</v>
      </c>
      <c r="L839" t="b">
        <v>0</v>
      </c>
      <c r="M839" t="b">
        <v>0</v>
      </c>
      <c r="N839" t="inlineStr">
        <is>
          <t>alt</t>
        </is>
      </c>
      <c r="O839" t="n">
        <v>-95</v>
      </c>
      <c r="P839" t="n">
        <v>0.01432</v>
      </c>
      <c r="Q839" t="n">
        <v>85</v>
      </c>
      <c r="R839" t="n">
        <v>0.0381</v>
      </c>
      <c r="S839">
        <f>IMAGE("https://mitra.stanford.edu/kundaje/oak/projects/neuro-variants/variant_position/credible/roussos_2024/variant_figures/roussos_2024.childhood.GABA/rs7955942_count_position.png",4,220,900)</f>
        <v/>
      </c>
      <c r="T839">
        <f>IMAGE("https://mitra.stanford.edu/kundaje/oak/projects/neuro-variants/variant_position/credible/roussos_2024/variant_figures/roussos_2024.childhood.GABA/rs7955942_profile_position.png",4,220,900)</f>
        <v/>
      </c>
    </row>
    <row r="840">
      <c r="A840" t="inlineStr">
        <is>
          <t>chr12</t>
        </is>
      </c>
      <c r="B840" t="n">
        <v>99050654</v>
      </c>
      <c r="C840" t="inlineStr">
        <is>
          <t>A</t>
        </is>
      </c>
      <c r="D840" t="inlineStr">
        <is>
          <t>G</t>
        </is>
      </c>
      <c r="E840" t="inlineStr">
        <is>
          <t>rs1814453</t>
        </is>
      </c>
      <c r="F840" t="n">
        <v>0.0431721744</v>
      </c>
      <c r="G840" t="n">
        <v>0.1766757535534889</v>
      </c>
      <c r="H840" t="n">
        <v>0.0112609692802896</v>
      </c>
      <c r="I840" t="n">
        <v>0.5082909334117007</v>
      </c>
      <c r="J840" t="n">
        <v>0.0240822181734413</v>
      </c>
      <c r="K840" t="n">
        <v>0.6281621170170156</v>
      </c>
      <c r="L840" t="b">
        <v>0</v>
      </c>
      <c r="M840" t="b">
        <v>0</v>
      </c>
      <c r="N840" t="inlineStr">
        <is>
          <t>alt</t>
        </is>
      </c>
      <c r="O840" t="n">
        <v>95</v>
      </c>
      <c r="P840" t="n">
        <v>0.05505</v>
      </c>
      <c r="Q840" t="n">
        <v>80</v>
      </c>
      <c r="R840" t="n">
        <v>0.03305</v>
      </c>
      <c r="S840">
        <f>IMAGE("https://mitra.stanford.edu/kundaje/oak/projects/neuro-variants/variant_position/credible/roussos_2024/variant_figures/roussos_2024.childhood.GABA/rs1814453_count_position.png",4,220,900)</f>
        <v/>
      </c>
      <c r="T840">
        <f>IMAGE("https://mitra.stanford.edu/kundaje/oak/projects/neuro-variants/variant_position/credible/roussos_2024/variant_figures/roussos_2024.childhood.GABA/rs1814453_profile_position.png",4,220,900)</f>
        <v/>
      </c>
    </row>
    <row r="841">
      <c r="A841" t="inlineStr">
        <is>
          <t>chr12</t>
        </is>
      </c>
      <c r="B841" t="n">
        <v>99053361</v>
      </c>
      <c r="C841" t="inlineStr">
        <is>
          <t>C</t>
        </is>
      </c>
      <c r="D841" t="inlineStr">
        <is>
          <t>A</t>
        </is>
      </c>
      <c r="E841" t="inlineStr">
        <is>
          <t>rs3794799</t>
        </is>
      </c>
      <c r="F841" t="n">
        <v>0.03034400752</v>
      </c>
      <c r="G841" t="n">
        <v>0.2993482769977891</v>
      </c>
      <c r="H841" t="n">
        <v>0.0210677543382627</v>
      </c>
      <c r="I841" t="n">
        <v>0.0599449643716197</v>
      </c>
      <c r="J841" t="n">
        <v>0.180861133798245</v>
      </c>
      <c r="K841" t="n">
        <v>0.2298598970675034</v>
      </c>
      <c r="L841" t="b">
        <v>0</v>
      </c>
      <c r="M841" t="b">
        <v>0</v>
      </c>
      <c r="N841" t="inlineStr">
        <is>
          <t>alt</t>
        </is>
      </c>
      <c r="O841" t="n">
        <v>75</v>
      </c>
      <c r="P841" t="n">
        <v>0.02974</v>
      </c>
      <c r="Q841" t="n">
        <v>80</v>
      </c>
      <c r="R841" t="n">
        <v>0.1985</v>
      </c>
      <c r="S841">
        <f>IMAGE("https://mitra.stanford.edu/kundaje/oak/projects/neuro-variants/variant_position/credible/roussos_2024/variant_figures/roussos_2024.childhood.GABA/rs3794799_count_position.png",4,220,900)</f>
        <v/>
      </c>
      <c r="T841">
        <f>IMAGE("https://mitra.stanford.edu/kundaje/oak/projects/neuro-variants/variant_position/credible/roussos_2024/variant_figures/roussos_2024.childhood.GABA/rs3794799_profile_position.png",4,220,900)</f>
        <v/>
      </c>
    </row>
    <row r="842">
      <c r="A842" t="inlineStr">
        <is>
          <t>chr12</t>
        </is>
      </c>
      <c r="B842" t="n">
        <v>99068591</v>
      </c>
      <c r="C842" t="inlineStr">
        <is>
          <t>A</t>
        </is>
      </c>
      <c r="D842" t="inlineStr">
        <is>
          <t>G</t>
        </is>
      </c>
      <c r="E842" t="inlineStr">
        <is>
          <t>rs6419378</t>
        </is>
      </c>
      <c r="F842" t="n">
        <v>0.00486967866</v>
      </c>
      <c r="G842" t="n">
        <v>0.7714835545656664</v>
      </c>
      <c r="H842" t="n">
        <v>0.0230416890586903</v>
      </c>
      <c r="I842" t="n">
        <v>0.0410561677435498</v>
      </c>
      <c r="J842" t="n">
        <v>0.0121924148185377</v>
      </c>
      <c r="K842" t="n">
        <v>0.7213887383431268</v>
      </c>
      <c r="L842" t="b">
        <v>0</v>
      </c>
      <c r="M842" t="b">
        <v>0</v>
      </c>
      <c r="N842" t="inlineStr">
        <is>
          <t>alt</t>
        </is>
      </c>
      <c r="O842" t="n">
        <v>-100</v>
      </c>
      <c r="P842" t="n">
        <v>0.002754</v>
      </c>
      <c r="Q842" t="n">
        <v>100</v>
      </c>
      <c r="R842" t="n">
        <v>0.10205</v>
      </c>
      <c r="S842">
        <f>IMAGE("https://mitra.stanford.edu/kundaje/oak/projects/neuro-variants/variant_position/credible/roussos_2024/variant_figures/roussos_2024.childhood.GABA/rs6419378_count_position.png",4,220,900)</f>
        <v/>
      </c>
      <c r="T842">
        <f>IMAGE("https://mitra.stanford.edu/kundaje/oak/projects/neuro-variants/variant_position/credible/roussos_2024/variant_figures/roussos_2024.childhood.GABA/rs6419378_profile_position.png",4,220,900)</f>
        <v/>
      </c>
    </row>
    <row r="843">
      <c r="A843" t="inlineStr">
        <is>
          <t>chr12</t>
        </is>
      </c>
      <c r="B843" t="n">
        <v>99073457</v>
      </c>
      <c r="C843" t="inlineStr">
        <is>
          <t>T</t>
        </is>
      </c>
      <c r="D843" t="inlineStr">
        <is>
          <t>C</t>
        </is>
      </c>
      <c r="E843" t="inlineStr">
        <is>
          <t>rs2372634</t>
        </is>
      </c>
      <c r="F843" t="n">
        <v>0.00924997002</v>
      </c>
      <c r="G843" t="n">
        <v>0.640007823966343</v>
      </c>
      <c r="H843" t="n">
        <v>0.0135683694716344</v>
      </c>
      <c r="I843" t="n">
        <v>0.3081349599744796</v>
      </c>
      <c r="J843" t="n">
        <v>0.0217534711314946</v>
      </c>
      <c r="K843" t="n">
        <v>0.635733539734251</v>
      </c>
      <c r="L843" t="b">
        <v>0</v>
      </c>
      <c r="M843" t="b">
        <v>0</v>
      </c>
      <c r="N843" t="inlineStr">
        <is>
          <t>alt</t>
        </is>
      </c>
      <c r="O843" t="n">
        <v>-5</v>
      </c>
      <c r="P843" t="n">
        <v>8.01e-05</v>
      </c>
      <c r="Q843" t="n">
        <v>75</v>
      </c>
      <c r="R843" t="n">
        <v>0.05115</v>
      </c>
      <c r="S843">
        <f>IMAGE("https://mitra.stanford.edu/kundaje/oak/projects/neuro-variants/variant_position/credible/roussos_2024/variant_figures/roussos_2024.childhood.GABA/rs2372634_count_position.png",4,220,900)</f>
        <v/>
      </c>
      <c r="T843">
        <f>IMAGE("https://mitra.stanford.edu/kundaje/oak/projects/neuro-variants/variant_position/credible/roussos_2024/variant_figures/roussos_2024.childhood.GABA/rs2372634_profile_position.png",4,220,900)</f>
        <v/>
      </c>
    </row>
    <row r="844">
      <c r="A844" t="inlineStr">
        <is>
          <t>chr12</t>
        </is>
      </c>
      <c r="B844" t="n">
        <v>99074034</v>
      </c>
      <c r="C844" t="inlineStr">
        <is>
          <t>C</t>
        </is>
      </c>
      <c r="D844" t="inlineStr">
        <is>
          <t>T</t>
        </is>
      </c>
      <c r="E844" t="inlineStr">
        <is>
          <t>rs7975384</t>
        </is>
      </c>
      <c r="F844" t="n">
        <v>0.0057218467739999</v>
      </c>
      <c r="G844" t="n">
        <v>0.6618309505517885</v>
      </c>
      <c r="H844" t="n">
        <v>0.0145822811129102</v>
      </c>
      <c r="I844" t="n">
        <v>0.2471048733396034</v>
      </c>
      <c r="J844" t="n">
        <v>0.1201346568658247</v>
      </c>
      <c r="K844" t="n">
        <v>0.317575072357433</v>
      </c>
      <c r="L844" t="b">
        <v>0</v>
      </c>
      <c r="M844" t="b">
        <v>0</v>
      </c>
      <c r="N844" t="inlineStr">
        <is>
          <t>alt</t>
        </is>
      </c>
      <c r="O844" t="n">
        <v>30</v>
      </c>
      <c r="P844" t="n">
        <v>0.000909</v>
      </c>
      <c r="Q844" t="n">
        <v>90</v>
      </c>
      <c r="R844" t="n">
        <v>0.1945</v>
      </c>
      <c r="S844">
        <f>IMAGE("https://mitra.stanford.edu/kundaje/oak/projects/neuro-variants/variant_position/credible/roussos_2024/variant_figures/roussos_2024.childhood.GABA/rs7975384_count_position.png",4,220,900)</f>
        <v/>
      </c>
      <c r="T844">
        <f>IMAGE("https://mitra.stanford.edu/kundaje/oak/projects/neuro-variants/variant_position/credible/roussos_2024/variant_figures/roussos_2024.childhood.GABA/rs7975384_profile_position.png",4,220,900)</f>
        <v/>
      </c>
    </row>
    <row r="845">
      <c r="A845" t="inlineStr">
        <is>
          <t>chr12</t>
        </is>
      </c>
      <c r="B845" t="n">
        <v>99075330</v>
      </c>
      <c r="C845" t="inlineStr">
        <is>
          <t>A</t>
        </is>
      </c>
      <c r="D845" t="inlineStr">
        <is>
          <t>G</t>
        </is>
      </c>
      <c r="E845" t="inlineStr">
        <is>
          <t>rs2372636</t>
        </is>
      </c>
      <c r="F845" t="n">
        <v>0.0898915158</v>
      </c>
      <c r="G845" t="n">
        <v>0.0385717222849134</v>
      </c>
      <c r="H845" t="n">
        <v>0.0195544559978224</v>
      </c>
      <c r="I845" t="n">
        <v>0.0821785306986815</v>
      </c>
      <c r="J845" t="n">
        <v>0.0025392138384536</v>
      </c>
      <c r="K845" t="n">
        <v>0.8687940200647748</v>
      </c>
      <c r="L845" t="b">
        <v>0</v>
      </c>
      <c r="M845" t="b">
        <v>0</v>
      </c>
      <c r="N845" t="inlineStr">
        <is>
          <t>alt</t>
        </is>
      </c>
      <c r="O845" t="n">
        <v>-95</v>
      </c>
      <c r="P845" t="n">
        <v>0.002357</v>
      </c>
      <c r="Q845" t="n">
        <v>10</v>
      </c>
      <c r="R845" t="n">
        <v>0.02188</v>
      </c>
      <c r="S845">
        <f>IMAGE("https://mitra.stanford.edu/kundaje/oak/projects/neuro-variants/variant_position/credible/roussos_2024/variant_figures/roussos_2024.childhood.GABA/rs2372636_count_position.png",4,220,900)</f>
        <v/>
      </c>
      <c r="T845">
        <f>IMAGE("https://mitra.stanford.edu/kundaje/oak/projects/neuro-variants/variant_position/credible/roussos_2024/variant_figures/roussos_2024.childhood.GABA/rs2372636_profile_position.png",4,220,900)</f>
        <v/>
      </c>
    </row>
    <row r="846">
      <c r="A846" t="inlineStr">
        <is>
          <t>chr12</t>
        </is>
      </c>
      <c r="B846" t="n">
        <v>99077062</v>
      </c>
      <c r="C846" t="inlineStr">
        <is>
          <t>G</t>
        </is>
      </c>
      <c r="D846" t="inlineStr">
        <is>
          <t>A</t>
        </is>
      </c>
      <c r="E846" t="inlineStr">
        <is>
          <t>rs2372638</t>
        </is>
      </c>
      <c r="F846" t="n">
        <v>-0.0161456181</v>
      </c>
      <c r="G846" t="n">
        <v>0.4912283664725783</v>
      </c>
      <c r="H846" t="n">
        <v>0.0201437925860832</v>
      </c>
      <c r="I846" t="n">
        <v>0.0731941417096164</v>
      </c>
      <c r="J846" t="n">
        <v>0.0954880526062281</v>
      </c>
      <c r="K846" t="n">
        <v>0.3616205323025432</v>
      </c>
      <c r="L846" t="b">
        <v>0</v>
      </c>
      <c r="M846" t="b">
        <v>0</v>
      </c>
      <c r="N846" t="inlineStr">
        <is>
          <t>ref</t>
        </is>
      </c>
      <c r="O846" t="n">
        <v>-100</v>
      </c>
      <c r="P846" t="n">
        <v>0.01569</v>
      </c>
      <c r="Q846" t="n">
        <v>-80</v>
      </c>
      <c r="R846" t="n">
        <v>0.2075</v>
      </c>
      <c r="S846">
        <f>IMAGE("https://mitra.stanford.edu/kundaje/oak/projects/neuro-variants/variant_position/credible/roussos_2024/variant_figures/roussos_2024.childhood.GABA/rs2372638_count_position.png",4,220,900)</f>
        <v/>
      </c>
      <c r="T846">
        <f>IMAGE("https://mitra.stanford.edu/kundaje/oak/projects/neuro-variants/variant_position/credible/roussos_2024/variant_figures/roussos_2024.childhood.GABA/rs2372638_profile_position.png",4,220,900)</f>
        <v/>
      </c>
    </row>
    <row r="847">
      <c r="A847" t="inlineStr">
        <is>
          <t>chr12</t>
        </is>
      </c>
      <c r="B847" t="n">
        <v>99080758</v>
      </c>
      <c r="C847" t="inlineStr">
        <is>
          <t>T</t>
        </is>
      </c>
      <c r="D847" t="inlineStr">
        <is>
          <t>G</t>
        </is>
      </c>
      <c r="E847" t="inlineStr">
        <is>
          <t>rs7137868</t>
        </is>
      </c>
      <c r="F847" t="n">
        <v>-0.0023804683</v>
      </c>
      <c r="G847" t="n">
        <v>0.879114727530196</v>
      </c>
      <c r="H847" t="n">
        <v>0.0246957656321491</v>
      </c>
      <c r="I847" t="n">
        <v>0.0308806433534798</v>
      </c>
      <c r="J847" t="n">
        <v>0.1332160583024439</v>
      </c>
      <c r="K847" t="n">
        <v>0.2989109555606362</v>
      </c>
      <c r="L847" t="b">
        <v>0</v>
      </c>
      <c r="M847" t="b">
        <v>0</v>
      </c>
      <c r="N847" t="inlineStr">
        <is>
          <t>ref</t>
        </is>
      </c>
      <c r="O847" t="n">
        <v>15</v>
      </c>
      <c r="P847" t="n">
        <v>0.002007</v>
      </c>
      <c r="Q847" t="n">
        <v>-100</v>
      </c>
      <c r="R847" t="n">
        <v>0.05457</v>
      </c>
      <c r="S847">
        <f>IMAGE("https://mitra.stanford.edu/kundaje/oak/projects/neuro-variants/variant_position/credible/roussos_2024/variant_figures/roussos_2024.childhood.GABA/rs7137868_count_position.png",4,220,900)</f>
        <v/>
      </c>
      <c r="T847">
        <f>IMAGE("https://mitra.stanford.edu/kundaje/oak/projects/neuro-variants/variant_position/credible/roussos_2024/variant_figures/roussos_2024.childhood.GABA/rs7137868_profile_position.png",4,220,900)</f>
        <v/>
      </c>
    </row>
    <row r="848">
      <c r="A848" t="inlineStr">
        <is>
          <t>chr12</t>
        </is>
      </c>
      <c r="B848" t="n">
        <v>99087094</v>
      </c>
      <c r="C848" t="inlineStr">
        <is>
          <t>A</t>
        </is>
      </c>
      <c r="D848" t="inlineStr">
        <is>
          <t>C</t>
        </is>
      </c>
      <c r="E848" t="inlineStr">
        <is>
          <t>rs6538897</t>
        </is>
      </c>
      <c r="F848" t="n">
        <v>0.0109475818</v>
      </c>
      <c r="G848" t="n">
        <v>0.5715339136680697</v>
      </c>
      <c r="H848" t="n">
        <v>0.0216321052736172</v>
      </c>
      <c r="I848" t="n">
        <v>0.0532777057157132</v>
      </c>
      <c r="J848" t="n">
        <v>0.1920891709074155</v>
      </c>
      <c r="K848" t="n">
        <v>0.2241258331776041</v>
      </c>
      <c r="L848" t="b">
        <v>0</v>
      </c>
      <c r="M848" t="b">
        <v>0</v>
      </c>
      <c r="N848" t="inlineStr">
        <is>
          <t>alt</t>
        </is>
      </c>
      <c r="O848" t="n">
        <v>-95</v>
      </c>
      <c r="P848" t="n">
        <v>0.006287</v>
      </c>
      <c r="Q848" t="n">
        <v>100</v>
      </c>
      <c r="R848" t="n">
        <v>0.0818</v>
      </c>
      <c r="S848">
        <f>IMAGE("https://mitra.stanford.edu/kundaje/oak/projects/neuro-variants/variant_position/credible/roussos_2024/variant_figures/roussos_2024.childhood.GABA/rs6538897_count_position.png",4,220,900)</f>
        <v/>
      </c>
      <c r="T848">
        <f>IMAGE("https://mitra.stanford.edu/kundaje/oak/projects/neuro-variants/variant_position/credible/roussos_2024/variant_figures/roussos_2024.childhood.GABA/rs6538897_profile_position.png",4,220,900)</f>
        <v/>
      </c>
    </row>
    <row r="849">
      <c r="A849" t="inlineStr">
        <is>
          <t>chr12</t>
        </is>
      </c>
      <c r="B849" t="n">
        <v>99087253</v>
      </c>
      <c r="C849" t="inlineStr">
        <is>
          <t>T</t>
        </is>
      </c>
      <c r="D849" t="inlineStr">
        <is>
          <t>A</t>
        </is>
      </c>
      <c r="E849" t="inlineStr">
        <is>
          <t>rs7299393</t>
        </is>
      </c>
      <c r="F849" t="n">
        <v>-0.142216438</v>
      </c>
      <c r="G849" t="n">
        <v>0.011586866314879</v>
      </c>
      <c r="H849" t="n">
        <v>0.0210160972149295</v>
      </c>
      <c r="I849" t="n">
        <v>0.06362802407826409</v>
      </c>
      <c r="J849" t="n">
        <v>0.2411090867206969</v>
      </c>
      <c r="K849" t="n">
        <v>0.1786011110949765</v>
      </c>
      <c r="L849" t="b">
        <v>1</v>
      </c>
      <c r="M849" t="b">
        <v>0</v>
      </c>
      <c r="N849" t="inlineStr">
        <is>
          <t>ref</t>
        </is>
      </c>
      <c r="O849" t="n">
        <v>100</v>
      </c>
      <c r="P849" t="n">
        <v>0.0615</v>
      </c>
      <c r="Q849" t="n">
        <v>100</v>
      </c>
      <c r="R849" t="n">
        <v>0.1996</v>
      </c>
      <c r="S849">
        <f>IMAGE("https://mitra.stanford.edu/kundaje/oak/projects/neuro-variants/variant_position/credible/roussos_2024/variant_figures/roussos_2024.childhood.GABA/rs7299393_count_position.png",4,220,900)</f>
        <v/>
      </c>
      <c r="T849">
        <f>IMAGE("https://mitra.stanford.edu/kundaje/oak/projects/neuro-variants/variant_position/credible/roussos_2024/variant_figures/roussos_2024.childhood.GABA/rs7299393_profile_position.png",4,220,900)</f>
        <v/>
      </c>
    </row>
    <row r="850">
      <c r="A850" t="inlineStr">
        <is>
          <t>chr12</t>
        </is>
      </c>
      <c r="B850" t="n">
        <v>99098767</v>
      </c>
      <c r="C850" t="inlineStr">
        <is>
          <t>C</t>
        </is>
      </c>
      <c r="D850" t="inlineStr">
        <is>
          <t>T</t>
        </is>
      </c>
      <c r="E850" t="inlineStr">
        <is>
          <t>rs10860390</t>
        </is>
      </c>
      <c r="F850" t="n">
        <v>-0.0601842546</v>
      </c>
      <c r="G850" t="n">
        <v>0.1131384934291</v>
      </c>
      <c r="H850" t="n">
        <v>0.0110174063229638</v>
      </c>
      <c r="I850" t="n">
        <v>0.4967539581354369</v>
      </c>
      <c r="J850" t="n">
        <v>0.2547590626374316</v>
      </c>
      <c r="K850" t="n">
        <v>0.1659272605984085</v>
      </c>
      <c r="L850" t="b">
        <v>0</v>
      </c>
      <c r="M850" t="b">
        <v>0</v>
      </c>
      <c r="N850" t="inlineStr">
        <is>
          <t>ref</t>
        </is>
      </c>
      <c r="O850" t="n">
        <v>-50</v>
      </c>
      <c r="P850" t="n">
        <v>0.06836</v>
      </c>
      <c r="Q850" t="n">
        <v>-45</v>
      </c>
      <c r="R850" t="n">
        <v>0.1173</v>
      </c>
      <c r="S850">
        <f>IMAGE("https://mitra.stanford.edu/kundaje/oak/projects/neuro-variants/variant_position/credible/roussos_2024/variant_figures/roussos_2024.childhood.GABA/rs10860390_count_position.png",4,220,900)</f>
        <v/>
      </c>
      <c r="T850">
        <f>IMAGE("https://mitra.stanford.edu/kundaje/oak/projects/neuro-variants/variant_position/credible/roussos_2024/variant_figures/roussos_2024.childhood.GABA/rs10860390_profile_position.png",4,220,900)</f>
        <v/>
      </c>
    </row>
    <row r="851">
      <c r="A851" t="inlineStr">
        <is>
          <t>chr12</t>
        </is>
      </c>
      <c r="B851" t="n">
        <v>99099957</v>
      </c>
      <c r="C851" t="inlineStr">
        <is>
          <t>G</t>
        </is>
      </c>
      <c r="D851" t="inlineStr">
        <is>
          <t>C</t>
        </is>
      </c>
      <c r="E851" t="inlineStr">
        <is>
          <t>rs10745841</t>
        </is>
      </c>
      <c r="F851" t="n">
        <v>-0.081496666</v>
      </c>
      <c r="G851" t="n">
        <v>0.0558072567353554</v>
      </c>
      <c r="H851" t="n">
        <v>0.0217168737923701</v>
      </c>
      <c r="I851" t="n">
        <v>0.0550760945727791</v>
      </c>
      <c r="J851" t="n">
        <v>0.0356547506858494</v>
      </c>
      <c r="K851" t="n">
        <v>0.5620049852337667</v>
      </c>
      <c r="L851" t="b">
        <v>0</v>
      </c>
      <c r="M851" t="b">
        <v>0</v>
      </c>
      <c r="N851" t="inlineStr">
        <is>
          <t>ref</t>
        </is>
      </c>
      <c r="O851" t="n">
        <v>-90</v>
      </c>
      <c r="P851" t="n">
        <v>0.03476</v>
      </c>
      <c r="Q851" t="n">
        <v>0</v>
      </c>
      <c r="R851" t="n">
        <v>0</v>
      </c>
      <c r="S851">
        <f>IMAGE("https://mitra.stanford.edu/kundaje/oak/projects/neuro-variants/variant_position/credible/roussos_2024/variant_figures/roussos_2024.childhood.GABA/rs10745841_count_position.png",4,220,900)</f>
        <v/>
      </c>
      <c r="T851">
        <f>IMAGE("https://mitra.stanford.edu/kundaje/oak/projects/neuro-variants/variant_position/credible/roussos_2024/variant_figures/roussos_2024.childhood.GABA/rs10745841_profile_position.png",4,220,900)</f>
        <v/>
      </c>
    </row>
    <row r="852">
      <c r="A852" t="inlineStr">
        <is>
          <t>chr12</t>
        </is>
      </c>
      <c r="B852" t="n">
        <v>103913338</v>
      </c>
      <c r="C852" t="inlineStr">
        <is>
          <t>A</t>
        </is>
      </c>
      <c r="D852" t="inlineStr">
        <is>
          <t>C</t>
        </is>
      </c>
      <c r="E852" t="inlineStr">
        <is>
          <t>rs80096598</t>
        </is>
      </c>
      <c r="F852" t="n">
        <v>0.1238815638</v>
      </c>
      <c r="G852" t="n">
        <v>0.0168972531770249</v>
      </c>
      <c r="H852" t="n">
        <v>0.0212606009010742</v>
      </c>
      <c r="I852" t="n">
        <v>0.0605236096759081</v>
      </c>
      <c r="J852" t="n">
        <v>0.1923729345982283</v>
      </c>
      <c r="K852" t="n">
        <v>0.230008372652076</v>
      </c>
      <c r="L852" t="b">
        <v>1</v>
      </c>
      <c r="M852" t="b">
        <v>0</v>
      </c>
      <c r="N852" t="inlineStr">
        <is>
          <t>alt</t>
        </is>
      </c>
      <c r="O852" t="n">
        <v>35</v>
      </c>
      <c r="P852" t="n">
        <v>0.0017395</v>
      </c>
      <c r="Q852" t="n">
        <v>70</v>
      </c>
      <c r="R852" t="n">
        <v>0.0625</v>
      </c>
      <c r="S852">
        <f>IMAGE("https://mitra.stanford.edu/kundaje/oak/projects/neuro-variants/variant_position/credible/roussos_2024/variant_figures/roussos_2024.childhood.GABA/rs80096598_count_position.png",4,220,900)</f>
        <v/>
      </c>
      <c r="T852">
        <f>IMAGE("https://mitra.stanford.edu/kundaje/oak/projects/neuro-variants/variant_position/credible/roussos_2024/variant_figures/roussos_2024.childhood.GABA/rs80096598_profile_position.png",4,220,900)</f>
        <v/>
      </c>
    </row>
    <row r="853">
      <c r="A853" t="inlineStr">
        <is>
          <t>chr12</t>
        </is>
      </c>
      <c r="B853" t="n">
        <v>103948094</v>
      </c>
      <c r="C853" t="inlineStr">
        <is>
          <t>G</t>
        </is>
      </c>
      <c r="D853" t="inlineStr">
        <is>
          <t>A</t>
        </is>
      </c>
      <c r="E853" t="inlineStr">
        <is>
          <t>rs117856328</t>
        </is>
      </c>
      <c r="F853" t="n">
        <v>-0.0591840902</v>
      </c>
      <c r="G853" t="n">
        <v>0.1067535594122424</v>
      </c>
      <c r="H853" t="n">
        <v>0.0126934421695778</v>
      </c>
      <c r="I853" t="n">
        <v>0.3768739688384496</v>
      </c>
      <c r="J853" t="n">
        <v>0.0143818977613034</v>
      </c>
      <c r="K853" t="n">
        <v>0.6939205098535767</v>
      </c>
      <c r="L853" t="b">
        <v>0</v>
      </c>
      <c r="M853" t="b">
        <v>0</v>
      </c>
      <c r="N853" t="inlineStr">
        <is>
          <t>ref</t>
        </is>
      </c>
      <c r="O853" t="n">
        <v>-75</v>
      </c>
      <c r="P853" t="n">
        <v>0.003586</v>
      </c>
      <c r="Q853" t="n">
        <v>85</v>
      </c>
      <c r="R853" t="n">
        <v>0.0324</v>
      </c>
      <c r="S853">
        <f>IMAGE("https://mitra.stanford.edu/kundaje/oak/projects/neuro-variants/variant_position/credible/roussos_2024/variant_figures/roussos_2024.childhood.GABA/rs117856328_count_position.png",4,220,900)</f>
        <v/>
      </c>
      <c r="T853">
        <f>IMAGE("https://mitra.stanford.edu/kundaje/oak/projects/neuro-variants/variant_position/credible/roussos_2024/variant_figures/roussos_2024.childhood.GABA/rs117856328_profile_position.png",4,220,900)</f>
        <v/>
      </c>
    </row>
    <row r="854">
      <c r="A854" t="inlineStr">
        <is>
          <t>chr12</t>
        </is>
      </c>
      <c r="B854" t="n">
        <v>103962513</v>
      </c>
      <c r="C854" t="inlineStr">
        <is>
          <t>T</t>
        </is>
      </c>
      <c r="D854" t="inlineStr">
        <is>
          <t>C</t>
        </is>
      </c>
      <c r="E854" t="inlineStr">
        <is>
          <t>rs77165492</t>
        </is>
      </c>
      <c r="F854" t="n">
        <v>0.0122122168</v>
      </c>
      <c r="G854" t="n">
        <v>0.5544734497073173</v>
      </c>
      <c r="H854" t="n">
        <v>0.0083391001129819</v>
      </c>
      <c r="I854" t="n">
        <v>0.8274278757117801</v>
      </c>
      <c r="J854" t="n">
        <v>0.2029622416284475</v>
      </c>
      <c r="K854" t="n">
        <v>0.212624958085778</v>
      </c>
      <c r="L854" t="b">
        <v>0</v>
      </c>
      <c r="M854" t="b">
        <v>0</v>
      </c>
      <c r="N854" t="inlineStr">
        <is>
          <t>alt</t>
        </is>
      </c>
      <c r="O854" t="n">
        <v>-100</v>
      </c>
      <c r="P854" t="n">
        <v>0.03084</v>
      </c>
      <c r="Q854" t="n">
        <v>100</v>
      </c>
      <c r="R854" t="n">
        <v>0.2191</v>
      </c>
      <c r="S854">
        <f>IMAGE("https://mitra.stanford.edu/kundaje/oak/projects/neuro-variants/variant_position/credible/roussos_2024/variant_figures/roussos_2024.childhood.GABA/rs77165492_count_position.png",4,220,900)</f>
        <v/>
      </c>
      <c r="T854">
        <f>IMAGE("https://mitra.stanford.edu/kundaje/oak/projects/neuro-variants/variant_position/credible/roussos_2024/variant_figures/roussos_2024.childhood.GABA/rs77165492_profile_position.png",4,220,900)</f>
        <v/>
      </c>
    </row>
    <row r="855">
      <c r="A855" t="inlineStr">
        <is>
          <t>chr12</t>
        </is>
      </c>
      <c r="B855" t="n">
        <v>103964469</v>
      </c>
      <c r="C855" t="inlineStr">
        <is>
          <t>C</t>
        </is>
      </c>
      <c r="D855" t="inlineStr">
        <is>
          <t>A</t>
        </is>
      </c>
      <c r="E855" t="inlineStr">
        <is>
          <t>rs76093694</t>
        </is>
      </c>
      <c r="F855" t="n">
        <v>-0.01077166174</v>
      </c>
      <c r="G855" t="n">
        <v>0.6347994057161764</v>
      </c>
      <c r="H855" t="n">
        <v>0.0089691544843769</v>
      </c>
      <c r="I855" t="n">
        <v>0.7482380712500315</v>
      </c>
      <c r="J855" t="n">
        <v>0.131846453477414</v>
      </c>
      <c r="K855" t="n">
        <v>0.3035972217731458</v>
      </c>
      <c r="L855" t="b">
        <v>0</v>
      </c>
      <c r="M855" t="b">
        <v>0</v>
      </c>
      <c r="N855" t="inlineStr">
        <is>
          <t>ref</t>
        </is>
      </c>
      <c r="O855" t="n">
        <v>-100</v>
      </c>
      <c r="P855" t="n">
        <v>0.00839</v>
      </c>
      <c r="Q855" t="n">
        <v>30</v>
      </c>
      <c r="R855" t="n">
        <v>0.0646</v>
      </c>
      <c r="S855">
        <f>IMAGE("https://mitra.stanford.edu/kundaje/oak/projects/neuro-variants/variant_position/credible/roussos_2024/variant_figures/roussos_2024.childhood.GABA/rs76093694_count_position.png",4,220,900)</f>
        <v/>
      </c>
      <c r="T855">
        <f>IMAGE("https://mitra.stanford.edu/kundaje/oak/projects/neuro-variants/variant_position/credible/roussos_2024/variant_figures/roussos_2024.childhood.GABA/rs76093694_profile_position.png",4,220,900)</f>
        <v/>
      </c>
    </row>
    <row r="856">
      <c r="A856" t="inlineStr">
        <is>
          <t>chr12</t>
        </is>
      </c>
      <c r="B856" t="n">
        <v>104158934</v>
      </c>
      <c r="C856" t="inlineStr">
        <is>
          <t>G</t>
        </is>
      </c>
      <c r="D856" t="inlineStr">
        <is>
          <t>T</t>
        </is>
      </c>
      <c r="E856" t="inlineStr">
        <is>
          <t>rs12582033</t>
        </is>
      </c>
      <c r="F856" t="n">
        <v>0.00413610054</v>
      </c>
      <c r="G856" t="n">
        <v>0.789431738585652</v>
      </c>
      <c r="H856" t="n">
        <v>0.0323279210001776</v>
      </c>
      <c r="I856" t="n">
        <v>0.009319446978697901</v>
      </c>
      <c r="J856" t="n">
        <v>0.0009916022701094</v>
      </c>
      <c r="K856" t="n">
        <v>0.9115147674812422</v>
      </c>
      <c r="L856" t="b">
        <v>0</v>
      </c>
      <c r="M856" t="b">
        <v>0</v>
      </c>
      <c r="N856" t="inlineStr">
        <is>
          <t>alt</t>
        </is>
      </c>
      <c r="O856" t="n">
        <v>85</v>
      </c>
      <c r="P856" t="n">
        <v>0.015305</v>
      </c>
      <c r="Q856" t="n">
        <v>65</v>
      </c>
      <c r="R856" t="n">
        <v>0.0482</v>
      </c>
      <c r="S856">
        <f>IMAGE("https://mitra.stanford.edu/kundaje/oak/projects/neuro-variants/variant_position/credible/roussos_2024/variant_figures/roussos_2024.childhood.GABA/rs12582033_count_position.png",4,220,900)</f>
        <v/>
      </c>
      <c r="T856">
        <f>IMAGE("https://mitra.stanford.edu/kundaje/oak/projects/neuro-variants/variant_position/credible/roussos_2024/variant_figures/roussos_2024.childhood.GABA/rs12582033_profile_position.png",4,220,900)</f>
        <v/>
      </c>
    </row>
    <row r="857">
      <c r="A857" t="inlineStr">
        <is>
          <t>chr12</t>
        </is>
      </c>
      <c r="B857" t="n">
        <v>104165950</v>
      </c>
      <c r="C857" t="inlineStr">
        <is>
          <t>G</t>
        </is>
      </c>
      <c r="D857" t="inlineStr">
        <is>
          <t>A</t>
        </is>
      </c>
      <c r="E857" t="inlineStr">
        <is>
          <t>rs77743764</t>
        </is>
      </c>
      <c r="F857" t="n">
        <v>-0.084438165</v>
      </c>
      <c r="G857" t="n">
        <v>0.0462887597198232</v>
      </c>
      <c r="H857" t="n">
        <v>0.0122865869421361</v>
      </c>
      <c r="I857" t="n">
        <v>0.4104293361576878</v>
      </c>
      <c r="J857" t="n">
        <v>0.0302873238256789</v>
      </c>
      <c r="K857" t="n">
        <v>0.6031625186654331</v>
      </c>
      <c r="L857" t="b">
        <v>0</v>
      </c>
      <c r="M857" t="b">
        <v>0</v>
      </c>
      <c r="N857" t="inlineStr">
        <is>
          <t>ref</t>
        </is>
      </c>
      <c r="O857" t="n">
        <v>-100</v>
      </c>
      <c r="P857" t="n">
        <v>0.00822</v>
      </c>
      <c r="Q857" t="n">
        <v>15</v>
      </c>
      <c r="R857" t="n">
        <v>0.005493</v>
      </c>
      <c r="S857">
        <f>IMAGE("https://mitra.stanford.edu/kundaje/oak/projects/neuro-variants/variant_position/credible/roussos_2024/variant_figures/roussos_2024.childhood.GABA/rs77743764_count_position.png",4,220,900)</f>
        <v/>
      </c>
      <c r="T857">
        <f>IMAGE("https://mitra.stanford.edu/kundaje/oak/projects/neuro-variants/variant_position/credible/roussos_2024/variant_figures/roussos_2024.childhood.GABA/rs77743764_profile_position.png",4,220,900)</f>
        <v/>
      </c>
    </row>
    <row r="858">
      <c r="A858" t="inlineStr">
        <is>
          <t>chr12</t>
        </is>
      </c>
      <c r="B858" t="n">
        <v>104172873</v>
      </c>
      <c r="C858" t="inlineStr">
        <is>
          <t>G</t>
        </is>
      </c>
      <c r="D858" t="inlineStr">
        <is>
          <t>A</t>
        </is>
      </c>
      <c r="E858" t="inlineStr">
        <is>
          <t>rs61939221</t>
        </is>
      </c>
      <c r="F858" t="n">
        <v>0.0489039604</v>
      </c>
      <c r="G858" t="n">
        <v>0.1437759842278023</v>
      </c>
      <c r="H858" t="n">
        <v>0.0197816021320184</v>
      </c>
      <c r="I858" t="n">
        <v>0.0779897907555147</v>
      </c>
      <c r="J858" t="n">
        <v>0.4981288349982199</v>
      </c>
      <c r="K858" t="n">
        <v>0.0516558900020318</v>
      </c>
      <c r="L858" t="b">
        <v>0</v>
      </c>
      <c r="M858" t="b">
        <v>0</v>
      </c>
      <c r="N858" t="inlineStr">
        <is>
          <t>alt</t>
        </is>
      </c>
      <c r="O858" t="n">
        <v>-100</v>
      </c>
      <c r="P858" t="n">
        <v>0.0186</v>
      </c>
      <c r="Q858" t="n">
        <v>-85</v>
      </c>
      <c r="R858" t="n">
        <v>0.09229999999999999</v>
      </c>
      <c r="S858">
        <f>IMAGE("https://mitra.stanford.edu/kundaje/oak/projects/neuro-variants/variant_position/credible/roussos_2024/variant_figures/roussos_2024.childhood.GABA/rs61939221_count_position.png",4,220,900)</f>
        <v/>
      </c>
      <c r="T858">
        <f>IMAGE("https://mitra.stanford.edu/kundaje/oak/projects/neuro-variants/variant_position/credible/roussos_2024/variant_figures/roussos_2024.childhood.GABA/rs61939221_profile_position.png",4,220,900)</f>
        <v/>
      </c>
    </row>
    <row r="859">
      <c r="A859" t="inlineStr">
        <is>
          <t>chr12</t>
        </is>
      </c>
      <c r="B859" t="n">
        <v>104238026</v>
      </c>
      <c r="C859" t="inlineStr">
        <is>
          <t>A</t>
        </is>
      </c>
      <c r="D859" t="inlineStr">
        <is>
          <t>G</t>
        </is>
      </c>
      <c r="E859" t="inlineStr">
        <is>
          <t>rs4609668</t>
        </is>
      </c>
      <c r="F859" t="n">
        <v>-0.01036514128</v>
      </c>
      <c r="G859" t="n">
        <v>0.6124534188891184</v>
      </c>
      <c r="H859" t="n">
        <v>0.0367042152586053</v>
      </c>
      <c r="I859" t="n">
        <v>0.0053349856933742</v>
      </c>
      <c r="J859" t="n">
        <v>0.0402525601558082</v>
      </c>
      <c r="K859" t="n">
        <v>0.5388305703168763</v>
      </c>
      <c r="L859" t="b">
        <v>1</v>
      </c>
      <c r="M859" t="b">
        <v>0</v>
      </c>
      <c r="N859" t="inlineStr">
        <is>
          <t>ref</t>
        </is>
      </c>
      <c r="O859" t="n">
        <v>35</v>
      </c>
      <c r="P859" t="n">
        <v>0.0006104</v>
      </c>
      <c r="Q859" t="n">
        <v>-20</v>
      </c>
      <c r="R859" t="n">
        <v>0.0333</v>
      </c>
      <c r="S859">
        <f>IMAGE("https://mitra.stanford.edu/kundaje/oak/projects/neuro-variants/variant_position/credible/roussos_2024/variant_figures/roussos_2024.childhood.GABA/rs4609668_count_position.png",4,220,900)</f>
        <v/>
      </c>
      <c r="T859">
        <f>IMAGE("https://mitra.stanford.edu/kundaje/oak/projects/neuro-variants/variant_position/credible/roussos_2024/variant_figures/roussos_2024.childhood.GABA/rs4609668_profile_position.png",4,220,900)</f>
        <v/>
      </c>
    </row>
    <row r="860">
      <c r="A860" t="inlineStr">
        <is>
          <t>chr12</t>
        </is>
      </c>
      <c r="B860" t="n">
        <v>104242823</v>
      </c>
      <c r="C860" t="inlineStr">
        <is>
          <t>G</t>
        </is>
      </c>
      <c r="D860" t="inlineStr">
        <is>
          <t>A</t>
        </is>
      </c>
      <c r="E860" t="inlineStr">
        <is>
          <t>rs4445711</t>
        </is>
      </c>
      <c r="F860" t="n">
        <v>-0.0602286043999999</v>
      </c>
      <c r="G860" t="n">
        <v>0.098804197265983</v>
      </c>
      <c r="H860" t="n">
        <v>0.0139362536512622</v>
      </c>
      <c r="I860" t="n">
        <v>0.2901694868273103</v>
      </c>
      <c r="J860" t="n">
        <v>0.0255575799459696</v>
      </c>
      <c r="K860" t="n">
        <v>0.6159838573359361</v>
      </c>
      <c r="L860" t="b">
        <v>0</v>
      </c>
      <c r="M860" t="b">
        <v>0</v>
      </c>
      <c r="N860" t="inlineStr">
        <is>
          <t>ref</t>
        </is>
      </c>
      <c r="O860" t="n">
        <v>-100</v>
      </c>
      <c r="P860" t="n">
        <v>0.006035</v>
      </c>
      <c r="Q860" t="n">
        <v>-5</v>
      </c>
      <c r="R860" t="n">
        <v>0.005554</v>
      </c>
      <c r="S860">
        <f>IMAGE("https://mitra.stanford.edu/kundaje/oak/projects/neuro-variants/variant_position/credible/roussos_2024/variant_figures/roussos_2024.childhood.GABA/rs4445711_count_position.png",4,220,900)</f>
        <v/>
      </c>
      <c r="T860">
        <f>IMAGE("https://mitra.stanford.edu/kundaje/oak/projects/neuro-variants/variant_position/credible/roussos_2024/variant_figures/roussos_2024.childhood.GABA/rs4445711_profile_position.png",4,220,900)</f>
        <v/>
      </c>
    </row>
    <row r="861">
      <c r="A861" t="inlineStr">
        <is>
          <t>chr12</t>
        </is>
      </c>
      <c r="B861" t="n">
        <v>108148814</v>
      </c>
      <c r="C861" t="inlineStr">
        <is>
          <t>C</t>
        </is>
      </c>
      <c r="D861" t="inlineStr">
        <is>
          <t>A</t>
        </is>
      </c>
      <c r="E861" t="inlineStr">
        <is>
          <t>rs1981936</t>
        </is>
      </c>
      <c r="F861" t="n">
        <v>0.0204044619999999</v>
      </c>
      <c r="G861" t="n">
        <v>0.4070090105980788</v>
      </c>
      <c r="H861" t="n">
        <v>0.0140717237909908</v>
      </c>
      <c r="I861" t="n">
        <v>0.2753400962549699</v>
      </c>
      <c r="J861" t="n">
        <v>0.1211492953027161</v>
      </c>
      <c r="K861" t="n">
        <v>0.3316675509588253</v>
      </c>
      <c r="L861" t="b">
        <v>0</v>
      </c>
      <c r="M861" t="b">
        <v>0</v>
      </c>
      <c r="N861" t="inlineStr">
        <is>
          <t>alt</t>
        </is>
      </c>
      <c r="O861" t="n">
        <v>100</v>
      </c>
      <c r="P861" t="n">
        <v>0.003712</v>
      </c>
      <c r="Q861" t="n">
        <v>20</v>
      </c>
      <c r="R861" t="n">
        <v>0.02362</v>
      </c>
      <c r="S861">
        <f>IMAGE("https://mitra.stanford.edu/kundaje/oak/projects/neuro-variants/variant_position/credible/roussos_2024/variant_figures/roussos_2024.childhood.GABA/rs1981936_count_position.png",4,220,900)</f>
        <v/>
      </c>
      <c r="T861">
        <f>IMAGE("https://mitra.stanford.edu/kundaje/oak/projects/neuro-variants/variant_position/credible/roussos_2024/variant_figures/roussos_2024.childhood.GABA/rs1981936_profile_position.png",4,220,900)</f>
        <v/>
      </c>
    </row>
    <row r="862">
      <c r="A862" t="inlineStr">
        <is>
          <t>chr12</t>
        </is>
      </c>
      <c r="B862" t="n">
        <v>108166550</v>
      </c>
      <c r="C862" t="inlineStr">
        <is>
          <t>G</t>
        </is>
      </c>
      <c r="D862" t="inlineStr">
        <is>
          <t>A</t>
        </is>
      </c>
      <c r="E862" t="inlineStr">
        <is>
          <t>rs7976025</t>
        </is>
      </c>
      <c r="F862" t="n">
        <v>-0.0901965188</v>
      </c>
      <c r="G862" t="n">
        <v>0.0497107455452414</v>
      </c>
      <c r="H862" t="n">
        <v>0.0153241398394783</v>
      </c>
      <c r="I862" t="n">
        <v>0.2111614015766261</v>
      </c>
      <c r="J862" t="n">
        <v>0.0363416472953445</v>
      </c>
      <c r="K862" t="n">
        <v>0.5689589237974584</v>
      </c>
      <c r="L862" t="b">
        <v>0</v>
      </c>
      <c r="M862" t="b">
        <v>0</v>
      </c>
      <c r="N862" t="inlineStr">
        <is>
          <t>ref</t>
        </is>
      </c>
      <c r="O862" t="n">
        <v>-95</v>
      </c>
      <c r="P862" t="n">
        <v>0.000622</v>
      </c>
      <c r="Q862" t="n">
        <v>-65</v>
      </c>
      <c r="R862" t="n">
        <v>0.02258</v>
      </c>
      <c r="S862">
        <f>IMAGE("https://mitra.stanford.edu/kundaje/oak/projects/neuro-variants/variant_position/credible/roussos_2024/variant_figures/roussos_2024.childhood.GABA/rs7976025_count_position.png",4,220,900)</f>
        <v/>
      </c>
      <c r="T862">
        <f>IMAGE("https://mitra.stanford.edu/kundaje/oak/projects/neuro-variants/variant_position/credible/roussos_2024/variant_figures/roussos_2024.childhood.GABA/rs7976025_profile_position.png",4,220,900)</f>
        <v/>
      </c>
    </row>
    <row r="863">
      <c r="A863" t="inlineStr">
        <is>
          <t>chr12</t>
        </is>
      </c>
      <c r="B863" t="n">
        <v>108166873</v>
      </c>
      <c r="C863" t="inlineStr">
        <is>
          <t>A</t>
        </is>
      </c>
      <c r="D863" t="inlineStr">
        <is>
          <t>G</t>
        </is>
      </c>
      <c r="E863" t="inlineStr">
        <is>
          <t>rs10778611</t>
        </is>
      </c>
      <c r="F863" t="n">
        <v>0.0460396868</v>
      </c>
      <c r="G863" t="n">
        <v>0.1520077209976256</v>
      </c>
      <c r="H863" t="n">
        <v>0.011604709202321</v>
      </c>
      <c r="I863" t="n">
        <v>0.4769878044623289</v>
      </c>
      <c r="J863" t="n">
        <v>0.036622269690687</v>
      </c>
      <c r="K863" t="n">
        <v>0.5791759189959017</v>
      </c>
      <c r="L863" t="b">
        <v>0</v>
      </c>
      <c r="M863" t="b">
        <v>0</v>
      </c>
      <c r="N863" t="inlineStr">
        <is>
          <t>alt</t>
        </is>
      </c>
      <c r="O863" t="n">
        <v>-15</v>
      </c>
      <c r="P863" t="n">
        <v>0.001892</v>
      </c>
      <c r="Q863" t="n">
        <v>100</v>
      </c>
      <c r="R863" t="n">
        <v>0.0786</v>
      </c>
      <c r="S863">
        <f>IMAGE("https://mitra.stanford.edu/kundaje/oak/projects/neuro-variants/variant_position/credible/roussos_2024/variant_figures/roussos_2024.childhood.GABA/rs10778611_count_position.png",4,220,900)</f>
        <v/>
      </c>
      <c r="T863">
        <f>IMAGE("https://mitra.stanford.edu/kundaje/oak/projects/neuro-variants/variant_position/credible/roussos_2024/variant_figures/roussos_2024.childhood.GABA/rs10778611_profile_position.png",4,220,900)</f>
        <v/>
      </c>
    </row>
    <row r="864">
      <c r="A864" t="inlineStr">
        <is>
          <t>chr12</t>
        </is>
      </c>
      <c r="B864" t="n">
        <v>108174245</v>
      </c>
      <c r="C864" t="inlineStr">
        <is>
          <t>A</t>
        </is>
      </c>
      <c r="D864" t="inlineStr">
        <is>
          <t>G</t>
        </is>
      </c>
      <c r="E864" t="inlineStr">
        <is>
          <t>rs4964233</t>
        </is>
      </c>
      <c r="F864" t="n">
        <v>0.02805248674</v>
      </c>
      <c r="G864" t="n">
        <v>0.3149262969590417</v>
      </c>
      <c r="H864" t="n">
        <v>0.009675609694186699</v>
      </c>
      <c r="I864" t="n">
        <v>0.672977310742369</v>
      </c>
      <c r="J864" t="n">
        <v>0.2631777344977068</v>
      </c>
      <c r="K864" t="n">
        <v>0.1634405707165157</v>
      </c>
      <c r="L864" t="b">
        <v>0</v>
      </c>
      <c r="M864" t="b">
        <v>0</v>
      </c>
      <c r="N864" t="inlineStr">
        <is>
          <t>alt</t>
        </is>
      </c>
      <c r="O864" t="n">
        <v>60</v>
      </c>
      <c r="P864" t="n">
        <v>0.003849</v>
      </c>
      <c r="Q864" t="n">
        <v>-90</v>
      </c>
      <c r="R864" t="n">
        <v>0.0379</v>
      </c>
      <c r="S864">
        <f>IMAGE("https://mitra.stanford.edu/kundaje/oak/projects/neuro-variants/variant_position/credible/roussos_2024/variant_figures/roussos_2024.childhood.GABA/rs4964233_count_position.png",4,220,900)</f>
        <v/>
      </c>
      <c r="T864">
        <f>IMAGE("https://mitra.stanford.edu/kundaje/oak/projects/neuro-variants/variant_position/credible/roussos_2024/variant_figures/roussos_2024.childhood.GABA/rs4964233_profile_position.png",4,220,900)</f>
        <v/>
      </c>
    </row>
    <row r="865">
      <c r="A865" t="inlineStr">
        <is>
          <t>chr12</t>
        </is>
      </c>
      <c r="B865" t="n">
        <v>108181786</v>
      </c>
      <c r="C865" t="inlineStr">
        <is>
          <t>A</t>
        </is>
      </c>
      <c r="D865" t="inlineStr">
        <is>
          <t>G</t>
        </is>
      </c>
      <c r="E865" t="inlineStr">
        <is>
          <t>rs2374969</t>
        </is>
      </c>
      <c r="F865" t="n">
        <v>0.0400240004</v>
      </c>
      <c r="G865" t="n">
        <v>0.195197024344047</v>
      </c>
      <c r="H865" t="n">
        <v>0.0108426572048738</v>
      </c>
      <c r="I865" t="n">
        <v>0.554790502098968</v>
      </c>
      <c r="J865" t="n">
        <v>0.1940922703189461</v>
      </c>
      <c r="K865" t="n">
        <v>0.2193602753554145</v>
      </c>
      <c r="L865" t="b">
        <v>0</v>
      </c>
      <c r="M865" t="b">
        <v>0</v>
      </c>
      <c r="N865" t="inlineStr">
        <is>
          <t>alt</t>
        </is>
      </c>
      <c r="O865" t="n">
        <v>30</v>
      </c>
      <c r="P865" t="n">
        <v>0.001022</v>
      </c>
      <c r="Q865" t="n">
        <v>90</v>
      </c>
      <c r="R865" t="n">
        <v>0.1128</v>
      </c>
      <c r="S865">
        <f>IMAGE("https://mitra.stanford.edu/kundaje/oak/projects/neuro-variants/variant_position/credible/roussos_2024/variant_figures/roussos_2024.childhood.GABA/rs2374969_count_position.png",4,220,900)</f>
        <v/>
      </c>
      <c r="T865">
        <f>IMAGE("https://mitra.stanford.edu/kundaje/oak/projects/neuro-variants/variant_position/credible/roussos_2024/variant_figures/roussos_2024.childhood.GABA/rs2374969_profile_position.png",4,220,900)</f>
        <v/>
      </c>
    </row>
    <row r="866">
      <c r="A866" t="inlineStr">
        <is>
          <t>chr12</t>
        </is>
      </c>
      <c r="B866" t="n">
        <v>108182784</v>
      </c>
      <c r="C866" t="inlineStr">
        <is>
          <t>G</t>
        </is>
      </c>
      <c r="D866" t="inlineStr">
        <is>
          <t>A</t>
        </is>
      </c>
      <c r="E866" t="inlineStr">
        <is>
          <t>rs10778612</t>
        </is>
      </c>
      <c r="F866" t="n">
        <v>-0.0068600431399999</v>
      </c>
      <c r="G866" t="n">
        <v>0.7251197316306174</v>
      </c>
      <c r="H866" t="n">
        <v>0.0059906121242033</v>
      </c>
      <c r="I866" t="n">
        <v>0.9872185379516586</v>
      </c>
      <c r="J866" t="n">
        <v>0.0308684634876756</v>
      </c>
      <c r="K866" t="n">
        <v>0.589025488523427</v>
      </c>
      <c r="L866" t="b">
        <v>0</v>
      </c>
      <c r="M866" t="b">
        <v>0</v>
      </c>
      <c r="N866" t="inlineStr">
        <is>
          <t>ref</t>
        </is>
      </c>
      <c r="O866" t="n">
        <v>-65</v>
      </c>
      <c r="P866" t="n">
        <v>0.00387</v>
      </c>
      <c r="Q866" t="n">
        <v>100</v>
      </c>
      <c r="R866" t="n">
        <v>0.0058</v>
      </c>
      <c r="S866">
        <f>IMAGE("https://mitra.stanford.edu/kundaje/oak/projects/neuro-variants/variant_position/credible/roussos_2024/variant_figures/roussos_2024.childhood.GABA/rs10778612_count_position.png",4,220,900)</f>
        <v/>
      </c>
      <c r="T866">
        <f>IMAGE("https://mitra.stanford.edu/kundaje/oak/projects/neuro-variants/variant_position/credible/roussos_2024/variant_figures/roussos_2024.childhood.GABA/rs10778612_profile_position.png",4,220,900)</f>
        <v/>
      </c>
    </row>
    <row r="867">
      <c r="A867" t="inlineStr">
        <is>
          <t>chr12</t>
        </is>
      </c>
      <c r="B867" t="n">
        <v>108183046</v>
      </c>
      <c r="C867" t="inlineStr">
        <is>
          <t>A</t>
        </is>
      </c>
      <c r="D867" t="inlineStr">
        <is>
          <t>G</t>
        </is>
      </c>
      <c r="E867" t="inlineStr">
        <is>
          <t>rs10778613</t>
        </is>
      </c>
      <c r="F867" t="n">
        <v>0.087876066</v>
      </c>
      <c r="G867" t="n">
        <v>0.0393931707631376</v>
      </c>
      <c r="H867" t="n">
        <v>0.0147623788221218</v>
      </c>
      <c r="I867" t="n">
        <v>0.240925457622164</v>
      </c>
      <c r="J867" t="n">
        <v>0.0333019203786307</v>
      </c>
      <c r="K867" t="n">
        <v>0.5783395955069883</v>
      </c>
      <c r="L867" t="b">
        <v>0</v>
      </c>
      <c r="M867" t="b">
        <v>0</v>
      </c>
      <c r="N867" t="inlineStr">
        <is>
          <t>alt</t>
        </is>
      </c>
      <c r="O867" t="n">
        <v>-95</v>
      </c>
      <c r="P867" t="n">
        <v>0.006737</v>
      </c>
      <c r="Q867" t="n">
        <v>-75</v>
      </c>
      <c r="R867" t="n">
        <v>0.0668</v>
      </c>
      <c r="S867">
        <f>IMAGE("https://mitra.stanford.edu/kundaje/oak/projects/neuro-variants/variant_position/credible/roussos_2024/variant_figures/roussos_2024.childhood.GABA/rs10778613_count_position.png",4,220,900)</f>
        <v/>
      </c>
      <c r="T867">
        <f>IMAGE("https://mitra.stanford.edu/kundaje/oak/projects/neuro-variants/variant_position/credible/roussos_2024/variant_figures/roussos_2024.childhood.GABA/rs10778613_profile_position.png",4,220,900)</f>
        <v/>
      </c>
    </row>
    <row r="868">
      <c r="A868" t="inlineStr">
        <is>
          <t>chr12</t>
        </is>
      </c>
      <c r="B868" t="n">
        <v>108187169</v>
      </c>
      <c r="C868" t="inlineStr">
        <is>
          <t>G</t>
        </is>
      </c>
      <c r="D868" t="inlineStr">
        <is>
          <t>A</t>
        </is>
      </c>
      <c r="E868" t="inlineStr">
        <is>
          <t>rs2162290</t>
        </is>
      </c>
      <c r="F868" t="n">
        <v>-0.0609823126</v>
      </c>
      <c r="G868" t="n">
        <v>0.0955808772677923</v>
      </c>
      <c r="H868" t="n">
        <v>0.0159435118889411</v>
      </c>
      <c r="I868" t="n">
        <v>0.1846882275262163</v>
      </c>
      <c r="J868" t="n">
        <v>0.0209252162258381</v>
      </c>
      <c r="K868" t="n">
        <v>0.6671479582728979</v>
      </c>
      <c r="L868" t="b">
        <v>0</v>
      </c>
      <c r="M868" t="b">
        <v>0</v>
      </c>
      <c r="N868" t="inlineStr">
        <is>
          <t>ref</t>
        </is>
      </c>
      <c r="O868" t="n">
        <v>100</v>
      </c>
      <c r="P868" t="n">
        <v>0.001278</v>
      </c>
      <c r="Q868" t="n">
        <v>-20</v>
      </c>
      <c r="R868" t="n">
        <v>0.01706</v>
      </c>
      <c r="S868">
        <f>IMAGE("https://mitra.stanford.edu/kundaje/oak/projects/neuro-variants/variant_position/credible/roussos_2024/variant_figures/roussos_2024.childhood.GABA/rs2162290_count_position.png",4,220,900)</f>
        <v/>
      </c>
      <c r="T868">
        <f>IMAGE("https://mitra.stanford.edu/kundaje/oak/projects/neuro-variants/variant_position/credible/roussos_2024/variant_figures/roussos_2024.childhood.GABA/rs2162290_profile_position.png",4,220,900)</f>
        <v/>
      </c>
    </row>
    <row r="869">
      <c r="A869" t="inlineStr">
        <is>
          <t>chr12</t>
        </is>
      </c>
      <c r="B869" t="n">
        <v>108192050</v>
      </c>
      <c r="C869" t="inlineStr">
        <is>
          <t>A</t>
        </is>
      </c>
      <c r="D869" t="inlineStr">
        <is>
          <t>G</t>
        </is>
      </c>
      <c r="E869" t="inlineStr">
        <is>
          <t>rs1365309</t>
        </is>
      </c>
      <c r="F869" t="n">
        <v>-0.07257522299999999</v>
      </c>
      <c r="G869" t="n">
        <v>0.0890184912188387</v>
      </c>
      <c r="H869" t="n">
        <v>0.0174053011262144</v>
      </c>
      <c r="I869" t="n">
        <v>0.1368609086133444</v>
      </c>
      <c r="J869" t="n">
        <v>0.2430839144729952</v>
      </c>
      <c r="K869" t="n">
        <v>0.1771329726663573</v>
      </c>
      <c r="L869" t="b">
        <v>0</v>
      </c>
      <c r="M869" t="b">
        <v>0</v>
      </c>
      <c r="N869" t="inlineStr">
        <is>
          <t>ref</t>
        </is>
      </c>
      <c r="O869" t="n">
        <v>-40</v>
      </c>
      <c r="P869" t="n">
        <v>0.001038</v>
      </c>
      <c r="Q869" t="n">
        <v>5</v>
      </c>
      <c r="R869" t="n">
        <v>0.00647</v>
      </c>
      <c r="S869">
        <f>IMAGE("https://mitra.stanford.edu/kundaje/oak/projects/neuro-variants/variant_position/credible/roussos_2024/variant_figures/roussos_2024.childhood.GABA/rs1365309_count_position.png",4,220,900)</f>
        <v/>
      </c>
      <c r="T869">
        <f>IMAGE("https://mitra.stanford.edu/kundaje/oak/projects/neuro-variants/variant_position/credible/roussos_2024/variant_figures/roussos_2024.childhood.GABA/rs1365309_profile_position.png",4,220,900)</f>
        <v/>
      </c>
    </row>
    <row r="870">
      <c r="A870" t="inlineStr">
        <is>
          <t>chr12</t>
        </is>
      </c>
      <c r="B870" t="n">
        <v>108206460</v>
      </c>
      <c r="C870" t="inlineStr">
        <is>
          <t>A</t>
        </is>
      </c>
      <c r="D870" t="inlineStr">
        <is>
          <t>G</t>
        </is>
      </c>
      <c r="E870" t="inlineStr">
        <is>
          <t>rs1106752</t>
        </is>
      </c>
      <c r="F870" t="n">
        <v>0.206670008</v>
      </c>
      <c r="G870" t="n">
        <v>0.0040005817328202</v>
      </c>
      <c r="H870" t="n">
        <v>0.028741540239034</v>
      </c>
      <c r="I870" t="n">
        <v>0.0156166316364714</v>
      </c>
      <c r="J870" t="n">
        <v>0.2935875688467257</v>
      </c>
      <c r="K870" t="n">
        <v>0.1414927873581858</v>
      </c>
      <c r="L870" t="b">
        <v>1</v>
      </c>
      <c r="M870" t="b">
        <v>1</v>
      </c>
      <c r="N870" t="inlineStr">
        <is>
          <t>alt</t>
        </is>
      </c>
      <c r="O870" t="n">
        <v>20</v>
      </c>
      <c r="P870" t="n">
        <v>0.000496</v>
      </c>
      <c r="Q870" t="n">
        <v>-55</v>
      </c>
      <c r="R870" t="n">
        <v>0.01318</v>
      </c>
      <c r="S870">
        <f>IMAGE("https://mitra.stanford.edu/kundaje/oak/projects/neuro-variants/variant_position/credible/roussos_2024/variant_figures/roussos_2024.childhood.GABA/rs1106752_count_position.png",4,220,900)</f>
        <v/>
      </c>
      <c r="T870">
        <f>IMAGE("https://mitra.stanford.edu/kundaje/oak/projects/neuro-variants/variant_position/credible/roussos_2024/variant_figures/roussos_2024.childhood.GABA/rs1106752_profile_position.png",4,220,900)</f>
        <v/>
      </c>
    </row>
    <row r="871">
      <c r="A871" t="inlineStr">
        <is>
          <t>chr12</t>
        </is>
      </c>
      <c r="B871" t="n">
        <v>108208133</v>
      </c>
      <c r="C871" t="inlineStr">
        <is>
          <t>G</t>
        </is>
      </c>
      <c r="D871" t="inlineStr">
        <is>
          <t>A</t>
        </is>
      </c>
      <c r="E871" t="inlineStr">
        <is>
          <t>rs7973976</t>
        </is>
      </c>
      <c r="F871" t="n">
        <v>0.0388177113999999</v>
      </c>
      <c r="G871" t="n">
        <v>0.2102403808622265</v>
      </c>
      <c r="H871" t="n">
        <v>0.017079743004144</v>
      </c>
      <c r="I871" t="n">
        <v>0.1419691265870069</v>
      </c>
      <c r="J871" t="n">
        <v>0.02768214278235</v>
      </c>
      <c r="K871" t="n">
        <v>0.6143110820332688</v>
      </c>
      <c r="L871" t="b">
        <v>0</v>
      </c>
      <c r="M871" t="b">
        <v>0</v>
      </c>
      <c r="N871" t="inlineStr">
        <is>
          <t>alt</t>
        </is>
      </c>
      <c r="O871" t="n">
        <v>-100</v>
      </c>
      <c r="P871" t="n">
        <v>0.000868</v>
      </c>
      <c r="Q871" t="n">
        <v>-100</v>
      </c>
      <c r="R871" t="n">
        <v>0.06186</v>
      </c>
      <c r="S871">
        <f>IMAGE("https://mitra.stanford.edu/kundaje/oak/projects/neuro-variants/variant_position/credible/roussos_2024/variant_figures/roussos_2024.childhood.GABA/rs7973976_count_position.png",4,220,900)</f>
        <v/>
      </c>
      <c r="T871">
        <f>IMAGE("https://mitra.stanford.edu/kundaje/oak/projects/neuro-variants/variant_position/credible/roussos_2024/variant_figures/roussos_2024.childhood.GABA/rs7973976_profile_position.png",4,220,900)</f>
        <v/>
      </c>
    </row>
    <row r="872">
      <c r="A872" t="inlineStr">
        <is>
          <t>chr12</t>
        </is>
      </c>
      <c r="B872" t="n">
        <v>108209193</v>
      </c>
      <c r="C872" t="inlineStr">
        <is>
          <t>C</t>
        </is>
      </c>
      <c r="D872" t="inlineStr">
        <is>
          <t>A</t>
        </is>
      </c>
      <c r="E872" t="inlineStr">
        <is>
          <t>rs7313402</t>
        </is>
      </c>
      <c r="F872" t="n">
        <v>0.02280547054</v>
      </c>
      <c r="G872" t="n">
        <v>0.3719659519955195</v>
      </c>
      <c r="H872" t="n">
        <v>0.0289609463863164</v>
      </c>
      <c r="I872" t="n">
        <v>0.0146783196509311</v>
      </c>
      <c r="J872" t="n">
        <v>0.07602877426650741</v>
      </c>
      <c r="K872" t="n">
        <v>0.4119414491279631</v>
      </c>
      <c r="L872" t="b">
        <v>1</v>
      </c>
      <c r="M872" t="b">
        <v>0</v>
      </c>
      <c r="N872" t="inlineStr">
        <is>
          <t>alt</t>
        </is>
      </c>
      <c r="O872" t="n">
        <v>80</v>
      </c>
      <c r="P872" t="n">
        <v>0.002563</v>
      </c>
      <c r="Q872" t="n">
        <v>10</v>
      </c>
      <c r="R872" t="n">
        <v>0.01416</v>
      </c>
      <c r="S872">
        <f>IMAGE("https://mitra.stanford.edu/kundaje/oak/projects/neuro-variants/variant_position/credible/roussos_2024/variant_figures/roussos_2024.childhood.GABA/rs7313402_count_position.png",4,220,900)</f>
        <v/>
      </c>
      <c r="T872">
        <f>IMAGE("https://mitra.stanford.edu/kundaje/oak/projects/neuro-variants/variant_position/credible/roussos_2024/variant_figures/roussos_2024.childhood.GABA/rs7313402_profile_position.png",4,220,900)</f>
        <v/>
      </c>
    </row>
    <row r="873">
      <c r="A873" t="inlineStr">
        <is>
          <t>chr12</t>
        </is>
      </c>
      <c r="B873" t="n">
        <v>108215857</v>
      </c>
      <c r="C873" t="inlineStr">
        <is>
          <t>G</t>
        </is>
      </c>
      <c r="D873" t="inlineStr">
        <is>
          <t>A</t>
        </is>
      </c>
      <c r="E873" t="inlineStr">
        <is>
          <t>rs10861879</t>
        </is>
      </c>
      <c r="F873" t="n">
        <v>-0.0316201371999999</v>
      </c>
      <c r="G873" t="n">
        <v>0.1953499524440103</v>
      </c>
      <c r="H873" t="n">
        <v>0.0160137969600832</v>
      </c>
      <c r="I873" t="n">
        <v>0.1825343372303713</v>
      </c>
      <c r="J873" t="n">
        <v>0.3246445100626164</v>
      </c>
      <c r="K873" t="n">
        <v>0.1216105117307606</v>
      </c>
      <c r="L873" t="b">
        <v>0</v>
      </c>
      <c r="M873" t="b">
        <v>0</v>
      </c>
      <c r="N873" t="inlineStr">
        <is>
          <t>ref</t>
        </is>
      </c>
      <c r="O873" t="n">
        <v>-80</v>
      </c>
      <c r="P873" t="n">
        <v>0.009350000000000001</v>
      </c>
      <c r="Q873" t="n">
        <v>5</v>
      </c>
      <c r="R873" t="n">
        <v>0.00537</v>
      </c>
      <c r="S873">
        <f>IMAGE("https://mitra.stanford.edu/kundaje/oak/projects/neuro-variants/variant_position/credible/roussos_2024/variant_figures/roussos_2024.childhood.GABA/rs10861879_count_position.png",4,220,900)</f>
        <v/>
      </c>
      <c r="T873">
        <f>IMAGE("https://mitra.stanford.edu/kundaje/oak/projects/neuro-variants/variant_position/credible/roussos_2024/variant_figures/roussos_2024.childhood.GABA/rs10861879_profile_position.png",4,220,900)</f>
        <v/>
      </c>
    </row>
    <row r="874">
      <c r="A874" t="inlineStr">
        <is>
          <t>chr12</t>
        </is>
      </c>
      <c r="B874" t="n">
        <v>108216899</v>
      </c>
      <c r="C874" t="inlineStr">
        <is>
          <t>T</t>
        </is>
      </c>
      <c r="D874" t="inlineStr">
        <is>
          <t>C</t>
        </is>
      </c>
      <c r="E874" t="inlineStr">
        <is>
          <t>rs4964661</t>
        </is>
      </c>
      <c r="F874" t="n">
        <v>0.015767928</v>
      </c>
      <c r="G874" t="n">
        <v>0.20444268438646</v>
      </c>
      <c r="H874" t="n">
        <v>0.009524334996487201</v>
      </c>
      <c r="I874" t="n">
        <v>0.6801210618966718</v>
      </c>
      <c r="J874" t="n">
        <v>0.0690310150572762</v>
      </c>
      <c r="K874" t="n">
        <v>0.4426096511076604</v>
      </c>
      <c r="L874" t="b">
        <v>0</v>
      </c>
      <c r="M874" t="b">
        <v>0</v>
      </c>
      <c r="N874" t="inlineStr">
        <is>
          <t>alt</t>
        </is>
      </c>
      <c r="O874" t="n">
        <v>-90</v>
      </c>
      <c r="P874" t="n">
        <v>0.003029</v>
      </c>
      <c r="Q874" t="n">
        <v>-55</v>
      </c>
      <c r="R874" t="n">
        <v>0.003418</v>
      </c>
      <c r="S874">
        <f>IMAGE("https://mitra.stanford.edu/kundaje/oak/projects/neuro-variants/variant_position/credible/roussos_2024/variant_figures/roussos_2024.childhood.GABA/rs4964661_count_position.png",4,220,900)</f>
        <v/>
      </c>
      <c r="T874">
        <f>IMAGE("https://mitra.stanford.edu/kundaje/oak/projects/neuro-variants/variant_position/credible/roussos_2024/variant_figures/roussos_2024.childhood.GABA/rs4964661_profile_position.png",4,220,900)</f>
        <v/>
      </c>
    </row>
    <row r="875">
      <c r="A875" t="inlineStr">
        <is>
          <t>chr12</t>
        </is>
      </c>
      <c r="B875" t="n">
        <v>108224853</v>
      </c>
      <c r="C875" t="inlineStr">
        <is>
          <t>C</t>
        </is>
      </c>
      <c r="D875" t="inlineStr">
        <is>
          <t>T</t>
        </is>
      </c>
      <c r="E875" t="inlineStr">
        <is>
          <t>rs3764002</t>
        </is>
      </c>
      <c r="F875" t="n">
        <v>-0.009778651744</v>
      </c>
      <c r="G875" t="n">
        <v>0.6325264304898532</v>
      </c>
      <c r="H875" t="n">
        <v>0.008543666565479601</v>
      </c>
      <c r="I875" t="n">
        <v>0.7650785597377413</v>
      </c>
      <c r="J875" t="n">
        <v>0.1781721848757094</v>
      </c>
      <c r="K875" t="n">
        <v>0.244962198053458</v>
      </c>
      <c r="L875" t="b">
        <v>0</v>
      </c>
      <c r="M875" t="b">
        <v>0</v>
      </c>
      <c r="N875" t="inlineStr">
        <is>
          <t>ref</t>
        </is>
      </c>
      <c r="O875" t="n">
        <v>100</v>
      </c>
      <c r="P875" t="n">
        <v>0.00443</v>
      </c>
      <c r="Q875" t="n">
        <v>20</v>
      </c>
      <c r="R875" t="n">
        <v>0.04443</v>
      </c>
      <c r="S875">
        <f>IMAGE("https://mitra.stanford.edu/kundaje/oak/projects/neuro-variants/variant_position/credible/roussos_2024/variant_figures/roussos_2024.childhood.GABA/rs3764002_count_position.png",4,220,900)</f>
        <v/>
      </c>
      <c r="T875">
        <f>IMAGE("https://mitra.stanford.edu/kundaje/oak/projects/neuro-variants/variant_position/credible/roussos_2024/variant_figures/roussos_2024.childhood.GABA/rs3764002_profile_position.png",4,220,900)</f>
        <v/>
      </c>
    </row>
    <row r="876">
      <c r="A876" t="inlineStr">
        <is>
          <t>chr12</t>
        </is>
      </c>
      <c r="B876" t="n">
        <v>108234290</v>
      </c>
      <c r="C876" t="inlineStr">
        <is>
          <t>T</t>
        </is>
      </c>
      <c r="D876" t="inlineStr">
        <is>
          <t>C</t>
        </is>
      </c>
      <c r="E876" t="inlineStr">
        <is>
          <t>rs4964665</t>
        </is>
      </c>
      <c r="F876" t="n">
        <v>0.0007567774</v>
      </c>
      <c r="G876" t="n">
        <v>0.5412685789498666</v>
      </c>
      <c r="H876" t="n">
        <v>0.007999660448360899</v>
      </c>
      <c r="I876" t="n">
        <v>0.8509603459796837</v>
      </c>
      <c r="J876" t="n">
        <v>0.1185859981989905</v>
      </c>
      <c r="K876" t="n">
        <v>0.3256295592245781</v>
      </c>
      <c r="L876" t="b">
        <v>0</v>
      </c>
      <c r="M876" t="b">
        <v>0</v>
      </c>
      <c r="N876" t="inlineStr">
        <is>
          <t>alt</t>
        </is>
      </c>
      <c r="O876" t="n">
        <v>-85</v>
      </c>
      <c r="P876" t="n">
        <v>0.03918</v>
      </c>
      <c r="Q876" t="n">
        <v>-35</v>
      </c>
      <c r="R876" t="n">
        <v>0.109</v>
      </c>
      <c r="S876">
        <f>IMAGE("https://mitra.stanford.edu/kundaje/oak/projects/neuro-variants/variant_position/credible/roussos_2024/variant_figures/roussos_2024.childhood.GABA/rs4964665_count_position.png",4,220,900)</f>
        <v/>
      </c>
      <c r="T876">
        <f>IMAGE("https://mitra.stanford.edu/kundaje/oak/projects/neuro-variants/variant_position/credible/roussos_2024/variant_figures/roussos_2024.childhood.GABA/rs4964665_profile_position.png",4,220,900)</f>
        <v/>
      </c>
    </row>
    <row r="877">
      <c r="A877" t="inlineStr">
        <is>
          <t>chr12</t>
        </is>
      </c>
      <c r="B877" t="n">
        <v>108413407</v>
      </c>
      <c r="C877" t="inlineStr">
        <is>
          <t>C</t>
        </is>
      </c>
      <c r="D877" t="inlineStr">
        <is>
          <t>T</t>
        </is>
      </c>
      <c r="E877" t="inlineStr">
        <is>
          <t>rs2559882</t>
        </is>
      </c>
      <c r="F877" t="n">
        <v>0.1091305725999999</v>
      </c>
      <c r="G877" t="n">
        <v>0.0382754330028901</v>
      </c>
      <c r="H877" t="n">
        <v>0.0258456659143989</v>
      </c>
      <c r="I877" t="n">
        <v>0.0344978828555137</v>
      </c>
      <c r="J877" t="n">
        <v>0.014677179535507</v>
      </c>
      <c r="K877" t="n">
        <v>0.7056470424388996</v>
      </c>
      <c r="L877" t="b">
        <v>0</v>
      </c>
      <c r="M877" t="b">
        <v>0</v>
      </c>
      <c r="N877" t="inlineStr">
        <is>
          <t>alt</t>
        </is>
      </c>
      <c r="O877" t="n">
        <v>-65</v>
      </c>
      <c r="P877" t="n">
        <v>0.001915</v>
      </c>
      <c r="Q877" t="n">
        <v>30</v>
      </c>
      <c r="R877" t="n">
        <v>0.03052</v>
      </c>
      <c r="S877">
        <f>IMAGE("https://mitra.stanford.edu/kundaje/oak/projects/neuro-variants/variant_position/credible/roussos_2024/variant_figures/roussos_2024.childhood.GABA/rs2559882_count_position.png",4,220,900)</f>
        <v/>
      </c>
      <c r="T877">
        <f>IMAGE("https://mitra.stanford.edu/kundaje/oak/projects/neuro-variants/variant_position/credible/roussos_2024/variant_figures/roussos_2024.childhood.GABA/rs2559882_profile_position.png",4,220,900)</f>
        <v/>
      </c>
    </row>
    <row r="878">
      <c r="A878" t="inlineStr">
        <is>
          <t>chr12</t>
        </is>
      </c>
      <c r="B878" t="n">
        <v>108418329</v>
      </c>
      <c r="C878" t="inlineStr">
        <is>
          <t>C</t>
        </is>
      </c>
      <c r="D878" t="inlineStr">
        <is>
          <t>T</t>
        </is>
      </c>
      <c r="E878" t="inlineStr">
        <is>
          <t>rs2559875</t>
        </is>
      </c>
      <c r="F878" t="n">
        <v>-0.0903529167999999</v>
      </c>
      <c r="G878" t="n">
        <v>0.039980189128027</v>
      </c>
      <c r="H878" t="n">
        <v>0.0150453399631749</v>
      </c>
      <c r="I878" t="n">
        <v>0.225522077383055</v>
      </c>
      <c r="J878" t="n">
        <v>0.1268643588615944</v>
      </c>
      <c r="K878" t="n">
        <v>0.3109513656479692</v>
      </c>
      <c r="L878" t="b">
        <v>0</v>
      </c>
      <c r="M878" t="b">
        <v>0</v>
      </c>
      <c r="N878" t="inlineStr">
        <is>
          <t>ref</t>
        </is>
      </c>
      <c r="O878" t="n">
        <v>-95</v>
      </c>
      <c r="P878" t="n">
        <v>0.001675</v>
      </c>
      <c r="Q878" t="n">
        <v>15</v>
      </c>
      <c r="R878" t="n">
        <v>0.02882</v>
      </c>
      <c r="S878">
        <f>IMAGE("https://mitra.stanford.edu/kundaje/oak/projects/neuro-variants/variant_position/credible/roussos_2024/variant_figures/roussos_2024.childhood.GABA/rs2559875_count_position.png",4,220,900)</f>
        <v/>
      </c>
      <c r="T878">
        <f>IMAGE("https://mitra.stanford.edu/kundaje/oak/projects/neuro-variants/variant_position/credible/roussos_2024/variant_figures/roussos_2024.childhood.GABA/rs2559875_profile_position.png",4,220,900)</f>
        <v/>
      </c>
    </row>
    <row r="879">
      <c r="A879" t="inlineStr">
        <is>
          <t>chr12</t>
        </is>
      </c>
      <c r="B879" t="n">
        <v>108460099</v>
      </c>
      <c r="C879" t="inlineStr">
        <is>
          <t>A</t>
        </is>
      </c>
      <c r="D879" t="inlineStr">
        <is>
          <t>G</t>
        </is>
      </c>
      <c r="E879" t="inlineStr">
        <is>
          <t>rs75306978</t>
        </is>
      </c>
      <c r="F879" t="n">
        <v>-0.06731319179999989</v>
      </c>
      <c r="G879" t="n">
        <v>0.0838351623876725</v>
      </c>
      <c r="H879" t="n">
        <v>0.0198645652930419</v>
      </c>
      <c r="I879" t="n">
        <v>0.078372831157248</v>
      </c>
      <c r="J879" t="n">
        <v>0.1876264371426776</v>
      </c>
      <c r="K879" t="n">
        <v>0.2312113733255967</v>
      </c>
      <c r="L879" t="b">
        <v>0</v>
      </c>
      <c r="M879" t="b">
        <v>0</v>
      </c>
      <c r="N879" t="inlineStr">
        <is>
          <t>ref</t>
        </is>
      </c>
      <c r="O879" t="n">
        <v>60</v>
      </c>
      <c r="P879" t="n">
        <v>0.009094</v>
      </c>
      <c r="Q879" t="n">
        <v>85</v>
      </c>
      <c r="R879" t="n">
        <v>0.12085</v>
      </c>
      <c r="S879">
        <f>IMAGE("https://mitra.stanford.edu/kundaje/oak/projects/neuro-variants/variant_position/credible/roussos_2024/variant_figures/roussos_2024.childhood.GABA/rs75306978_count_position.png",4,220,900)</f>
        <v/>
      </c>
      <c r="T879">
        <f>IMAGE("https://mitra.stanford.edu/kundaje/oak/projects/neuro-variants/variant_position/credible/roussos_2024/variant_figures/roussos_2024.childhood.GABA/rs75306978_profile_position.png",4,220,900)</f>
        <v/>
      </c>
    </row>
    <row r="880">
      <c r="A880" t="inlineStr">
        <is>
          <t>chr12</t>
        </is>
      </c>
      <c r="B880" t="n">
        <v>108461238</v>
      </c>
      <c r="C880" t="inlineStr">
        <is>
          <t>A</t>
        </is>
      </c>
      <c r="D880" t="inlineStr">
        <is>
          <t>G</t>
        </is>
      </c>
      <c r="E880" t="inlineStr">
        <is>
          <t>rs79715421</t>
        </is>
      </c>
      <c r="F880" t="n">
        <v>0.01209031522</v>
      </c>
      <c r="G880" t="n">
        <v>0.538161835172615</v>
      </c>
      <c r="H880" t="n">
        <v>0.0145000755343807</v>
      </c>
      <c r="I880" t="n">
        <v>0.2475298878457275</v>
      </c>
      <c r="J880" t="n">
        <v>0.143355112981927</v>
      </c>
      <c r="K880" t="n">
        <v>0.2808484627058236</v>
      </c>
      <c r="L880" t="b">
        <v>0</v>
      </c>
      <c r="M880" t="b">
        <v>0</v>
      </c>
      <c r="N880" t="inlineStr">
        <is>
          <t>alt</t>
        </is>
      </c>
      <c r="O880" t="n">
        <v>-95</v>
      </c>
      <c r="P880" t="n">
        <v>0.001232</v>
      </c>
      <c r="Q880" t="n">
        <v>70</v>
      </c>
      <c r="R880" t="n">
        <v>0.0476</v>
      </c>
      <c r="S880">
        <f>IMAGE("https://mitra.stanford.edu/kundaje/oak/projects/neuro-variants/variant_position/credible/roussos_2024/variant_figures/roussos_2024.childhood.GABA/rs79715421_count_position.png",4,220,900)</f>
        <v/>
      </c>
      <c r="T880">
        <f>IMAGE("https://mitra.stanford.edu/kundaje/oak/projects/neuro-variants/variant_position/credible/roussos_2024/variant_figures/roussos_2024.childhood.GABA/rs79715421_profile_position.png",4,220,900)</f>
        <v/>
      </c>
    </row>
    <row r="881">
      <c r="A881" t="inlineStr">
        <is>
          <t>chr12</t>
        </is>
      </c>
      <c r="B881" t="n">
        <v>110117013</v>
      </c>
      <c r="C881" t="inlineStr">
        <is>
          <t>A</t>
        </is>
      </c>
      <c r="D881" t="inlineStr">
        <is>
          <t>G</t>
        </is>
      </c>
      <c r="E881" t="inlineStr">
        <is>
          <t>rs67917264</t>
        </is>
      </c>
      <c r="F881" t="n">
        <v>0.0107396611199999</v>
      </c>
      <c r="G881" t="n">
        <v>0.6589345053404153</v>
      </c>
      <c r="H881" t="n">
        <v>0.007557637354461</v>
      </c>
      <c r="I881" t="n">
        <v>0.8772862609898404</v>
      </c>
      <c r="J881" t="n">
        <v>0.0647305815585013</v>
      </c>
      <c r="K881" t="n">
        <v>0.4531629694941345</v>
      </c>
      <c r="L881" t="b">
        <v>0</v>
      </c>
      <c r="M881" t="b">
        <v>0</v>
      </c>
      <c r="N881" t="inlineStr">
        <is>
          <t>alt</t>
        </is>
      </c>
      <c r="O881" t="n">
        <v>-80</v>
      </c>
      <c r="P881" t="n">
        <v>0.00351</v>
      </c>
      <c r="Q881" t="n">
        <v>-70</v>
      </c>
      <c r="R881" t="n">
        <v>0.02466</v>
      </c>
      <c r="S881">
        <f>IMAGE("https://mitra.stanford.edu/kundaje/oak/projects/neuro-variants/variant_position/credible/roussos_2024/variant_figures/roussos_2024.childhood.GABA/rs67917264_count_position.png",4,220,900)</f>
        <v/>
      </c>
      <c r="T881">
        <f>IMAGE("https://mitra.stanford.edu/kundaje/oak/projects/neuro-variants/variant_position/credible/roussos_2024/variant_figures/roussos_2024.childhood.GABA/rs67917264_profile_position.png",4,220,900)</f>
        <v/>
      </c>
    </row>
    <row r="882">
      <c r="A882" t="inlineStr">
        <is>
          <t>chr12</t>
        </is>
      </c>
      <c r="B882" t="n">
        <v>110451052</v>
      </c>
      <c r="C882" t="inlineStr">
        <is>
          <t>C</t>
        </is>
      </c>
      <c r="D882" t="inlineStr">
        <is>
          <t>T</t>
        </is>
      </c>
      <c r="E882" t="inlineStr">
        <is>
          <t>rs3759384</t>
        </is>
      </c>
      <c r="F882" t="n">
        <v>-0.0581476685999999</v>
      </c>
      <c r="G882" t="n">
        <v>0.1083822963869076</v>
      </c>
      <c r="H882" t="n">
        <v>0.0085807168703993</v>
      </c>
      <c r="I882" t="n">
        <v>0.7945302393205549</v>
      </c>
      <c r="J882" t="n">
        <v>0.5426148143494377</v>
      </c>
      <c r="K882" t="n">
        <v>0.0403005209971989</v>
      </c>
      <c r="L882" t="b">
        <v>0</v>
      </c>
      <c r="M882" t="b">
        <v>0</v>
      </c>
      <c r="N882" t="inlineStr">
        <is>
          <t>ref</t>
        </is>
      </c>
      <c r="O882" t="n">
        <v>-90</v>
      </c>
      <c r="P882" t="n">
        <v>0.1641</v>
      </c>
      <c r="Q882" t="n">
        <v>-70</v>
      </c>
      <c r="R882" t="n">
        <v>0.0424</v>
      </c>
      <c r="S882">
        <f>IMAGE("https://mitra.stanford.edu/kundaje/oak/projects/neuro-variants/variant_position/credible/roussos_2024/variant_figures/roussos_2024.childhood.GABA/rs3759384_count_position.png",4,220,900)</f>
        <v/>
      </c>
      <c r="T882">
        <f>IMAGE("https://mitra.stanford.edu/kundaje/oak/projects/neuro-variants/variant_position/credible/roussos_2024/variant_figures/roussos_2024.childhood.GABA/rs3759384_profile_position.png",4,220,900)</f>
        <v/>
      </c>
    </row>
    <row r="883">
      <c r="A883" t="inlineStr">
        <is>
          <t>chr12</t>
        </is>
      </c>
      <c r="B883" t="n">
        <v>110456752</v>
      </c>
      <c r="C883" t="inlineStr">
        <is>
          <t>G</t>
        </is>
      </c>
      <c r="D883" t="inlineStr">
        <is>
          <t>A</t>
        </is>
      </c>
      <c r="E883" t="inlineStr">
        <is>
          <t>rs11065647</t>
        </is>
      </c>
      <c r="F883" t="n">
        <v>-0.01520873882</v>
      </c>
      <c r="G883" t="n">
        <v>0.4962468954260585</v>
      </c>
      <c r="H883" t="n">
        <v>0.0130957125491101</v>
      </c>
      <c r="I883" t="n">
        <v>0.3500945148463747</v>
      </c>
      <c r="J883" t="n">
        <v>0.0083464220644593</v>
      </c>
      <c r="K883" t="n">
        <v>0.7650574162510835</v>
      </c>
      <c r="L883" t="b">
        <v>0</v>
      </c>
      <c r="M883" t="b">
        <v>0</v>
      </c>
      <c r="N883" t="inlineStr">
        <is>
          <t>ref</t>
        </is>
      </c>
      <c r="O883" t="n">
        <v>-45</v>
      </c>
      <c r="P883" t="n">
        <v>0.00402</v>
      </c>
      <c r="Q883" t="n">
        <v>0</v>
      </c>
      <c r="R883" t="n">
        <v>0</v>
      </c>
      <c r="S883">
        <f>IMAGE("https://mitra.stanford.edu/kundaje/oak/projects/neuro-variants/variant_position/credible/roussos_2024/variant_figures/roussos_2024.childhood.GABA/rs11065647_count_position.png",4,220,900)</f>
        <v/>
      </c>
      <c r="T883">
        <f>IMAGE("https://mitra.stanford.edu/kundaje/oak/projects/neuro-variants/variant_position/credible/roussos_2024/variant_figures/roussos_2024.childhood.GABA/rs11065647_profile_position.png",4,220,900)</f>
        <v/>
      </c>
    </row>
    <row r="884">
      <c r="A884" t="inlineStr">
        <is>
          <t>chr12</t>
        </is>
      </c>
      <c r="B884" t="n">
        <v>110497463</v>
      </c>
      <c r="C884" t="inlineStr">
        <is>
          <t>T</t>
        </is>
      </c>
      <c r="D884" t="inlineStr">
        <is>
          <t>C</t>
        </is>
      </c>
      <c r="E884" t="inlineStr">
        <is>
          <t>rs184629901</t>
        </is>
      </c>
      <c r="F884" t="n">
        <v>0.0588760402</v>
      </c>
      <c r="G884" t="n">
        <v>0.1096950905867089</v>
      </c>
      <c r="H884" t="n">
        <v>0.0134462444714335</v>
      </c>
      <c r="I884" t="n">
        <v>0.3203585682953526</v>
      </c>
      <c r="J884" t="n">
        <v>0.0280517685493497</v>
      </c>
      <c r="K884" t="n">
        <v>0.5989693112466111</v>
      </c>
      <c r="L884" t="b">
        <v>0</v>
      </c>
      <c r="M884" t="b">
        <v>0</v>
      </c>
      <c r="N884" t="inlineStr">
        <is>
          <t>alt</t>
        </is>
      </c>
      <c r="O884" t="n">
        <v>-100</v>
      </c>
      <c r="P884" t="n">
        <v>0.02689</v>
      </c>
      <c r="Q884" t="n">
        <v>-75</v>
      </c>
      <c r="R884" t="n">
        <v>0.06279999999999999</v>
      </c>
      <c r="S884">
        <f>IMAGE("https://mitra.stanford.edu/kundaje/oak/projects/neuro-variants/variant_position/credible/roussos_2024/variant_figures/roussos_2024.childhood.GABA/rs184629901_count_position.png",4,220,900)</f>
        <v/>
      </c>
      <c r="T884">
        <f>IMAGE("https://mitra.stanford.edu/kundaje/oak/projects/neuro-variants/variant_position/credible/roussos_2024/variant_figures/roussos_2024.childhood.GABA/rs184629901_profile_position.png",4,220,900)</f>
        <v/>
      </c>
    </row>
    <row r="885">
      <c r="A885" t="inlineStr">
        <is>
          <t>chr12</t>
        </is>
      </c>
      <c r="B885" t="n">
        <v>110512571</v>
      </c>
      <c r="C885" t="inlineStr">
        <is>
          <t>T</t>
        </is>
      </c>
      <c r="D885" t="inlineStr">
        <is>
          <t>C</t>
        </is>
      </c>
      <c r="E885" t="inlineStr">
        <is>
          <t>rs4766497</t>
        </is>
      </c>
      <c r="F885" t="n">
        <v>-0.2031691399999999</v>
      </c>
      <c r="G885" t="n">
        <v>0.00461354589415</v>
      </c>
      <c r="H885" t="n">
        <v>0.0389763931232595</v>
      </c>
      <c r="I885" t="n">
        <v>0.0047804853487043</v>
      </c>
      <c r="J885" t="n">
        <v>0.1608783062134824</v>
      </c>
      <c r="K885" t="n">
        <v>0.2625453553368474</v>
      </c>
      <c r="L885" t="b">
        <v>1</v>
      </c>
      <c r="M885" t="b">
        <v>1</v>
      </c>
      <c r="N885" t="inlineStr">
        <is>
          <t>ref</t>
        </is>
      </c>
      <c r="O885" t="n">
        <v>-70</v>
      </c>
      <c r="P885" t="n">
        <v>0.001526</v>
      </c>
      <c r="Q885" t="n">
        <v>-60</v>
      </c>
      <c r="R885" t="n">
        <v>0.06128</v>
      </c>
      <c r="S885">
        <f>IMAGE("https://mitra.stanford.edu/kundaje/oak/projects/neuro-variants/variant_position/credible/roussos_2024/variant_figures/roussos_2024.childhood.GABA/rs4766497_count_position.png",4,220,900)</f>
        <v/>
      </c>
      <c r="T885">
        <f>IMAGE("https://mitra.stanford.edu/kundaje/oak/projects/neuro-variants/variant_position/credible/roussos_2024/variant_figures/roussos_2024.childhood.GABA/rs4766497_profile_position.png",4,220,900)</f>
        <v/>
      </c>
    </row>
    <row r="886">
      <c r="A886" t="inlineStr">
        <is>
          <t>chr12</t>
        </is>
      </c>
      <c r="B886" t="n">
        <v>110540227</v>
      </c>
      <c r="C886" t="inlineStr">
        <is>
          <t>C</t>
        </is>
      </c>
      <c r="D886" t="inlineStr">
        <is>
          <t>T</t>
        </is>
      </c>
      <c r="E886" t="inlineStr">
        <is>
          <t>rs12311093</t>
        </is>
      </c>
      <c r="F886" t="n">
        <v>0.0750142452</v>
      </c>
      <c r="G886" t="n">
        <v>0.0575348085296243</v>
      </c>
      <c r="H886" t="n">
        <v>0.018962693807706</v>
      </c>
      <c r="I886" t="n">
        <v>0.09477456927194471</v>
      </c>
      <c r="J886" t="n">
        <v>0.1743000146593788</v>
      </c>
      <c r="K886" t="n">
        <v>0.2423508740238316</v>
      </c>
      <c r="L886" t="b">
        <v>0</v>
      </c>
      <c r="M886" t="b">
        <v>0</v>
      </c>
      <c r="N886" t="inlineStr">
        <is>
          <t>alt</t>
        </is>
      </c>
      <c r="O886" t="n">
        <v>-15</v>
      </c>
      <c r="P886" t="n">
        <v>0.01233</v>
      </c>
      <c r="Q886" t="n">
        <v>65</v>
      </c>
      <c r="R886" t="n">
        <v>0.06097</v>
      </c>
      <c r="S886">
        <f>IMAGE("https://mitra.stanford.edu/kundaje/oak/projects/neuro-variants/variant_position/credible/roussos_2024/variant_figures/roussos_2024.childhood.GABA/rs12311093_count_position.png",4,220,900)</f>
        <v/>
      </c>
      <c r="T886">
        <f>IMAGE("https://mitra.stanford.edu/kundaje/oak/projects/neuro-variants/variant_position/credible/roussos_2024/variant_figures/roussos_2024.childhood.GABA/rs12311093_profile_position.png",4,220,900)</f>
        <v/>
      </c>
    </row>
    <row r="887">
      <c r="A887" t="inlineStr">
        <is>
          <t>chr12</t>
        </is>
      </c>
      <c r="B887" t="n">
        <v>120682650</v>
      </c>
      <c r="C887" t="inlineStr">
        <is>
          <t>T</t>
        </is>
      </c>
      <c r="D887" t="inlineStr">
        <is>
          <t>C</t>
        </is>
      </c>
      <c r="E887" t="inlineStr">
        <is>
          <t>rs12228118</t>
        </is>
      </c>
      <c r="F887" t="n">
        <v>-0.0144776119999999</v>
      </c>
      <c r="G887" t="n">
        <v>0.5350761831561257</v>
      </c>
      <c r="H887" t="n">
        <v>0.0356156179519821</v>
      </c>
      <c r="I887" t="n">
        <v>0.0059656267610524</v>
      </c>
      <c r="J887" t="n">
        <v>0.0823103181085212</v>
      </c>
      <c r="K887" t="n">
        <v>0.395244373100632</v>
      </c>
      <c r="L887" t="b">
        <v>1</v>
      </c>
      <c r="M887" t="b">
        <v>1</v>
      </c>
      <c r="N887" t="inlineStr">
        <is>
          <t>ref</t>
        </is>
      </c>
      <c r="O887" t="n">
        <v>-90</v>
      </c>
      <c r="P887" t="n">
        <v>0.003418</v>
      </c>
      <c r="Q887" t="n">
        <v>60</v>
      </c>
      <c r="R887" t="n">
        <v>0.03613</v>
      </c>
      <c r="S887">
        <f>IMAGE("https://mitra.stanford.edu/kundaje/oak/projects/neuro-variants/variant_position/credible/roussos_2024/variant_figures/roussos_2024.childhood.GABA/rs12228118_count_position.png",4,220,900)</f>
        <v/>
      </c>
      <c r="T887">
        <f>IMAGE("https://mitra.stanford.edu/kundaje/oak/projects/neuro-variants/variant_position/credible/roussos_2024/variant_figures/roussos_2024.childhood.GABA/rs12228118_profile_position.png",4,220,900)</f>
        <v/>
      </c>
    </row>
    <row r="888">
      <c r="A888" t="inlineStr">
        <is>
          <t>chr12</t>
        </is>
      </c>
      <c r="B888" t="n">
        <v>120939764</v>
      </c>
      <c r="C888" t="inlineStr">
        <is>
          <t>G</t>
        </is>
      </c>
      <c r="D888" t="inlineStr">
        <is>
          <t>T</t>
        </is>
      </c>
      <c r="E888" t="inlineStr">
        <is>
          <t>rs78197988</t>
        </is>
      </c>
      <c r="F888" t="n">
        <v>-0.0450392728</v>
      </c>
      <c r="G888" t="n">
        <v>0.1683477994349821</v>
      </c>
      <c r="H888" t="n">
        <v>0.0103724222316213</v>
      </c>
      <c r="I888" t="n">
        <v>0.5707073469672779</v>
      </c>
      <c r="J888" t="n">
        <v>0.0767104353835521</v>
      </c>
      <c r="K888" t="n">
        <v>0.4166893236437417</v>
      </c>
      <c r="L888" t="b">
        <v>0</v>
      </c>
      <c r="M888" t="b">
        <v>0</v>
      </c>
      <c r="N888" t="inlineStr">
        <is>
          <t>ref</t>
        </is>
      </c>
      <c r="O888" t="n">
        <v>-50</v>
      </c>
      <c r="P888" t="n">
        <v>0.02994</v>
      </c>
      <c r="Q888" t="n">
        <v>85</v>
      </c>
      <c r="R888" t="n">
        <v>0.06476</v>
      </c>
      <c r="S888">
        <f>IMAGE("https://mitra.stanford.edu/kundaje/oak/projects/neuro-variants/variant_position/credible/roussos_2024/variant_figures/roussos_2024.childhood.GABA/rs78197988_count_position.png",4,220,900)</f>
        <v/>
      </c>
      <c r="T888">
        <f>IMAGE("https://mitra.stanford.edu/kundaje/oak/projects/neuro-variants/variant_position/credible/roussos_2024/variant_figures/roussos_2024.childhood.GABA/rs78197988_profile_position.png",4,220,900)</f>
        <v/>
      </c>
    </row>
    <row r="889">
      <c r="A889" t="inlineStr">
        <is>
          <t>chr12</t>
        </is>
      </c>
      <c r="B889" t="n">
        <v>120968567</v>
      </c>
      <c r="C889" t="inlineStr">
        <is>
          <t>G</t>
        </is>
      </c>
      <c r="D889" t="inlineStr">
        <is>
          <t>T</t>
        </is>
      </c>
      <c r="E889" t="inlineStr">
        <is>
          <t>rs2243616</t>
        </is>
      </c>
      <c r="F889" t="n">
        <v>0.0115743920599999</v>
      </c>
      <c r="G889" t="n">
        <v>0.5660547429876658</v>
      </c>
      <c r="H889" t="n">
        <v>0.0394799397112534</v>
      </c>
      <c r="I889" t="n">
        <v>0.0039447144779692</v>
      </c>
      <c r="J889" t="n">
        <v>0.07762141106992509</v>
      </c>
      <c r="K889" t="n">
        <v>0.4232641776866896</v>
      </c>
      <c r="L889" t="b">
        <v>1</v>
      </c>
      <c r="M889" t="b">
        <v>1</v>
      </c>
      <c r="N889" t="inlineStr">
        <is>
          <t>alt</t>
        </is>
      </c>
      <c r="O889" t="n">
        <v>100</v>
      </c>
      <c r="P889" t="n">
        <v>0.043</v>
      </c>
      <c r="Q889" t="n">
        <v>-85</v>
      </c>
      <c r="R889" t="n">
        <v>0.0503</v>
      </c>
      <c r="S889">
        <f>IMAGE("https://mitra.stanford.edu/kundaje/oak/projects/neuro-variants/variant_position/credible/roussos_2024/variant_figures/roussos_2024.childhood.GABA/rs2243616_count_position.png",4,220,900)</f>
        <v/>
      </c>
      <c r="T889">
        <f>IMAGE("https://mitra.stanford.edu/kundaje/oak/projects/neuro-variants/variant_position/credible/roussos_2024/variant_figures/roussos_2024.childhood.GABA/rs2243616_profile_position.png",4,220,900)</f>
        <v/>
      </c>
    </row>
    <row r="890">
      <c r="A890" t="inlineStr">
        <is>
          <t>chr12</t>
        </is>
      </c>
      <c r="B890" t="n">
        <v>121005313</v>
      </c>
      <c r="C890" t="inlineStr">
        <is>
          <t>A</t>
        </is>
      </c>
      <c r="D890" t="inlineStr">
        <is>
          <t>G</t>
        </is>
      </c>
      <c r="E890" t="inlineStr">
        <is>
          <t>rs1169314</t>
        </is>
      </c>
      <c r="F890" t="n">
        <v>-0.0009541943847999</v>
      </c>
      <c r="G890" t="n">
        <v>0.827885704805294</v>
      </c>
      <c r="H890" t="n">
        <v>0.0235871440674577</v>
      </c>
      <c r="I890" t="n">
        <v>0.0368693523045291</v>
      </c>
      <c r="J890" t="n">
        <v>0.4269847751879541</v>
      </c>
      <c r="K890" t="n">
        <v>0.0745522325379676</v>
      </c>
      <c r="L890" t="b">
        <v>0</v>
      </c>
      <c r="M890" t="b">
        <v>0</v>
      </c>
      <c r="N890" t="inlineStr">
        <is>
          <t>ref</t>
        </is>
      </c>
      <c r="O890" t="n">
        <v>-50</v>
      </c>
      <c r="P890" t="n">
        <v>0.0371</v>
      </c>
      <c r="Q890" t="n">
        <v>100</v>
      </c>
      <c r="R890" t="n">
        <v>0.6514</v>
      </c>
      <c r="S890">
        <f>IMAGE("https://mitra.stanford.edu/kundaje/oak/projects/neuro-variants/variant_position/credible/roussos_2024/variant_figures/roussos_2024.childhood.GABA/rs1169314_count_position.png",4,220,900)</f>
        <v/>
      </c>
      <c r="T890">
        <f>IMAGE("https://mitra.stanford.edu/kundaje/oak/projects/neuro-variants/variant_position/credible/roussos_2024/variant_figures/roussos_2024.childhood.GABA/rs1169314_profile_position.png",4,220,900)</f>
        <v/>
      </c>
    </row>
    <row r="891">
      <c r="A891" t="inlineStr">
        <is>
          <t>chr12</t>
        </is>
      </c>
      <c r="B891" t="n">
        <v>121012362</v>
      </c>
      <c r="C891" t="inlineStr">
        <is>
          <t>C</t>
        </is>
      </c>
      <c r="D891" t="inlineStr">
        <is>
          <t>T</t>
        </is>
      </c>
      <c r="E891" t="inlineStr">
        <is>
          <t>rs2264750</t>
        </is>
      </c>
      <c r="F891" t="n">
        <v>-0.0931556352</v>
      </c>
      <c r="G891" t="n">
        <v>0.0413187576894184</v>
      </c>
      <c r="H891" t="n">
        <v>0.0191295071683066</v>
      </c>
      <c r="I891" t="n">
        <v>0.0965507052792766</v>
      </c>
      <c r="J891" t="n">
        <v>0.1193032606646981</v>
      </c>
      <c r="K891" t="n">
        <v>0.352743640350598</v>
      </c>
      <c r="L891" t="b">
        <v>0</v>
      </c>
      <c r="M891" t="b">
        <v>0</v>
      </c>
      <c r="N891" t="inlineStr">
        <is>
          <t>ref</t>
        </is>
      </c>
      <c r="O891" t="n">
        <v>100</v>
      </c>
      <c r="P891" t="n">
        <v>0.0008316</v>
      </c>
      <c r="Q891" t="n">
        <v>15</v>
      </c>
      <c r="R891" t="n">
        <v>0.01495</v>
      </c>
      <c r="S891">
        <f>IMAGE("https://mitra.stanford.edu/kundaje/oak/projects/neuro-variants/variant_position/credible/roussos_2024/variant_figures/roussos_2024.childhood.GABA/rs2264750_count_position.png",4,220,900)</f>
        <v/>
      </c>
      <c r="T891">
        <f>IMAGE("https://mitra.stanford.edu/kundaje/oak/projects/neuro-variants/variant_position/credible/roussos_2024/variant_figures/roussos_2024.childhood.GABA/rs2264750_profile_position.png",4,220,900)</f>
        <v/>
      </c>
    </row>
    <row r="892">
      <c r="A892" t="inlineStr">
        <is>
          <t>chr12</t>
        </is>
      </c>
      <c r="B892" t="n">
        <v>121252752</v>
      </c>
      <c r="C892" t="inlineStr">
        <is>
          <t>T</t>
        </is>
      </c>
      <c r="D892" t="inlineStr">
        <is>
          <t>C</t>
        </is>
      </c>
      <c r="E892" t="inlineStr">
        <is>
          <t>rs2686345</t>
        </is>
      </c>
      <c r="F892" t="n">
        <v>0.058400684</v>
      </c>
      <c r="G892" t="n">
        <v>0.0987911478938628</v>
      </c>
      <c r="H892" t="n">
        <v>0.0111797462594912</v>
      </c>
      <c r="I892" t="n">
        <v>0.5159345436304973</v>
      </c>
      <c r="J892" t="n">
        <v>0.5081746979120856</v>
      </c>
      <c r="K892" t="n">
        <v>0.046822442945183</v>
      </c>
      <c r="L892" t="b">
        <v>0</v>
      </c>
      <c r="M892" t="b">
        <v>0</v>
      </c>
      <c r="N892" t="inlineStr">
        <is>
          <t>alt</t>
        </is>
      </c>
      <c r="O892" t="n">
        <v>100</v>
      </c>
      <c r="P892" t="n">
        <v>0.03387</v>
      </c>
      <c r="Q892" t="n">
        <v>100</v>
      </c>
      <c r="R892" t="n">
        <v>0.4297</v>
      </c>
      <c r="S892">
        <f>IMAGE("https://mitra.stanford.edu/kundaje/oak/projects/neuro-variants/variant_position/credible/roussos_2024/variant_figures/roussos_2024.childhood.GABA/rs2686345_count_position.png",4,220,900)</f>
        <v/>
      </c>
      <c r="T892">
        <f>IMAGE("https://mitra.stanford.edu/kundaje/oak/projects/neuro-variants/variant_position/credible/roussos_2024/variant_figures/roussos_2024.childhood.GABA/rs2686345_profile_position.png",4,220,900)</f>
        <v/>
      </c>
    </row>
    <row r="893">
      <c r="A893" t="inlineStr">
        <is>
          <t>chr12</t>
        </is>
      </c>
      <c r="B893" t="n">
        <v>121389941</v>
      </c>
      <c r="C893" t="inlineStr">
        <is>
          <t>C</t>
        </is>
      </c>
      <c r="D893" t="inlineStr">
        <is>
          <t>A</t>
        </is>
      </c>
      <c r="E893" t="inlineStr">
        <is>
          <t>rs76170072</t>
        </is>
      </c>
      <c r="F893" t="n">
        <v>-0.1255492272</v>
      </c>
      <c r="G893" t="n">
        <v>0.0180282470230693</v>
      </c>
      <c r="H893" t="n">
        <v>0.0149407199853025</v>
      </c>
      <c r="I893" t="n">
        <v>0.2294183751197579</v>
      </c>
      <c r="J893" t="n">
        <v>0.0147127808841698</v>
      </c>
      <c r="K893" t="n">
        <v>0.6920964522030385</v>
      </c>
      <c r="L893" t="b">
        <v>1</v>
      </c>
      <c r="M893" t="b">
        <v>0</v>
      </c>
      <c r="N893" t="inlineStr">
        <is>
          <t>ref</t>
        </is>
      </c>
      <c r="O893" t="n">
        <v>90</v>
      </c>
      <c r="P893" t="n">
        <v>0.02176</v>
      </c>
      <c r="Q893" t="n">
        <v>15</v>
      </c>
      <c r="R893" t="n">
        <v>0.0451</v>
      </c>
      <c r="S893">
        <f>IMAGE("https://mitra.stanford.edu/kundaje/oak/projects/neuro-variants/variant_position/credible/roussos_2024/variant_figures/roussos_2024.childhood.GABA/rs76170072_count_position.png",4,220,900)</f>
        <v/>
      </c>
      <c r="T893">
        <f>IMAGE("https://mitra.stanford.edu/kundaje/oak/projects/neuro-variants/variant_position/credible/roussos_2024/variant_figures/roussos_2024.childhood.GABA/rs76170072_profile_position.png",4,220,900)</f>
        <v/>
      </c>
    </row>
    <row r="894">
      <c r="A894" t="inlineStr">
        <is>
          <t>chr12</t>
        </is>
      </c>
      <c r="B894" t="n">
        <v>121395414</v>
      </c>
      <c r="C894" t="inlineStr">
        <is>
          <t>A</t>
        </is>
      </c>
      <c r="D894" t="inlineStr">
        <is>
          <t>G</t>
        </is>
      </c>
      <c r="E894" t="inlineStr">
        <is>
          <t>rs61697335</t>
        </is>
      </c>
      <c r="F894" t="n">
        <v>0.0920471288</v>
      </c>
      <c r="G894" t="n">
        <v>0.0383133312474581</v>
      </c>
      <c r="H894" t="n">
        <v>0.0128585623584021</v>
      </c>
      <c r="I894" t="n">
        <v>0.3660577289314813</v>
      </c>
      <c r="J894" t="n">
        <v>0.0068825783753219</v>
      </c>
      <c r="K894" t="n">
        <v>0.7893542222271909</v>
      </c>
      <c r="L894" t="b">
        <v>0</v>
      </c>
      <c r="M894" t="b">
        <v>0</v>
      </c>
      <c r="N894" t="inlineStr">
        <is>
          <t>alt</t>
        </is>
      </c>
      <c r="O894" t="n">
        <v>5</v>
      </c>
      <c r="P894" t="n">
        <v>0.002075</v>
      </c>
      <c r="Q894" t="n">
        <v>-100</v>
      </c>
      <c r="R894" t="n">
        <v>0.05414</v>
      </c>
      <c r="S894">
        <f>IMAGE("https://mitra.stanford.edu/kundaje/oak/projects/neuro-variants/variant_position/credible/roussos_2024/variant_figures/roussos_2024.childhood.GABA/rs61697335_count_position.png",4,220,900)</f>
        <v/>
      </c>
      <c r="T894">
        <f>IMAGE("https://mitra.stanford.edu/kundaje/oak/projects/neuro-variants/variant_position/credible/roussos_2024/variant_figures/roussos_2024.childhood.GABA/rs61697335_profile_position.png",4,220,900)</f>
        <v/>
      </c>
    </row>
    <row r="895">
      <c r="A895" t="inlineStr">
        <is>
          <t>chr12</t>
        </is>
      </c>
      <c r="B895" t="n">
        <v>121398384</v>
      </c>
      <c r="C895" t="inlineStr">
        <is>
          <t>A</t>
        </is>
      </c>
      <c r="D895" t="inlineStr">
        <is>
          <t>T</t>
        </is>
      </c>
      <c r="E895" t="inlineStr">
        <is>
          <t>rs11830307</t>
        </is>
      </c>
      <c r="F895" t="n">
        <v>0.0004884105479999</v>
      </c>
      <c r="G895" t="n">
        <v>0.6957667964169901</v>
      </c>
      <c r="H895" t="n">
        <v>0.0191161088534122</v>
      </c>
      <c r="I895" t="n">
        <v>0.0906349275601951</v>
      </c>
      <c r="J895" t="n">
        <v>0.3024962828003601</v>
      </c>
      <c r="K895" t="n">
        <v>0.1352102814541536</v>
      </c>
      <c r="L895" t="b">
        <v>0</v>
      </c>
      <c r="M895" t="b">
        <v>0</v>
      </c>
      <c r="N895" t="inlineStr">
        <is>
          <t>alt</t>
        </is>
      </c>
      <c r="O895" t="n">
        <v>-40</v>
      </c>
      <c r="P895" t="n">
        <v>0.00476</v>
      </c>
      <c r="Q895" t="n">
        <v>50</v>
      </c>
      <c r="R895" t="n">
        <v>0.1486</v>
      </c>
      <c r="S895">
        <f>IMAGE("https://mitra.stanford.edu/kundaje/oak/projects/neuro-variants/variant_position/credible/roussos_2024/variant_figures/roussos_2024.childhood.GABA/rs11830307_count_position.png",4,220,900)</f>
        <v/>
      </c>
      <c r="T895">
        <f>IMAGE("https://mitra.stanford.edu/kundaje/oak/projects/neuro-variants/variant_position/credible/roussos_2024/variant_figures/roussos_2024.childhood.GABA/rs11830307_profile_position.png",4,220,900)</f>
        <v/>
      </c>
    </row>
    <row r="896">
      <c r="A896" t="inlineStr">
        <is>
          <t>chr12</t>
        </is>
      </c>
      <c r="B896" t="n">
        <v>121403345</v>
      </c>
      <c r="C896" t="inlineStr">
        <is>
          <t>A</t>
        </is>
      </c>
      <c r="D896" t="inlineStr">
        <is>
          <t>G</t>
        </is>
      </c>
      <c r="E896" t="inlineStr">
        <is>
          <t>rs59199848</t>
        </is>
      </c>
      <c r="F896" t="n">
        <v>0.0185983976</v>
      </c>
      <c r="G896" t="n">
        <v>0.4270953415473835</v>
      </c>
      <c r="H896" t="n">
        <v>0.0175541702860845</v>
      </c>
      <c r="I896" t="n">
        <v>0.1274018765169111</v>
      </c>
      <c r="J896" t="n">
        <v>0.0194456660593495</v>
      </c>
      <c r="K896" t="n">
        <v>0.6502859686166226</v>
      </c>
      <c r="L896" t="b">
        <v>0</v>
      </c>
      <c r="M896" t="b">
        <v>0</v>
      </c>
      <c r="N896" t="inlineStr">
        <is>
          <t>alt</t>
        </is>
      </c>
      <c r="O896" t="n">
        <v>-5</v>
      </c>
      <c r="P896" t="n">
        <v>0.0006713999999999999</v>
      </c>
      <c r="Q896" t="n">
        <v>100</v>
      </c>
      <c r="R896" t="n">
        <v>0.03583</v>
      </c>
      <c r="S896">
        <f>IMAGE("https://mitra.stanford.edu/kundaje/oak/projects/neuro-variants/variant_position/credible/roussos_2024/variant_figures/roussos_2024.childhood.GABA/rs59199848_count_position.png",4,220,900)</f>
        <v/>
      </c>
      <c r="T896">
        <f>IMAGE("https://mitra.stanford.edu/kundaje/oak/projects/neuro-variants/variant_position/credible/roussos_2024/variant_figures/roussos_2024.childhood.GABA/rs59199848_profile_position.png",4,220,900)</f>
        <v/>
      </c>
    </row>
    <row r="897">
      <c r="A897" t="inlineStr">
        <is>
          <t>chr12</t>
        </is>
      </c>
      <c r="B897" t="n">
        <v>121420405</v>
      </c>
      <c r="C897" t="inlineStr">
        <is>
          <t>A</t>
        </is>
      </c>
      <c r="D897" t="inlineStr">
        <is>
          <t>T</t>
        </is>
      </c>
      <c r="E897" t="inlineStr">
        <is>
          <t>rs3751135</t>
        </is>
      </c>
      <c r="F897" t="n">
        <v>0.0021902371199999</v>
      </c>
      <c r="G897" t="n">
        <v>0.723309528732743</v>
      </c>
      <c r="H897" t="n">
        <v>0.0072234169405974</v>
      </c>
      <c r="I897" t="n">
        <v>0.9192741679425388</v>
      </c>
      <c r="J897" t="n">
        <v>0.1195943540449413</v>
      </c>
      <c r="K897" t="n">
        <v>0.3208757088358029</v>
      </c>
      <c r="L897" t="b">
        <v>0</v>
      </c>
      <c r="M897" t="b">
        <v>0</v>
      </c>
      <c r="N897" t="inlineStr">
        <is>
          <t>alt</t>
        </is>
      </c>
      <c r="O897" t="n">
        <v>70</v>
      </c>
      <c r="P897" t="n">
        <v>0.006653</v>
      </c>
      <c r="Q897" t="n">
        <v>80</v>
      </c>
      <c r="R897" t="n">
        <v>0.0769</v>
      </c>
      <c r="S897">
        <f>IMAGE("https://mitra.stanford.edu/kundaje/oak/projects/neuro-variants/variant_position/credible/roussos_2024/variant_figures/roussos_2024.childhood.GABA/rs3751135_count_position.png",4,220,900)</f>
        <v/>
      </c>
      <c r="T897">
        <f>IMAGE("https://mitra.stanford.edu/kundaje/oak/projects/neuro-variants/variant_position/credible/roussos_2024/variant_figures/roussos_2024.childhood.GABA/rs3751135_profile_position.png",4,220,900)</f>
        <v/>
      </c>
    </row>
    <row r="898">
      <c r="A898" t="inlineStr">
        <is>
          <t>chr12</t>
        </is>
      </c>
      <c r="B898" t="n">
        <v>121426090</v>
      </c>
      <c r="C898" t="inlineStr">
        <is>
          <t>T</t>
        </is>
      </c>
      <c r="D898" t="inlineStr">
        <is>
          <t>C</t>
        </is>
      </c>
      <c r="E898" t="inlineStr">
        <is>
          <t>rs79741351</t>
        </is>
      </c>
      <c r="F898" t="n">
        <v>0.0779472306</v>
      </c>
      <c r="G898" t="n">
        <v>0.0536189985364799</v>
      </c>
      <c r="H898" t="n">
        <v>0.0135440411850157</v>
      </c>
      <c r="I898" t="n">
        <v>0.3112274932709492</v>
      </c>
      <c r="J898" t="n">
        <v>0.0323239303888923</v>
      </c>
      <c r="K898" t="n">
        <v>0.5834751402879117</v>
      </c>
      <c r="L898" t="b">
        <v>0</v>
      </c>
      <c r="M898" t="b">
        <v>0</v>
      </c>
      <c r="N898" t="inlineStr">
        <is>
          <t>alt</t>
        </is>
      </c>
      <c r="O898" t="n">
        <v>-40</v>
      </c>
      <c r="P898" t="n">
        <v>0.002853</v>
      </c>
      <c r="Q898" t="n">
        <v>-45</v>
      </c>
      <c r="R898" t="n">
        <v>0.07464999999999999</v>
      </c>
      <c r="S898">
        <f>IMAGE("https://mitra.stanford.edu/kundaje/oak/projects/neuro-variants/variant_position/credible/roussos_2024/variant_figures/roussos_2024.childhood.GABA/rs79741351_count_position.png",4,220,900)</f>
        <v/>
      </c>
      <c r="T898">
        <f>IMAGE("https://mitra.stanford.edu/kundaje/oak/projects/neuro-variants/variant_position/credible/roussos_2024/variant_figures/roussos_2024.childhood.GABA/rs79741351_profile_position.png",4,220,900)</f>
        <v/>
      </c>
    </row>
    <row r="899">
      <c r="A899" t="inlineStr">
        <is>
          <t>chr12</t>
        </is>
      </c>
      <c r="B899" t="n">
        <v>121429454</v>
      </c>
      <c r="C899" t="inlineStr">
        <is>
          <t>A</t>
        </is>
      </c>
      <c r="D899" t="inlineStr">
        <is>
          <t>C</t>
        </is>
      </c>
      <c r="E899" t="inlineStr">
        <is>
          <t>rs13754</t>
        </is>
      </c>
      <c r="F899" t="n">
        <v>-0.01637789054</v>
      </c>
      <c r="G899" t="n">
        <v>0.4989113122769341</v>
      </c>
      <c r="H899" t="n">
        <v>0.0159467864383214</v>
      </c>
      <c r="I899" t="n">
        <v>0.1835604021650838</v>
      </c>
      <c r="J899" t="n">
        <v>0.08526523004753821</v>
      </c>
      <c r="K899" t="n">
        <v>0.3849719648407643</v>
      </c>
      <c r="L899" t="b">
        <v>0</v>
      </c>
      <c r="M899" t="b">
        <v>0</v>
      </c>
      <c r="N899" t="inlineStr">
        <is>
          <t>ref</t>
        </is>
      </c>
      <c r="O899" t="n">
        <v>70</v>
      </c>
      <c r="P899" t="n">
        <v>0.005295</v>
      </c>
      <c r="Q899" t="n">
        <v>-100</v>
      </c>
      <c r="R899" t="n">
        <v>0.0548</v>
      </c>
      <c r="S899">
        <f>IMAGE("https://mitra.stanford.edu/kundaje/oak/projects/neuro-variants/variant_position/credible/roussos_2024/variant_figures/roussos_2024.childhood.GABA/rs13754_count_position.png",4,220,900)</f>
        <v/>
      </c>
      <c r="T899">
        <f>IMAGE("https://mitra.stanford.edu/kundaje/oak/projects/neuro-variants/variant_position/credible/roussos_2024/variant_figures/roussos_2024.childhood.GABA/rs13754_profile_position.png",4,220,900)</f>
        <v/>
      </c>
    </row>
    <row r="900">
      <c r="A900" t="inlineStr">
        <is>
          <t>chr12</t>
        </is>
      </c>
      <c r="B900" t="n">
        <v>121457323</v>
      </c>
      <c r="C900" t="inlineStr">
        <is>
          <t>G</t>
        </is>
      </c>
      <c r="D900" t="inlineStr">
        <is>
          <t>A</t>
        </is>
      </c>
      <c r="E900" t="inlineStr">
        <is>
          <t>rs111782135</t>
        </is>
      </c>
      <c r="F900" t="n">
        <v>-0.0439054264</v>
      </c>
      <c r="G900" t="n">
        <v>0.1783399029106049</v>
      </c>
      <c r="H900" t="n">
        <v>0.0132507892029244</v>
      </c>
      <c r="I900" t="n">
        <v>0.3370203086306443</v>
      </c>
      <c r="J900" t="n">
        <v>0.2154771627819312</v>
      </c>
      <c r="K900" t="n">
        <v>0.2045313611008028</v>
      </c>
      <c r="L900" t="b">
        <v>0</v>
      </c>
      <c r="M900" t="b">
        <v>0</v>
      </c>
      <c r="N900" t="inlineStr">
        <is>
          <t>ref</t>
        </is>
      </c>
      <c r="O900" t="n">
        <v>5</v>
      </c>
      <c r="P900" t="n">
        <v>0.0001068</v>
      </c>
      <c r="Q900" t="n">
        <v>100</v>
      </c>
      <c r="R900" t="n">
        <v>0.06383999999999999</v>
      </c>
      <c r="S900">
        <f>IMAGE("https://mitra.stanford.edu/kundaje/oak/projects/neuro-variants/variant_position/credible/roussos_2024/variant_figures/roussos_2024.childhood.GABA/rs111782135_count_position.png",4,220,900)</f>
        <v/>
      </c>
      <c r="T900">
        <f>IMAGE("https://mitra.stanford.edu/kundaje/oak/projects/neuro-variants/variant_position/credible/roussos_2024/variant_figures/roussos_2024.childhood.GABA/rs111782135_profile_position.png",4,220,900)</f>
        <v/>
      </c>
    </row>
    <row r="901">
      <c r="A901" t="inlineStr">
        <is>
          <t>chr12</t>
        </is>
      </c>
      <c r="B901" t="n">
        <v>121461233</v>
      </c>
      <c r="C901" t="inlineStr">
        <is>
          <t>G</t>
        </is>
      </c>
      <c r="D901" t="inlineStr">
        <is>
          <t>A</t>
        </is>
      </c>
      <c r="E901" t="inlineStr">
        <is>
          <t>rs74543852</t>
        </is>
      </c>
      <c r="F901" t="n">
        <v>0.0213852435</v>
      </c>
      <c r="G901" t="n">
        <v>0.3927577642268302</v>
      </c>
      <c r="H901" t="n">
        <v>0.0088584920887072</v>
      </c>
      <c r="I901" t="n">
        <v>0.7558942157157074</v>
      </c>
      <c r="J901" t="n">
        <v>0.3505832338589768</v>
      </c>
      <c r="K901" t="n">
        <v>0.1085352425313074</v>
      </c>
      <c r="L901" t="b">
        <v>0</v>
      </c>
      <c r="M901" t="b">
        <v>0</v>
      </c>
      <c r="N901" t="inlineStr">
        <is>
          <t>alt</t>
        </is>
      </c>
      <c r="O901" t="n">
        <v>100</v>
      </c>
      <c r="P901" t="n">
        <v>0.00772</v>
      </c>
      <c r="Q901" t="n">
        <v>-45</v>
      </c>
      <c r="R901" t="n">
        <v>0.06152</v>
      </c>
      <c r="S901">
        <f>IMAGE("https://mitra.stanford.edu/kundaje/oak/projects/neuro-variants/variant_position/credible/roussos_2024/variant_figures/roussos_2024.childhood.GABA/rs74543852_count_position.png",4,220,900)</f>
        <v/>
      </c>
      <c r="T901">
        <f>IMAGE("https://mitra.stanford.edu/kundaje/oak/projects/neuro-variants/variant_position/credible/roussos_2024/variant_figures/roussos_2024.childhood.GABA/rs74543852_profile_position.png",4,220,900)</f>
        <v/>
      </c>
    </row>
    <row r="902">
      <c r="A902" t="inlineStr">
        <is>
          <t>chr12</t>
        </is>
      </c>
      <c r="B902" t="n">
        <v>122065538</v>
      </c>
      <c r="C902" t="inlineStr">
        <is>
          <t>G</t>
        </is>
      </c>
      <c r="D902" t="inlineStr">
        <is>
          <t>A</t>
        </is>
      </c>
      <c r="E902" t="inlineStr">
        <is>
          <t>rs34974633</t>
        </is>
      </c>
      <c r="F902" t="n">
        <v>0.01133427414</v>
      </c>
      <c r="G902" t="n">
        <v>0.6078143187364007</v>
      </c>
      <c r="H902" t="n">
        <v>0.009532344426576699</v>
      </c>
      <c r="I902" t="n">
        <v>0.6958012598266172</v>
      </c>
      <c r="J902" t="n">
        <v>0.2184373102133986</v>
      </c>
      <c r="K902" t="n">
        <v>0.1988281133389521</v>
      </c>
      <c r="L902" t="b">
        <v>0</v>
      </c>
      <c r="M902" t="b">
        <v>0</v>
      </c>
      <c r="N902" t="inlineStr">
        <is>
          <t>alt</t>
        </is>
      </c>
      <c r="O902" t="n">
        <v>100</v>
      </c>
      <c r="P902" t="n">
        <v>0.0157</v>
      </c>
      <c r="Q902" t="n">
        <v>0</v>
      </c>
      <c r="R902" t="n">
        <v>0</v>
      </c>
      <c r="S902">
        <f>IMAGE("https://mitra.stanford.edu/kundaje/oak/projects/neuro-variants/variant_position/credible/roussos_2024/variant_figures/roussos_2024.childhood.GABA/rs34974633_count_position.png",4,220,900)</f>
        <v/>
      </c>
      <c r="T902">
        <f>IMAGE("https://mitra.stanford.edu/kundaje/oak/projects/neuro-variants/variant_position/credible/roussos_2024/variant_figures/roussos_2024.childhood.GABA/rs34974633_profile_position.png",4,220,900)</f>
        <v/>
      </c>
    </row>
    <row r="903">
      <c r="A903" t="inlineStr">
        <is>
          <t>chr12</t>
        </is>
      </c>
      <c r="B903" t="n">
        <v>122067480</v>
      </c>
      <c r="C903" t="inlineStr">
        <is>
          <t>G</t>
        </is>
      </c>
      <c r="D903" t="inlineStr">
        <is>
          <t>A</t>
        </is>
      </c>
      <c r="E903" t="inlineStr">
        <is>
          <t>rs61952902</t>
        </is>
      </c>
      <c r="F903" t="n">
        <v>0.0003529912</v>
      </c>
      <c r="G903" t="n">
        <v>0.8909479380569553</v>
      </c>
      <c r="H903" t="n">
        <v>0.0284320121929555</v>
      </c>
      <c r="I903" t="n">
        <v>0.0161826139165086</v>
      </c>
      <c r="J903" t="n">
        <v>0.0746403216686561</v>
      </c>
      <c r="K903" t="n">
        <v>0.4260431562371006</v>
      </c>
      <c r="L903" t="b">
        <v>1</v>
      </c>
      <c r="M903" t="b">
        <v>0</v>
      </c>
      <c r="N903" t="inlineStr">
        <is>
          <t>alt</t>
        </is>
      </c>
      <c r="O903" t="n">
        <v>100</v>
      </c>
      <c r="P903" t="n">
        <v>0.00941</v>
      </c>
      <c r="Q903" t="n">
        <v>5</v>
      </c>
      <c r="R903" t="n">
        <v>0.004517</v>
      </c>
      <c r="S903">
        <f>IMAGE("https://mitra.stanford.edu/kundaje/oak/projects/neuro-variants/variant_position/credible/roussos_2024/variant_figures/roussos_2024.childhood.GABA/rs61952902_count_position.png",4,220,900)</f>
        <v/>
      </c>
      <c r="T903">
        <f>IMAGE("https://mitra.stanford.edu/kundaje/oak/projects/neuro-variants/variant_position/credible/roussos_2024/variant_figures/roussos_2024.childhood.GABA/rs61952902_profile_position.png",4,220,900)</f>
        <v/>
      </c>
    </row>
    <row r="904">
      <c r="A904" t="inlineStr">
        <is>
          <t>chr12</t>
        </is>
      </c>
      <c r="B904" t="n">
        <v>122087073</v>
      </c>
      <c r="C904" t="inlineStr">
        <is>
          <t>G</t>
        </is>
      </c>
      <c r="D904" t="inlineStr">
        <is>
          <t>A</t>
        </is>
      </c>
      <c r="E904" t="inlineStr">
        <is>
          <t>rs36167334</t>
        </is>
      </c>
      <c r="F904" t="n">
        <v>-0.0171237166799999</v>
      </c>
      <c r="G904" t="n">
        <v>0.4677514330523215</v>
      </c>
      <c r="H904" t="n">
        <v>0.008972348949221101</v>
      </c>
      <c r="I904" t="n">
        <v>0.7426375789748402</v>
      </c>
      <c r="J904" t="n">
        <v>0.3864756759020753</v>
      </c>
      <c r="K904" t="n">
        <v>0.09162977055621919</v>
      </c>
      <c r="L904" t="b">
        <v>0</v>
      </c>
      <c r="M904" t="b">
        <v>0</v>
      </c>
      <c r="N904" t="inlineStr">
        <is>
          <t>ref</t>
        </is>
      </c>
      <c r="O904" t="n">
        <v>-15</v>
      </c>
      <c r="P904" t="n">
        <v>0.001329</v>
      </c>
      <c r="Q904" t="n">
        <v>-15</v>
      </c>
      <c r="R904" t="n">
        <v>0.0629</v>
      </c>
      <c r="S904">
        <f>IMAGE("https://mitra.stanford.edu/kundaje/oak/projects/neuro-variants/variant_position/credible/roussos_2024/variant_figures/roussos_2024.childhood.GABA/rs36167334_count_position.png",4,220,900)</f>
        <v/>
      </c>
      <c r="T904">
        <f>IMAGE("https://mitra.stanford.edu/kundaje/oak/projects/neuro-variants/variant_position/credible/roussos_2024/variant_figures/roussos_2024.childhood.GABA/rs36167334_profile_position.png",4,220,900)</f>
        <v/>
      </c>
    </row>
    <row r="905">
      <c r="A905" t="inlineStr">
        <is>
          <t>chr12</t>
        </is>
      </c>
      <c r="B905" t="n">
        <v>122092107</v>
      </c>
      <c r="C905" t="inlineStr">
        <is>
          <t>C</t>
        </is>
      </c>
      <c r="D905" t="inlineStr">
        <is>
          <t>T</t>
        </is>
      </c>
      <c r="E905" t="inlineStr">
        <is>
          <t>rs146055085</t>
        </is>
      </c>
      <c r="F905" t="n">
        <v>0.0115684289599999</v>
      </c>
      <c r="G905" t="n">
        <v>0.5854097507312639</v>
      </c>
      <c r="H905" t="n">
        <v>0.0464632692919852</v>
      </c>
      <c r="I905" t="n">
        <v>0.0022171130192162</v>
      </c>
      <c r="J905" t="n">
        <v>0.0185985633808715</v>
      </c>
      <c r="K905" t="n">
        <v>0.6677192599279642</v>
      </c>
      <c r="L905" t="b">
        <v>1</v>
      </c>
      <c r="M905" t="b">
        <v>0</v>
      </c>
      <c r="N905" t="inlineStr">
        <is>
          <t>alt</t>
        </is>
      </c>
      <c r="O905" t="n">
        <v>45</v>
      </c>
      <c r="P905" t="n">
        <v>0.00659</v>
      </c>
      <c r="Q905" t="n">
        <v>-30</v>
      </c>
      <c r="R905" t="n">
        <v>0.02393</v>
      </c>
      <c r="S905">
        <f>IMAGE("https://mitra.stanford.edu/kundaje/oak/projects/neuro-variants/variant_position/credible/roussos_2024/variant_figures/roussos_2024.childhood.GABA/rs146055085_count_position.png",4,220,900)</f>
        <v/>
      </c>
      <c r="T905">
        <f>IMAGE("https://mitra.stanford.edu/kundaje/oak/projects/neuro-variants/variant_position/credible/roussos_2024/variant_figures/roussos_2024.childhood.GABA/rs146055085_profile_position.png",4,220,900)</f>
        <v/>
      </c>
    </row>
    <row r="906">
      <c r="A906" t="inlineStr">
        <is>
          <t>chr12</t>
        </is>
      </c>
      <c r="B906" t="n">
        <v>122097852</v>
      </c>
      <c r="C906" t="inlineStr">
        <is>
          <t>T</t>
        </is>
      </c>
      <c r="D906" t="inlineStr">
        <is>
          <t>C</t>
        </is>
      </c>
      <c r="E906" t="inlineStr">
        <is>
          <t>rs373281699</t>
        </is>
      </c>
      <c r="F906" t="n">
        <v>0.0573981006</v>
      </c>
      <c r="G906" t="n">
        <v>0.10819986873832</v>
      </c>
      <c r="H906" t="n">
        <v>0.0157512550461906</v>
      </c>
      <c r="I906" t="n">
        <v>0.1935038866083643</v>
      </c>
      <c r="J906" t="n">
        <v>0.3856955875269627</v>
      </c>
      <c r="K906" t="n">
        <v>0.0910766432256713</v>
      </c>
      <c r="L906" t="b">
        <v>0</v>
      </c>
      <c r="M906" t="b">
        <v>0</v>
      </c>
      <c r="N906" t="inlineStr">
        <is>
          <t>alt</t>
        </is>
      </c>
      <c r="O906" t="n">
        <v>-100</v>
      </c>
      <c r="P906" t="n">
        <v>0.007298</v>
      </c>
      <c r="Q906" t="n">
        <v>100</v>
      </c>
      <c r="R906" t="n">
        <v>0.246</v>
      </c>
      <c r="S906">
        <f>IMAGE("https://mitra.stanford.edu/kundaje/oak/projects/neuro-variants/variant_position/credible/roussos_2024/variant_figures/roussos_2024.childhood.GABA/rs373281699_count_position.png",4,220,900)</f>
        <v/>
      </c>
      <c r="T906">
        <f>IMAGE("https://mitra.stanford.edu/kundaje/oak/projects/neuro-variants/variant_position/credible/roussos_2024/variant_figures/roussos_2024.childhood.GABA/rs373281699_profile_position.png",4,220,900)</f>
        <v/>
      </c>
    </row>
    <row r="907">
      <c r="A907" t="inlineStr">
        <is>
          <t>chr12</t>
        </is>
      </c>
      <c r="B907" t="n">
        <v>122103844</v>
      </c>
      <c r="C907" t="inlineStr">
        <is>
          <t>T</t>
        </is>
      </c>
      <c r="D907" t="inlineStr">
        <is>
          <t>G</t>
        </is>
      </c>
      <c r="E907" t="inlineStr">
        <is>
          <t>rs374837345</t>
        </is>
      </c>
      <c r="F907" t="n">
        <v>-0.00728827168</v>
      </c>
      <c r="G907" t="n">
        <v>0.6844566165841449</v>
      </c>
      <c r="H907" t="n">
        <v>0.0323333826174611</v>
      </c>
      <c r="I907" t="n">
        <v>0.009114738491721799</v>
      </c>
      <c r="J907" t="n">
        <v>0.0532041213796569</v>
      </c>
      <c r="K907" t="n">
        <v>0.4921818638114177</v>
      </c>
      <c r="L907" t="b">
        <v>1</v>
      </c>
      <c r="M907" t="b">
        <v>1</v>
      </c>
      <c r="N907" t="inlineStr">
        <is>
          <t>ref</t>
        </is>
      </c>
      <c r="O907" t="n">
        <v>-80</v>
      </c>
      <c r="P907" t="n">
        <v>0.0359</v>
      </c>
      <c r="Q907" t="n">
        <v>100</v>
      </c>
      <c r="R907" t="n">
        <v>0.0453</v>
      </c>
      <c r="S907">
        <f>IMAGE("https://mitra.stanford.edu/kundaje/oak/projects/neuro-variants/variant_position/credible/roussos_2024/variant_figures/roussos_2024.childhood.GABA/rs374837345_count_position.png",4,220,900)</f>
        <v/>
      </c>
      <c r="T907">
        <f>IMAGE("https://mitra.stanford.edu/kundaje/oak/projects/neuro-variants/variant_position/credible/roussos_2024/variant_figures/roussos_2024.childhood.GABA/rs374837345_profile_position.png",4,220,900)</f>
        <v/>
      </c>
    </row>
    <row r="908">
      <c r="A908" t="inlineStr">
        <is>
          <t>chr12</t>
        </is>
      </c>
      <c r="B908" t="n">
        <v>122114047</v>
      </c>
      <c r="C908" t="inlineStr">
        <is>
          <t>A</t>
        </is>
      </c>
      <c r="D908" t="inlineStr">
        <is>
          <t>G</t>
        </is>
      </c>
      <c r="E908" t="inlineStr">
        <is>
          <t>rs28421373</t>
        </is>
      </c>
      <c r="F908" t="n">
        <v>0.0506220273999999</v>
      </c>
      <c r="G908" t="n">
        <v>0.1340133074659197</v>
      </c>
      <c r="H908" t="n">
        <v>0.0146371643220758</v>
      </c>
      <c r="I908" t="n">
        <v>0.242823088850291</v>
      </c>
      <c r="J908" t="n">
        <v>0.08510502397855529</v>
      </c>
      <c r="K908" t="n">
        <v>0.4041468923507511</v>
      </c>
      <c r="L908" t="b">
        <v>0</v>
      </c>
      <c r="M908" t="b">
        <v>0</v>
      </c>
      <c r="N908" t="inlineStr">
        <is>
          <t>alt</t>
        </is>
      </c>
      <c r="O908" t="n">
        <v>-100</v>
      </c>
      <c r="P908" t="n">
        <v>0.013306</v>
      </c>
      <c r="Q908" t="n">
        <v>-100</v>
      </c>
      <c r="R908" t="n">
        <v>0.0804</v>
      </c>
      <c r="S908">
        <f>IMAGE("https://mitra.stanford.edu/kundaje/oak/projects/neuro-variants/variant_position/credible/roussos_2024/variant_figures/roussos_2024.childhood.GABA/rs28421373_count_position.png",4,220,900)</f>
        <v/>
      </c>
      <c r="T908">
        <f>IMAGE("https://mitra.stanford.edu/kundaje/oak/projects/neuro-variants/variant_position/credible/roussos_2024/variant_figures/roussos_2024.childhood.GABA/rs28421373_profile_position.png",4,220,900)</f>
        <v/>
      </c>
    </row>
    <row r="909">
      <c r="A909" t="inlineStr">
        <is>
          <t>chr12</t>
        </is>
      </c>
      <c r="B909" t="n">
        <v>122118352</v>
      </c>
      <c r="C909" t="inlineStr">
        <is>
          <t>C</t>
        </is>
      </c>
      <c r="D909" t="inlineStr">
        <is>
          <t>A</t>
        </is>
      </c>
      <c r="E909" t="inlineStr">
        <is>
          <t>rs28430881</t>
        </is>
      </c>
      <c r="F909" t="n">
        <v>-0.0298485318</v>
      </c>
      <c r="G909" t="n">
        <v>0.2998343433087354</v>
      </c>
      <c r="H909" t="n">
        <v>0.0137128531328135</v>
      </c>
      <c r="I909" t="n">
        <v>0.294110291151394</v>
      </c>
      <c r="J909" t="n">
        <v>0.1522512617536805</v>
      </c>
      <c r="K909" t="n">
        <v>0.2778810605150996</v>
      </c>
      <c r="L909" t="b">
        <v>0</v>
      </c>
      <c r="M909" t="b">
        <v>0</v>
      </c>
      <c r="N909" t="inlineStr">
        <is>
          <t>ref</t>
        </is>
      </c>
      <c r="O909" t="n">
        <v>0</v>
      </c>
      <c r="P909" t="n">
        <v>0</v>
      </c>
      <c r="Q909" t="n">
        <v>-40</v>
      </c>
      <c r="R909" t="n">
        <v>0.3025</v>
      </c>
      <c r="S909">
        <f>IMAGE("https://mitra.stanford.edu/kundaje/oak/projects/neuro-variants/variant_position/credible/roussos_2024/variant_figures/roussos_2024.childhood.GABA/rs28430881_count_position.png",4,220,900)</f>
        <v/>
      </c>
      <c r="T909">
        <f>IMAGE("https://mitra.stanford.edu/kundaje/oak/projects/neuro-variants/variant_position/credible/roussos_2024/variant_figures/roussos_2024.childhood.GABA/rs28430881_profile_position.png",4,220,900)</f>
        <v/>
      </c>
    </row>
    <row r="910">
      <c r="A910" t="inlineStr">
        <is>
          <t>chr12</t>
        </is>
      </c>
      <c r="B910" t="n">
        <v>122119686</v>
      </c>
      <c r="C910" t="inlineStr">
        <is>
          <t>T</t>
        </is>
      </c>
      <c r="D910" t="inlineStr">
        <is>
          <t>C</t>
        </is>
      </c>
      <c r="E910" t="inlineStr">
        <is>
          <t>rs28498376</t>
        </is>
      </c>
      <c r="F910" t="n">
        <v>-0.01705153324</v>
      </c>
      <c r="G910" t="n">
        <v>0.4665868495468084</v>
      </c>
      <c r="H910" t="n">
        <v>0.0562821925108814</v>
      </c>
      <c r="I910" t="n">
        <v>0.0012351227763357</v>
      </c>
      <c r="J910" t="n">
        <v>0.1334443257732821</v>
      </c>
      <c r="K910" t="n">
        <v>0.3090407610862932</v>
      </c>
      <c r="L910" t="b">
        <v>1</v>
      </c>
      <c r="M910" t="b">
        <v>1</v>
      </c>
      <c r="N910" t="inlineStr">
        <is>
          <t>ref</t>
        </is>
      </c>
      <c r="O910" t="n">
        <v>-90</v>
      </c>
      <c r="P910" t="n">
        <v>0.003418</v>
      </c>
      <c r="Q910" t="n">
        <v>90</v>
      </c>
      <c r="R910" t="n">
        <v>0.03113</v>
      </c>
      <c r="S910">
        <f>IMAGE("https://mitra.stanford.edu/kundaje/oak/projects/neuro-variants/variant_position/credible/roussos_2024/variant_figures/roussos_2024.childhood.GABA/rs28498376_count_position.png",4,220,900)</f>
        <v/>
      </c>
      <c r="T910">
        <f>IMAGE("https://mitra.stanford.edu/kundaje/oak/projects/neuro-variants/variant_position/credible/roussos_2024/variant_figures/roussos_2024.childhood.GABA/rs28498376_profile_position.png",4,220,900)</f>
        <v/>
      </c>
    </row>
    <row r="911">
      <c r="A911" t="inlineStr">
        <is>
          <t>chr12</t>
        </is>
      </c>
      <c r="B911" t="n">
        <v>122122115</v>
      </c>
      <c r="C911" t="inlineStr">
        <is>
          <t>G</t>
        </is>
      </c>
      <c r="D911" t="inlineStr">
        <is>
          <t>A</t>
        </is>
      </c>
      <c r="E911" t="inlineStr">
        <is>
          <t>rs28478366</t>
        </is>
      </c>
      <c r="F911" t="n">
        <v>0.0164398916</v>
      </c>
      <c r="G911" t="n">
        <v>0.4733551508962735</v>
      </c>
      <c r="H911" t="n">
        <v>0.007858240390680201</v>
      </c>
      <c r="I911" t="n">
        <v>0.8781991575843203</v>
      </c>
      <c r="J911" t="n">
        <v>0.231846453477414</v>
      </c>
      <c r="K911" t="n">
        <v>0.188189211764463</v>
      </c>
      <c r="L911" t="b">
        <v>0</v>
      </c>
      <c r="M911" t="b">
        <v>0</v>
      </c>
      <c r="N911" t="inlineStr">
        <is>
          <t>alt</t>
        </is>
      </c>
      <c r="O911" t="n">
        <v>-80</v>
      </c>
      <c r="P911" t="n">
        <v>0.00752</v>
      </c>
      <c r="Q911" t="n">
        <v>-100</v>
      </c>
      <c r="R911" t="n">
        <v>0.1211</v>
      </c>
      <c r="S911">
        <f>IMAGE("https://mitra.stanford.edu/kundaje/oak/projects/neuro-variants/variant_position/credible/roussos_2024/variant_figures/roussos_2024.childhood.GABA/rs28478366_count_position.png",4,220,900)</f>
        <v/>
      </c>
      <c r="T911">
        <f>IMAGE("https://mitra.stanford.edu/kundaje/oak/projects/neuro-variants/variant_position/credible/roussos_2024/variant_figures/roussos_2024.childhood.GABA/rs28478366_profile_position.png",4,220,900)</f>
        <v/>
      </c>
    </row>
    <row r="912">
      <c r="A912" t="inlineStr">
        <is>
          <t>chr12</t>
        </is>
      </c>
      <c r="B912" t="n">
        <v>122122290</v>
      </c>
      <c r="C912" t="inlineStr">
        <is>
          <t>C</t>
        </is>
      </c>
      <c r="D912" t="inlineStr">
        <is>
          <t>T</t>
        </is>
      </c>
      <c r="E912" t="inlineStr">
        <is>
          <t>rs11059094</t>
        </is>
      </c>
      <c r="F912" t="n">
        <v>-0.0360095492</v>
      </c>
      <c r="G912" t="n">
        <v>0.2371850491142023</v>
      </c>
      <c r="H912" t="n">
        <v>0.0102984907086276</v>
      </c>
      <c r="I912" t="n">
        <v>0.6133941009265257</v>
      </c>
      <c r="J912" t="n">
        <v>0.2253649138237942</v>
      </c>
      <c r="K912" t="n">
        <v>0.1953568461270231</v>
      </c>
      <c r="L912" t="b">
        <v>0</v>
      </c>
      <c r="M912" t="b">
        <v>0</v>
      </c>
      <c r="N912" t="inlineStr">
        <is>
          <t>ref</t>
        </is>
      </c>
      <c r="O912" t="n">
        <v>-40</v>
      </c>
      <c r="P912" t="n">
        <v>0.003035</v>
      </c>
      <c r="Q912" t="n">
        <v>-90</v>
      </c>
      <c r="R912" t="n">
        <v>0.05298</v>
      </c>
      <c r="S912">
        <f>IMAGE("https://mitra.stanford.edu/kundaje/oak/projects/neuro-variants/variant_position/credible/roussos_2024/variant_figures/roussos_2024.childhood.GABA/rs11059094_count_position.png",4,220,900)</f>
        <v/>
      </c>
      <c r="T912">
        <f>IMAGE("https://mitra.stanford.edu/kundaje/oak/projects/neuro-variants/variant_position/credible/roussos_2024/variant_figures/roussos_2024.childhood.GABA/rs11059094_profile_position.png",4,220,900)</f>
        <v/>
      </c>
    </row>
    <row r="913">
      <c r="A913" t="inlineStr">
        <is>
          <t>chr12</t>
        </is>
      </c>
      <c r="B913" t="n">
        <v>122123955</v>
      </c>
      <c r="C913" t="inlineStr">
        <is>
          <t>T</t>
        </is>
      </c>
      <c r="D913" t="inlineStr">
        <is>
          <t>C</t>
        </is>
      </c>
      <c r="E913" t="inlineStr">
        <is>
          <t>rs11609875</t>
        </is>
      </c>
      <c r="F913" t="n">
        <v>0.01050761504</v>
      </c>
      <c r="G913" t="n">
        <v>0.588761840758257</v>
      </c>
      <c r="H913" t="n">
        <v>0.0097329753277909</v>
      </c>
      <c r="I913" t="n">
        <v>0.6701056996362176</v>
      </c>
      <c r="J913" t="n">
        <v>0.6665640510146384</v>
      </c>
      <c r="K913" t="n">
        <v>0.0189007776174071</v>
      </c>
      <c r="L913" t="b">
        <v>0</v>
      </c>
      <c r="M913" t="b">
        <v>0</v>
      </c>
      <c r="N913" t="inlineStr">
        <is>
          <t>alt</t>
        </is>
      </c>
      <c r="O913" t="n">
        <v>-95</v>
      </c>
      <c r="P913" t="n">
        <v>0.005707</v>
      </c>
      <c r="Q913" t="n">
        <v>100</v>
      </c>
      <c r="R913" t="n">
        <v>0.0939</v>
      </c>
      <c r="S913">
        <f>IMAGE("https://mitra.stanford.edu/kundaje/oak/projects/neuro-variants/variant_position/credible/roussos_2024/variant_figures/roussos_2024.childhood.GABA/rs11609875_count_position.png",4,220,900)</f>
        <v/>
      </c>
      <c r="T913">
        <f>IMAGE("https://mitra.stanford.edu/kundaje/oak/projects/neuro-variants/variant_position/credible/roussos_2024/variant_figures/roussos_2024.childhood.GABA/rs11609875_profile_position.png",4,220,900)</f>
        <v/>
      </c>
    </row>
    <row r="914">
      <c r="A914" t="inlineStr">
        <is>
          <t>chr12</t>
        </is>
      </c>
      <c r="B914" t="n">
        <v>122124584</v>
      </c>
      <c r="C914" t="inlineStr">
        <is>
          <t>C</t>
        </is>
      </c>
      <c r="D914" t="inlineStr">
        <is>
          <t>T</t>
        </is>
      </c>
      <c r="E914" t="inlineStr">
        <is>
          <t>rs11057905</t>
        </is>
      </c>
      <c r="F914" t="n">
        <v>-0.0155682402</v>
      </c>
      <c r="G914" t="n">
        <v>0.497650454865181</v>
      </c>
      <c r="H914" t="n">
        <v>0.011424538501538</v>
      </c>
      <c r="I914" t="n">
        <v>0.4933666107979145</v>
      </c>
      <c r="J914" t="n">
        <v>0.5321794307972608</v>
      </c>
      <c r="K914" t="n">
        <v>0.0430102269138189</v>
      </c>
      <c r="L914" t="b">
        <v>0</v>
      </c>
      <c r="M914" t="b">
        <v>0</v>
      </c>
      <c r="N914" t="inlineStr">
        <is>
          <t>ref</t>
        </is>
      </c>
      <c r="O914" t="n">
        <v>-100</v>
      </c>
      <c r="P914" t="n">
        <v>0.01437</v>
      </c>
      <c r="Q914" t="n">
        <v>-100</v>
      </c>
      <c r="R914" t="n">
        <v>0.2893</v>
      </c>
      <c r="S914">
        <f>IMAGE("https://mitra.stanford.edu/kundaje/oak/projects/neuro-variants/variant_position/credible/roussos_2024/variant_figures/roussos_2024.childhood.GABA/rs11057905_count_position.png",4,220,900)</f>
        <v/>
      </c>
      <c r="T914">
        <f>IMAGE("https://mitra.stanford.edu/kundaje/oak/projects/neuro-variants/variant_position/credible/roussos_2024/variant_figures/roussos_2024.childhood.GABA/rs11057905_profile_position.png",4,220,900)</f>
        <v/>
      </c>
    </row>
    <row r="915">
      <c r="A915" t="inlineStr">
        <is>
          <t>chr12</t>
        </is>
      </c>
      <c r="B915" t="n">
        <v>122125237</v>
      </c>
      <c r="C915" t="inlineStr">
        <is>
          <t>C</t>
        </is>
      </c>
      <c r="D915" t="inlineStr">
        <is>
          <t>T</t>
        </is>
      </c>
      <c r="E915" t="inlineStr">
        <is>
          <t>rs114490539</t>
        </is>
      </c>
      <c r="F915" t="n">
        <v>-0.115522177</v>
      </c>
      <c r="G915" t="n">
        <v>0.0203770814623557</v>
      </c>
      <c r="H915" t="n">
        <v>0.0163681624750482</v>
      </c>
      <c r="I915" t="n">
        <v>0.1781140556668944</v>
      </c>
      <c r="J915" t="n">
        <v>0.2562658373646624</v>
      </c>
      <c r="K915" t="n">
        <v>0.1700375145921559</v>
      </c>
      <c r="L915" t="b">
        <v>1</v>
      </c>
      <c r="M915" t="b">
        <v>0</v>
      </c>
      <c r="N915" t="inlineStr">
        <is>
          <t>ref</t>
        </is>
      </c>
      <c r="O915" t="n">
        <v>50</v>
      </c>
      <c r="P915" t="n">
        <v>0.001801</v>
      </c>
      <c r="Q915" t="n">
        <v>-100</v>
      </c>
      <c r="R915" t="n">
        <v>0.04572</v>
      </c>
      <c r="S915">
        <f>IMAGE("https://mitra.stanford.edu/kundaje/oak/projects/neuro-variants/variant_position/credible/roussos_2024/variant_figures/roussos_2024.childhood.GABA/rs114490539_count_position.png",4,220,900)</f>
        <v/>
      </c>
      <c r="T915">
        <f>IMAGE("https://mitra.stanford.edu/kundaje/oak/projects/neuro-variants/variant_position/credible/roussos_2024/variant_figures/roussos_2024.childhood.GABA/rs114490539_profile_position.png",4,220,900)</f>
        <v/>
      </c>
    </row>
    <row r="916">
      <c r="A916" t="inlineStr">
        <is>
          <t>chr12</t>
        </is>
      </c>
      <c r="B916" t="n">
        <v>122125472</v>
      </c>
      <c r="C916" t="inlineStr">
        <is>
          <t>C</t>
        </is>
      </c>
      <c r="D916" t="inlineStr">
        <is>
          <t>A</t>
        </is>
      </c>
      <c r="E916" t="inlineStr">
        <is>
          <t>rs4758691</t>
        </is>
      </c>
      <c r="F916" t="n">
        <v>0.0057614405</v>
      </c>
      <c r="G916" t="n">
        <v>0.7576377742378927</v>
      </c>
      <c r="H916" t="n">
        <v>0.0087522630872499</v>
      </c>
      <c r="I916" t="n">
        <v>0.7781242711767322</v>
      </c>
      <c r="J916" t="n">
        <v>0.2815448891122699</v>
      </c>
      <c r="K916" t="n">
        <v>0.1503619764614782</v>
      </c>
      <c r="L916" t="b">
        <v>0</v>
      </c>
      <c r="M916" t="b">
        <v>0</v>
      </c>
      <c r="N916" t="inlineStr">
        <is>
          <t>alt</t>
        </is>
      </c>
      <c r="O916" t="n">
        <v>-100</v>
      </c>
      <c r="P916" t="n">
        <v>0.0241</v>
      </c>
      <c r="Q916" t="n">
        <v>55</v>
      </c>
      <c r="R916" t="n">
        <v>0.0466</v>
      </c>
      <c r="S916">
        <f>IMAGE("https://mitra.stanford.edu/kundaje/oak/projects/neuro-variants/variant_position/credible/roussos_2024/variant_figures/roussos_2024.childhood.GABA/rs4758691_count_position.png",4,220,900)</f>
        <v/>
      </c>
      <c r="T916">
        <f>IMAGE("https://mitra.stanford.edu/kundaje/oak/projects/neuro-variants/variant_position/credible/roussos_2024/variant_figures/roussos_2024.childhood.GABA/rs4758691_profile_position.png",4,220,900)</f>
        <v/>
      </c>
    </row>
    <row r="917">
      <c r="A917" t="inlineStr">
        <is>
          <t>chr12</t>
        </is>
      </c>
      <c r="B917" t="n">
        <v>122126362</v>
      </c>
      <c r="C917" t="inlineStr">
        <is>
          <t>G</t>
        </is>
      </c>
      <c r="D917" t="inlineStr">
        <is>
          <t>A</t>
        </is>
      </c>
      <c r="E917" t="inlineStr">
        <is>
          <t>rs4758690</t>
        </is>
      </c>
      <c r="F917" t="n">
        <v>-0.08958419599999989</v>
      </c>
      <c r="G917" t="n">
        <v>0.0404570423921026</v>
      </c>
      <c r="H917" t="n">
        <v>0.0131396157871588</v>
      </c>
      <c r="I917" t="n">
        <v>0.3215701128409726</v>
      </c>
      <c r="J917" t="n">
        <v>0.3554700425121987</v>
      </c>
      <c r="K917" t="n">
        <v>0.1055937392338533</v>
      </c>
      <c r="L917" t="b">
        <v>0</v>
      </c>
      <c r="M917" t="b">
        <v>0</v>
      </c>
      <c r="N917" t="inlineStr">
        <is>
          <t>ref</t>
        </is>
      </c>
      <c r="O917" t="n">
        <v>-100</v>
      </c>
      <c r="P917" t="n">
        <v>0.01367</v>
      </c>
      <c r="Q917" t="n">
        <v>-85</v>
      </c>
      <c r="R917" t="n">
        <v>0.0716</v>
      </c>
      <c r="S917">
        <f>IMAGE("https://mitra.stanford.edu/kundaje/oak/projects/neuro-variants/variant_position/credible/roussos_2024/variant_figures/roussos_2024.childhood.GABA/rs4758690_count_position.png",4,220,900)</f>
        <v/>
      </c>
      <c r="T917">
        <f>IMAGE("https://mitra.stanford.edu/kundaje/oak/projects/neuro-variants/variant_position/credible/roussos_2024/variant_figures/roussos_2024.childhood.GABA/rs4758690_profile_position.png",4,220,900)</f>
        <v/>
      </c>
    </row>
    <row r="918">
      <c r="A918" t="inlineStr">
        <is>
          <t>chr12</t>
        </is>
      </c>
      <c r="B918" t="n">
        <v>122126552</v>
      </c>
      <c r="C918" t="inlineStr">
        <is>
          <t>C</t>
        </is>
      </c>
      <c r="D918" t="inlineStr">
        <is>
          <t>T</t>
        </is>
      </c>
      <c r="E918" t="inlineStr">
        <is>
          <t>rs7485421</t>
        </is>
      </c>
      <c r="F918" t="n">
        <v>-0.01397743068</v>
      </c>
      <c r="G918" t="n">
        <v>0.5718800706448803</v>
      </c>
      <c r="H918" t="n">
        <v>0.0117648572981826</v>
      </c>
      <c r="I918" t="n">
        <v>0.4433535057564074</v>
      </c>
      <c r="J918" t="n">
        <v>0.3440734225461247</v>
      </c>
      <c r="K918" t="n">
        <v>0.1115223672234862</v>
      </c>
      <c r="L918" t="b">
        <v>0</v>
      </c>
      <c r="M918" t="b">
        <v>0</v>
      </c>
      <c r="N918" t="inlineStr">
        <is>
          <t>ref</t>
        </is>
      </c>
      <c r="O918" t="n">
        <v>60</v>
      </c>
      <c r="P918" t="n">
        <v>0.0052</v>
      </c>
      <c r="Q918" t="n">
        <v>-80</v>
      </c>
      <c r="R918" t="n">
        <v>0.1638</v>
      </c>
      <c r="S918">
        <f>IMAGE("https://mitra.stanford.edu/kundaje/oak/projects/neuro-variants/variant_position/credible/roussos_2024/variant_figures/roussos_2024.childhood.GABA/rs7485421_count_position.png",4,220,900)</f>
        <v/>
      </c>
      <c r="T918">
        <f>IMAGE("https://mitra.stanford.edu/kundaje/oak/projects/neuro-variants/variant_position/credible/roussos_2024/variant_figures/roussos_2024.childhood.GABA/rs7485421_profile_position.png",4,220,900)</f>
        <v/>
      </c>
    </row>
    <row r="919">
      <c r="A919" t="inlineStr">
        <is>
          <t>chr12</t>
        </is>
      </c>
      <c r="B919" t="n">
        <v>122128731</v>
      </c>
      <c r="C919" t="inlineStr">
        <is>
          <t>C</t>
        </is>
      </c>
      <c r="D919" t="inlineStr">
        <is>
          <t>T</t>
        </is>
      </c>
      <c r="E919" t="inlineStr">
        <is>
          <t>rs6489242</t>
        </is>
      </c>
      <c r="F919" t="n">
        <v>0.0394487196</v>
      </c>
      <c r="G919" t="n">
        <v>0.2073727644211054</v>
      </c>
      <c r="H919" t="n">
        <v>0.0157646827570713</v>
      </c>
      <c r="I919" t="n">
        <v>0.189156673598463</v>
      </c>
      <c r="J919" t="n">
        <v>0.2930462189273523</v>
      </c>
      <c r="K919" t="n">
        <v>0.1423703410629173</v>
      </c>
      <c r="L919" t="b">
        <v>0</v>
      </c>
      <c r="M919" t="b">
        <v>0</v>
      </c>
      <c r="N919" t="inlineStr">
        <is>
          <t>alt</t>
        </is>
      </c>
      <c r="O919" t="n">
        <v>-80</v>
      </c>
      <c r="P919" t="n">
        <v>0.00933</v>
      </c>
      <c r="Q919" t="n">
        <v>50</v>
      </c>
      <c r="R919" t="n">
        <v>0.0437</v>
      </c>
      <c r="S919">
        <f>IMAGE("https://mitra.stanford.edu/kundaje/oak/projects/neuro-variants/variant_position/credible/roussos_2024/variant_figures/roussos_2024.childhood.GABA/rs6489242_count_position.png",4,220,900)</f>
        <v/>
      </c>
      <c r="T919">
        <f>IMAGE("https://mitra.stanford.edu/kundaje/oak/projects/neuro-variants/variant_position/credible/roussos_2024/variant_figures/roussos_2024.childhood.GABA/rs6489242_profile_position.png",4,220,900)</f>
        <v/>
      </c>
    </row>
    <row r="920">
      <c r="A920" t="inlineStr">
        <is>
          <t>chr12</t>
        </is>
      </c>
      <c r="B920" t="n">
        <v>122130362</v>
      </c>
      <c r="C920" t="inlineStr">
        <is>
          <t>A</t>
        </is>
      </c>
      <c r="D920" t="inlineStr">
        <is>
          <t>T</t>
        </is>
      </c>
      <c r="E920" t="inlineStr">
        <is>
          <t>rs7488268</t>
        </is>
      </c>
      <c r="F920" t="n">
        <v>0.06826325680000001</v>
      </c>
      <c r="G920" t="n">
        <v>0.0861033451839346</v>
      </c>
      <c r="H920" t="n">
        <v>0.0135268064492298</v>
      </c>
      <c r="I920" t="n">
        <v>0.3102956635222746</v>
      </c>
      <c r="J920" t="n">
        <v>0.5897237754183158</v>
      </c>
      <c r="K920" t="n">
        <v>0.0309080173648397</v>
      </c>
      <c r="L920" t="b">
        <v>0</v>
      </c>
      <c r="M920" t="b">
        <v>0</v>
      </c>
      <c r="N920" t="inlineStr">
        <is>
          <t>alt</t>
        </is>
      </c>
      <c r="O920" t="n">
        <v>40</v>
      </c>
      <c r="P920" t="n">
        <v>0.001946</v>
      </c>
      <c r="Q920" t="n">
        <v>-10</v>
      </c>
      <c r="R920" t="n">
        <v>0.01685</v>
      </c>
      <c r="S920">
        <f>IMAGE("https://mitra.stanford.edu/kundaje/oak/projects/neuro-variants/variant_position/credible/roussos_2024/variant_figures/roussos_2024.childhood.GABA/rs7488268_count_position.png",4,220,900)</f>
        <v/>
      </c>
      <c r="T920">
        <f>IMAGE("https://mitra.stanford.edu/kundaje/oak/projects/neuro-variants/variant_position/credible/roussos_2024/variant_figures/roussos_2024.childhood.GABA/rs7488268_profile_position.png",4,220,900)</f>
        <v/>
      </c>
    </row>
    <row r="921">
      <c r="A921" t="inlineStr">
        <is>
          <t>chr12</t>
        </is>
      </c>
      <c r="B921" t="n">
        <v>122138453</v>
      </c>
      <c r="C921" t="inlineStr">
        <is>
          <t>T</t>
        </is>
      </c>
      <c r="D921" t="inlineStr">
        <is>
          <t>C</t>
        </is>
      </c>
      <c r="E921" t="inlineStr">
        <is>
          <t>rs4758686</t>
        </is>
      </c>
      <c r="F921" t="n">
        <v>-0.0147176796</v>
      </c>
      <c r="G921" t="n">
        <v>0.5680306541515315</v>
      </c>
      <c r="H921" t="n">
        <v>0.0095457205971624</v>
      </c>
      <c r="I921" t="n">
        <v>0.6651596026631041</v>
      </c>
      <c r="J921" t="n">
        <v>0.6591202278486314</v>
      </c>
      <c r="K921" t="n">
        <v>0.0197149995349431</v>
      </c>
      <c r="L921" t="b">
        <v>0</v>
      </c>
      <c r="M921" t="b">
        <v>0</v>
      </c>
      <c r="N921" t="inlineStr">
        <is>
          <t>ref</t>
        </is>
      </c>
      <c r="O921" t="n">
        <v>-100</v>
      </c>
      <c r="P921" t="n">
        <v>0.009039999999999999</v>
      </c>
      <c r="Q921" t="n">
        <v>-50</v>
      </c>
      <c r="R921" t="n">
        <v>0.06836</v>
      </c>
      <c r="S921">
        <f>IMAGE("https://mitra.stanford.edu/kundaje/oak/projects/neuro-variants/variant_position/credible/roussos_2024/variant_figures/roussos_2024.childhood.GABA/rs4758686_count_position.png",4,220,900)</f>
        <v/>
      </c>
      <c r="T921">
        <f>IMAGE("https://mitra.stanford.edu/kundaje/oak/projects/neuro-variants/variant_position/credible/roussos_2024/variant_figures/roussos_2024.childhood.GABA/rs4758686_profile_position.png",4,220,900)</f>
        <v/>
      </c>
    </row>
    <row r="922">
      <c r="A922" t="inlineStr">
        <is>
          <t>chr12</t>
        </is>
      </c>
      <c r="B922" t="n">
        <v>122141834</v>
      </c>
      <c r="C922" t="inlineStr">
        <is>
          <t>G</t>
        </is>
      </c>
      <c r="D922" t="inlineStr">
        <is>
          <t>A</t>
        </is>
      </c>
      <c r="E922" t="inlineStr">
        <is>
          <t>rs11057509</t>
        </is>
      </c>
      <c r="F922" t="n">
        <v>0.00090842192</v>
      </c>
      <c r="G922" t="n">
        <v>0.4619078551204911</v>
      </c>
      <c r="H922" t="n">
        <v>0.0408068734237351</v>
      </c>
      <c r="I922" t="n">
        <v>0.0040766972289018</v>
      </c>
      <c r="J922" t="n">
        <v>0.5018962953655419</v>
      </c>
      <c r="K922" t="n">
        <v>0.051038305405847</v>
      </c>
      <c r="L922" t="b">
        <v>1</v>
      </c>
      <c r="M922" t="b">
        <v>1</v>
      </c>
      <c r="N922" t="inlineStr">
        <is>
          <t>alt</t>
        </is>
      </c>
      <c r="O922" t="n">
        <v>-10</v>
      </c>
      <c r="P922" t="n">
        <v>7.63e-05</v>
      </c>
      <c r="Q922" t="n">
        <v>-15</v>
      </c>
      <c r="R922" t="n">
        <v>0.006958</v>
      </c>
      <c r="S922">
        <f>IMAGE("https://mitra.stanford.edu/kundaje/oak/projects/neuro-variants/variant_position/credible/roussos_2024/variant_figures/roussos_2024.childhood.GABA/rs11057509_count_position.png",4,220,900)</f>
        <v/>
      </c>
      <c r="T922">
        <f>IMAGE("https://mitra.stanford.edu/kundaje/oak/projects/neuro-variants/variant_position/credible/roussos_2024/variant_figures/roussos_2024.childhood.GABA/rs11057509_profile_position.png",4,220,900)</f>
        <v/>
      </c>
    </row>
    <row r="923">
      <c r="A923" t="inlineStr">
        <is>
          <t>chr12</t>
        </is>
      </c>
      <c r="B923" t="n">
        <v>122143672</v>
      </c>
      <c r="C923" t="inlineStr">
        <is>
          <t>T</t>
        </is>
      </c>
      <c r="D923" t="inlineStr">
        <is>
          <t>C</t>
        </is>
      </c>
      <c r="E923" t="inlineStr">
        <is>
          <t>rs1047796</t>
        </is>
      </c>
      <c r="F923" t="n">
        <v>0.107919498</v>
      </c>
      <c r="G923" t="n">
        <v>0.0309270183804375</v>
      </c>
      <c r="H923" t="n">
        <v>0.0183638169453076</v>
      </c>
      <c r="I923" t="n">
        <v>0.1128237793851258</v>
      </c>
      <c r="J923" t="n">
        <v>0.4690488157316076</v>
      </c>
      <c r="K923" t="n">
        <v>0.0605897942047973</v>
      </c>
      <c r="L923" t="b">
        <v>0</v>
      </c>
      <c r="M923" t="b">
        <v>0</v>
      </c>
      <c r="N923" t="inlineStr">
        <is>
          <t>alt</t>
        </is>
      </c>
      <c r="O923" t="n">
        <v>60</v>
      </c>
      <c r="P923" t="n">
        <v>0.00328</v>
      </c>
      <c r="Q923" t="n">
        <v>70</v>
      </c>
      <c r="R923" t="n">
        <v>0.08765000000000001</v>
      </c>
      <c r="S923">
        <f>IMAGE("https://mitra.stanford.edu/kundaje/oak/projects/neuro-variants/variant_position/credible/roussos_2024/variant_figures/roussos_2024.childhood.GABA/rs1047796_count_position.png",4,220,900)</f>
        <v/>
      </c>
      <c r="T923">
        <f>IMAGE("https://mitra.stanford.edu/kundaje/oak/projects/neuro-variants/variant_position/credible/roussos_2024/variant_figures/roussos_2024.childhood.GABA/rs1047796_profile_position.png",4,220,900)</f>
        <v/>
      </c>
    </row>
    <row r="924">
      <c r="A924" t="inlineStr">
        <is>
          <t>chr12</t>
        </is>
      </c>
      <c r="B924" t="n">
        <v>122239744</v>
      </c>
      <c r="C924" t="inlineStr">
        <is>
          <t>C</t>
        </is>
      </c>
      <c r="D924" t="inlineStr">
        <is>
          <t>T</t>
        </is>
      </c>
      <c r="E924" t="inlineStr">
        <is>
          <t>rs11057249</t>
        </is>
      </c>
      <c r="F924" t="n">
        <v>-0.02499929468</v>
      </c>
      <c r="G924" t="n">
        <v>0.3675105632026383</v>
      </c>
      <c r="H924" t="n">
        <v>0.0185445373594788</v>
      </c>
      <c r="I924" t="n">
        <v>0.1062002998838225</v>
      </c>
      <c r="J924" t="n">
        <v>0.0998607359008188</v>
      </c>
      <c r="K924" t="n">
        <v>0.3615135175419627</v>
      </c>
      <c r="L924" t="b">
        <v>0</v>
      </c>
      <c r="M924" t="b">
        <v>0</v>
      </c>
      <c r="N924" t="inlineStr">
        <is>
          <t>ref</t>
        </is>
      </c>
      <c r="O924" t="n">
        <v>15</v>
      </c>
      <c r="P924" t="n">
        <v>0.00232</v>
      </c>
      <c r="Q924" t="n">
        <v>-100</v>
      </c>
      <c r="R924" t="n">
        <v>0.03625</v>
      </c>
      <c r="S924">
        <f>IMAGE("https://mitra.stanford.edu/kundaje/oak/projects/neuro-variants/variant_position/credible/roussos_2024/variant_figures/roussos_2024.childhood.GABA/rs11057249_count_position.png",4,220,900)</f>
        <v/>
      </c>
      <c r="T924">
        <f>IMAGE("https://mitra.stanford.edu/kundaje/oak/projects/neuro-variants/variant_position/credible/roussos_2024/variant_figures/roussos_2024.childhood.GABA/rs11057249_profile_position.png",4,220,900)</f>
        <v/>
      </c>
    </row>
    <row r="925">
      <c r="A925" t="inlineStr">
        <is>
          <t>chr12</t>
        </is>
      </c>
      <c r="B925" t="n">
        <v>122853214</v>
      </c>
      <c r="C925" t="inlineStr">
        <is>
          <t>G</t>
        </is>
      </c>
      <c r="D925" t="inlineStr">
        <is>
          <t>A</t>
        </is>
      </c>
      <c r="E925" t="inlineStr">
        <is>
          <t>rs12298151</t>
        </is>
      </c>
      <c r="F925" t="n">
        <v>-0.0393730832</v>
      </c>
      <c r="G925" t="n">
        <v>0.2122161043370319</v>
      </c>
      <c r="H925" t="n">
        <v>0.0131195571443567</v>
      </c>
      <c r="I925" t="n">
        <v>0.3430827965995816</v>
      </c>
      <c r="J925" t="n">
        <v>0.6442723712592406</v>
      </c>
      <c r="K925" t="n">
        <v>0.0221494718511201</v>
      </c>
      <c r="L925" t="b">
        <v>0</v>
      </c>
      <c r="M925" t="b">
        <v>0</v>
      </c>
      <c r="N925" t="inlineStr">
        <is>
          <t>ref</t>
        </is>
      </c>
      <c r="O925" t="n">
        <v>100</v>
      </c>
      <c r="P925" t="n">
        <v>0.003319</v>
      </c>
      <c r="Q925" t="n">
        <v>100</v>
      </c>
      <c r="R925" t="n">
        <v>0.05078</v>
      </c>
      <c r="S925">
        <f>IMAGE("https://mitra.stanford.edu/kundaje/oak/projects/neuro-variants/variant_position/credible/roussos_2024/variant_figures/roussos_2024.childhood.GABA/rs12298151_count_position.png",4,220,900)</f>
        <v/>
      </c>
      <c r="T925">
        <f>IMAGE("https://mitra.stanford.edu/kundaje/oak/projects/neuro-variants/variant_position/credible/roussos_2024/variant_figures/roussos_2024.childhood.GABA/rs12298151_profile_position.png",4,220,900)</f>
        <v/>
      </c>
    </row>
    <row r="926">
      <c r="A926" t="inlineStr">
        <is>
          <t>chr12</t>
        </is>
      </c>
      <c r="B926" t="n">
        <v>122963381</v>
      </c>
      <c r="C926" t="inlineStr">
        <is>
          <t>T</t>
        </is>
      </c>
      <c r="D926" t="inlineStr">
        <is>
          <t>C</t>
        </is>
      </c>
      <c r="E926" t="inlineStr">
        <is>
          <t>rs4275659</t>
        </is>
      </c>
      <c r="F926" t="n">
        <v>-0.01912524936</v>
      </c>
      <c r="G926" t="n">
        <v>0.4336927432787621</v>
      </c>
      <c r="H926" t="n">
        <v>0.0136849812106141</v>
      </c>
      <c r="I926" t="n">
        <v>0.3001701914101055</v>
      </c>
      <c r="J926" t="n">
        <v>0.3143745680718728</v>
      </c>
      <c r="K926" t="n">
        <v>0.1289800177651207</v>
      </c>
      <c r="L926" t="b">
        <v>0</v>
      </c>
      <c r="M926" t="b">
        <v>0</v>
      </c>
      <c r="N926" t="inlineStr">
        <is>
          <t>ref</t>
        </is>
      </c>
      <c r="O926" t="n">
        <v>-100</v>
      </c>
      <c r="P926" t="n">
        <v>0.012024</v>
      </c>
      <c r="Q926" t="n">
        <v>-25</v>
      </c>
      <c r="R926" t="n">
        <v>0.01819</v>
      </c>
      <c r="S926">
        <f>IMAGE("https://mitra.stanford.edu/kundaje/oak/projects/neuro-variants/variant_position/credible/roussos_2024/variant_figures/roussos_2024.childhood.GABA/rs4275659_count_position.png",4,220,900)</f>
        <v/>
      </c>
      <c r="T926">
        <f>IMAGE("https://mitra.stanford.edu/kundaje/oak/projects/neuro-variants/variant_position/credible/roussos_2024/variant_figures/roussos_2024.childhood.GABA/rs4275659_profile_position.png",4,220,900)</f>
        <v/>
      </c>
    </row>
    <row r="927">
      <c r="A927" t="inlineStr">
        <is>
          <t>chr12</t>
        </is>
      </c>
      <c r="B927" t="n">
        <v>122966471</v>
      </c>
      <c r="C927" t="inlineStr">
        <is>
          <t>G</t>
        </is>
      </c>
      <c r="D927" t="inlineStr">
        <is>
          <t>C</t>
        </is>
      </c>
      <c r="E927" t="inlineStr">
        <is>
          <t>rs61955196</t>
        </is>
      </c>
      <c r="F927" t="n">
        <v>-0.0508584195999999</v>
      </c>
      <c r="G927" t="n">
        <v>0.1398395105925249</v>
      </c>
      <c r="H927" t="n">
        <v>0.0191486451023961</v>
      </c>
      <c r="I927" t="n">
        <v>0.09022041587230149</v>
      </c>
      <c r="J927" t="n">
        <v>0.9479162740047328</v>
      </c>
      <c r="K927" t="n">
        <v>0.0003047888380388</v>
      </c>
      <c r="L927" t="b">
        <v>0</v>
      </c>
      <c r="M927" t="b">
        <v>0</v>
      </c>
      <c r="N927" t="inlineStr">
        <is>
          <t>ref</t>
        </is>
      </c>
      <c r="O927" t="n">
        <v>60</v>
      </c>
      <c r="P927" t="n">
        <v>0.006348</v>
      </c>
      <c r="Q927" t="n">
        <v>60</v>
      </c>
      <c r="R927" t="n">
        <v>0.0752</v>
      </c>
      <c r="S927">
        <f>IMAGE("https://mitra.stanford.edu/kundaje/oak/projects/neuro-variants/variant_position/credible/roussos_2024/variant_figures/roussos_2024.childhood.GABA/rs61955196_count_position.png",4,220,900)</f>
        <v/>
      </c>
      <c r="T927">
        <f>IMAGE("https://mitra.stanford.edu/kundaje/oak/projects/neuro-variants/variant_position/credible/roussos_2024/variant_figures/roussos_2024.childhood.GABA/rs61955196_profile_position.png",4,220,900)</f>
        <v/>
      </c>
    </row>
    <row r="928">
      <c r="A928" t="inlineStr">
        <is>
          <t>chr12</t>
        </is>
      </c>
      <c r="B928" t="n">
        <v>122985100</v>
      </c>
      <c r="C928" t="inlineStr">
        <is>
          <t>G</t>
        </is>
      </c>
      <c r="D928" t="inlineStr">
        <is>
          <t>T</t>
        </is>
      </c>
      <c r="E928" t="inlineStr">
        <is>
          <t>rs3741530</t>
        </is>
      </c>
      <c r="F928" t="n">
        <v>0.00607216306</v>
      </c>
      <c r="G928" t="n">
        <v>0.6815937581913006</v>
      </c>
      <c r="H928" t="n">
        <v>0.0158645959159361</v>
      </c>
      <c r="I928" t="n">
        <v>0.1857782299459255</v>
      </c>
      <c r="J928" t="n">
        <v>0.6218246738288203</v>
      </c>
      <c r="K928" t="n">
        <v>0.0253811288014618</v>
      </c>
      <c r="L928" t="b">
        <v>0</v>
      </c>
      <c r="M928" t="b">
        <v>0</v>
      </c>
      <c r="N928" t="inlineStr">
        <is>
          <t>alt</t>
        </is>
      </c>
      <c r="O928" t="n">
        <v>-15</v>
      </c>
      <c r="P928" t="n">
        <v>0.001694</v>
      </c>
      <c r="Q928" t="n">
        <v>100</v>
      </c>
      <c r="R928" t="n">
        <v>0.1436</v>
      </c>
      <c r="S928">
        <f>IMAGE("https://mitra.stanford.edu/kundaje/oak/projects/neuro-variants/variant_position/credible/roussos_2024/variant_figures/roussos_2024.childhood.GABA/rs3741530_count_position.png",4,220,900)</f>
        <v/>
      </c>
      <c r="T928">
        <f>IMAGE("https://mitra.stanford.edu/kundaje/oak/projects/neuro-variants/variant_position/credible/roussos_2024/variant_figures/roussos_2024.childhood.GABA/rs3741530_profile_position.png",4,220,900)</f>
        <v/>
      </c>
    </row>
    <row r="929">
      <c r="A929" t="inlineStr">
        <is>
          <t>chr12</t>
        </is>
      </c>
      <c r="B929" t="n">
        <v>123017425</v>
      </c>
      <c r="C929" t="inlineStr">
        <is>
          <t>T</t>
        </is>
      </c>
      <c r="D929" t="inlineStr">
        <is>
          <t>C</t>
        </is>
      </c>
      <c r="E929" t="inlineStr">
        <is>
          <t>rs12425850</t>
        </is>
      </c>
      <c r="F929" t="n">
        <v>0.0356157265999999</v>
      </c>
      <c r="G929" t="n">
        <v>0.2416704055322063</v>
      </c>
      <c r="H929" t="n">
        <v>0.0166890525944923</v>
      </c>
      <c r="I929" t="n">
        <v>0.1576706792266501</v>
      </c>
      <c r="J929" t="n">
        <v>0.0161242696488031</v>
      </c>
      <c r="K929" t="n">
        <v>0.6941004039432087</v>
      </c>
      <c r="L929" t="b">
        <v>0</v>
      </c>
      <c r="M929" t="b">
        <v>0</v>
      </c>
      <c r="N929" t="inlineStr">
        <is>
          <t>alt</t>
        </is>
      </c>
      <c r="O929" t="n">
        <v>-90</v>
      </c>
      <c r="P929" t="n">
        <v>0.006805</v>
      </c>
      <c r="Q929" t="n">
        <v>45</v>
      </c>
      <c r="R929" t="n">
        <v>0.0233</v>
      </c>
      <c r="S929">
        <f>IMAGE("https://mitra.stanford.edu/kundaje/oak/projects/neuro-variants/variant_position/credible/roussos_2024/variant_figures/roussos_2024.childhood.GABA/rs12425850_count_position.png",4,220,900)</f>
        <v/>
      </c>
      <c r="T929">
        <f>IMAGE("https://mitra.stanford.edu/kundaje/oak/projects/neuro-variants/variant_position/credible/roussos_2024/variant_figures/roussos_2024.childhood.GABA/rs12425850_profile_position.png",4,220,900)</f>
        <v/>
      </c>
    </row>
    <row r="930">
      <c r="A930" t="inlineStr">
        <is>
          <t>chr12</t>
        </is>
      </c>
      <c r="B930" t="n">
        <v>123102141</v>
      </c>
      <c r="C930" t="inlineStr">
        <is>
          <t>T</t>
        </is>
      </c>
      <c r="D930" t="inlineStr">
        <is>
          <t>C</t>
        </is>
      </c>
      <c r="E930" t="inlineStr">
        <is>
          <t>rs1790094</t>
        </is>
      </c>
      <c r="F930" t="n">
        <v>0.00750461958</v>
      </c>
      <c r="G930" t="n">
        <v>0.6603724393477586</v>
      </c>
      <c r="H930" t="n">
        <v>0.0074660005711102</v>
      </c>
      <c r="I930" t="n">
        <v>0.9079209893103616</v>
      </c>
      <c r="J930" t="n">
        <v>0.0754685765743125</v>
      </c>
      <c r="K930" t="n">
        <v>0.4282673959513697</v>
      </c>
      <c r="L930" t="b">
        <v>0</v>
      </c>
      <c r="M930" t="b">
        <v>0</v>
      </c>
      <c r="N930" t="inlineStr">
        <is>
          <t>alt</t>
        </is>
      </c>
      <c r="O930" t="n">
        <v>-100</v>
      </c>
      <c r="P930" t="n">
        <v>0.001976</v>
      </c>
      <c r="Q930" t="n">
        <v>50</v>
      </c>
      <c r="R930" t="n">
        <v>0.06945999999999999</v>
      </c>
      <c r="S930">
        <f>IMAGE("https://mitra.stanford.edu/kundaje/oak/projects/neuro-variants/variant_position/credible/roussos_2024/variant_figures/roussos_2024.childhood.GABA/rs1790094_count_position.png",4,220,900)</f>
        <v/>
      </c>
      <c r="T930">
        <f>IMAGE("https://mitra.stanford.edu/kundaje/oak/projects/neuro-variants/variant_position/credible/roussos_2024/variant_figures/roussos_2024.childhood.GABA/rs1790094_profile_position.png",4,220,900)</f>
        <v/>
      </c>
    </row>
    <row r="931">
      <c r="A931" t="inlineStr">
        <is>
          <t>chr12</t>
        </is>
      </c>
      <c r="B931" t="n">
        <v>123147820</v>
      </c>
      <c r="C931" t="inlineStr">
        <is>
          <t>C</t>
        </is>
      </c>
      <c r="D931" t="inlineStr">
        <is>
          <t>G</t>
        </is>
      </c>
      <c r="E931" t="inlineStr">
        <is>
          <t>rs58991895</t>
        </is>
      </c>
      <c r="F931" t="n">
        <v>0.00223330796</v>
      </c>
      <c r="G931" t="n">
        <v>0.8238065171012686</v>
      </c>
      <c r="H931" t="n">
        <v>0.0072670951411591</v>
      </c>
      <c r="I931" t="n">
        <v>0.9256859915650184</v>
      </c>
      <c r="J931" t="n">
        <v>0.102220895897468</v>
      </c>
      <c r="K931" t="n">
        <v>0.3633100185551208</v>
      </c>
      <c r="L931" t="b">
        <v>0</v>
      </c>
      <c r="M931" t="b">
        <v>0</v>
      </c>
      <c r="N931" t="inlineStr">
        <is>
          <t>alt</t>
        </is>
      </c>
      <c r="O931" t="n">
        <v>70</v>
      </c>
      <c r="P931" t="n">
        <v>0.01776</v>
      </c>
      <c r="Q931" t="n">
        <v>-50</v>
      </c>
      <c r="R931" t="n">
        <v>0.10455</v>
      </c>
      <c r="S931">
        <f>IMAGE("https://mitra.stanford.edu/kundaje/oak/projects/neuro-variants/variant_position/credible/roussos_2024/variant_figures/roussos_2024.childhood.GABA/rs58991895_count_position.png",4,220,900)</f>
        <v/>
      </c>
      <c r="T931">
        <f>IMAGE("https://mitra.stanford.edu/kundaje/oak/projects/neuro-variants/variant_position/credible/roussos_2024/variant_figures/roussos_2024.childhood.GABA/rs58991895_profile_position.png",4,220,900)</f>
        <v/>
      </c>
    </row>
    <row r="932">
      <c r="A932" t="inlineStr">
        <is>
          <t>chr12</t>
        </is>
      </c>
      <c r="B932" t="n">
        <v>123148383</v>
      </c>
      <c r="C932" t="inlineStr">
        <is>
          <t>G</t>
        </is>
      </c>
      <c r="D932" t="inlineStr">
        <is>
          <t>A</t>
        </is>
      </c>
      <c r="E932" t="inlineStr">
        <is>
          <t>rs1727302</t>
        </is>
      </c>
      <c r="F932" t="n">
        <v>-0.0869622432</v>
      </c>
      <c r="G932" t="n">
        <v>0.0437704792610987</v>
      </c>
      <c r="H932" t="n">
        <v>0.0131651338038611</v>
      </c>
      <c r="I932" t="n">
        <v>0.342327365845491</v>
      </c>
      <c r="J932" t="n">
        <v>0.1486136415991287</v>
      </c>
      <c r="K932" t="n">
        <v>0.2833950175988601</v>
      </c>
      <c r="L932" t="b">
        <v>0</v>
      </c>
      <c r="M932" t="b">
        <v>0</v>
      </c>
      <c r="N932" t="inlineStr">
        <is>
          <t>ref</t>
        </is>
      </c>
      <c r="O932" t="n">
        <v>-55</v>
      </c>
      <c r="P932" t="n">
        <v>0.003267</v>
      </c>
      <c r="Q932" t="n">
        <v>-50</v>
      </c>
      <c r="R932" t="n">
        <v>0.0509</v>
      </c>
      <c r="S932">
        <f>IMAGE("https://mitra.stanford.edu/kundaje/oak/projects/neuro-variants/variant_position/credible/roussos_2024/variant_figures/roussos_2024.childhood.GABA/rs1727302_count_position.png",4,220,900)</f>
        <v/>
      </c>
      <c r="T932">
        <f>IMAGE("https://mitra.stanford.edu/kundaje/oak/projects/neuro-variants/variant_position/credible/roussos_2024/variant_figures/roussos_2024.childhood.GABA/rs1727302_profile_position.png",4,220,900)</f>
        <v/>
      </c>
    </row>
    <row r="933">
      <c r="A933" t="inlineStr">
        <is>
          <t>chr12</t>
        </is>
      </c>
      <c r="B933" t="n">
        <v>123186245</v>
      </c>
      <c r="C933" t="inlineStr">
        <is>
          <t>A</t>
        </is>
      </c>
      <c r="D933" t="inlineStr">
        <is>
          <t>C</t>
        </is>
      </c>
      <c r="E933" t="inlineStr">
        <is>
          <t>rs11613128</t>
        </is>
      </c>
      <c r="F933" t="n">
        <v>-0.0192332686</v>
      </c>
      <c r="G933" t="n">
        <v>0.4364130846672396</v>
      </c>
      <c r="H933" t="n">
        <v>0.0440750522088031</v>
      </c>
      <c r="I933" t="n">
        <v>0.0026628133672525</v>
      </c>
      <c r="J933" t="n">
        <v>0.0071129400431404</v>
      </c>
      <c r="K933" t="n">
        <v>0.7869711016578705</v>
      </c>
      <c r="L933" t="b">
        <v>0</v>
      </c>
      <c r="M933" t="b">
        <v>0</v>
      </c>
      <c r="N933" t="inlineStr">
        <is>
          <t>ref</t>
        </is>
      </c>
      <c r="O933" t="n">
        <v>-95</v>
      </c>
      <c r="P933" t="n">
        <v>0.01233</v>
      </c>
      <c r="Q933" t="n">
        <v>-95</v>
      </c>
      <c r="R933" t="n">
        <v>0.07446</v>
      </c>
      <c r="S933">
        <f>IMAGE("https://mitra.stanford.edu/kundaje/oak/projects/neuro-variants/variant_position/credible/roussos_2024/variant_figures/roussos_2024.childhood.GABA/rs11613128_count_position.png",4,220,900)</f>
        <v/>
      </c>
      <c r="T933">
        <f>IMAGE("https://mitra.stanford.edu/kundaje/oak/projects/neuro-variants/variant_position/credible/roussos_2024/variant_figures/roussos_2024.childhood.GABA/rs11613128_profile_position.png",4,220,900)</f>
        <v/>
      </c>
    </row>
    <row r="934">
      <c r="A934" t="inlineStr">
        <is>
          <t>chr12</t>
        </is>
      </c>
      <c r="B934" t="n">
        <v>123193263</v>
      </c>
      <c r="C934" t="inlineStr">
        <is>
          <t>A</t>
        </is>
      </c>
      <c r="D934" t="inlineStr">
        <is>
          <t>G</t>
        </is>
      </c>
      <c r="E934" t="inlineStr">
        <is>
          <t>rs4460848</t>
        </is>
      </c>
      <c r="F934" t="n">
        <v>0.0077637018</v>
      </c>
      <c r="G934" t="n">
        <v>0.6765170591305708</v>
      </c>
      <c r="H934" t="n">
        <v>0.0193200247998546</v>
      </c>
      <c r="I934" t="n">
        <v>0.0863427140304904</v>
      </c>
      <c r="J934" t="n">
        <v>0.048442964545245</v>
      </c>
      <c r="K934" t="n">
        <v>0.491928239406371</v>
      </c>
      <c r="L934" t="b">
        <v>0</v>
      </c>
      <c r="M934" t="b">
        <v>0</v>
      </c>
      <c r="N934" t="inlineStr">
        <is>
          <t>alt</t>
        </is>
      </c>
      <c r="O934" t="n">
        <v>-100</v>
      </c>
      <c r="P934" t="n">
        <v>0.135</v>
      </c>
      <c r="Q934" t="n">
        <v>-100</v>
      </c>
      <c r="R934" t="n">
        <v>0.0873</v>
      </c>
      <c r="S934">
        <f>IMAGE("https://mitra.stanford.edu/kundaje/oak/projects/neuro-variants/variant_position/credible/roussos_2024/variant_figures/roussos_2024.childhood.GABA/rs4460848_count_position.png",4,220,900)</f>
        <v/>
      </c>
      <c r="T934">
        <f>IMAGE("https://mitra.stanford.edu/kundaje/oak/projects/neuro-variants/variant_position/credible/roussos_2024/variant_figures/roussos_2024.childhood.GABA/rs4460848_profile_position.png",4,220,900)</f>
        <v/>
      </c>
    </row>
    <row r="935">
      <c r="A935" t="inlineStr">
        <is>
          <t>chr12</t>
        </is>
      </c>
      <c r="B935" t="n">
        <v>123204258</v>
      </c>
      <c r="C935" t="inlineStr">
        <is>
          <t>C</t>
        </is>
      </c>
      <c r="D935" t="inlineStr">
        <is>
          <t>T</t>
        </is>
      </c>
      <c r="E935" t="inlineStr">
        <is>
          <t>rs74917517</t>
        </is>
      </c>
      <c r="F935" t="n">
        <v>-0.0817378634</v>
      </c>
      <c r="G935" t="n">
        <v>0.0588626493640468</v>
      </c>
      <c r="H935" t="n">
        <v>0.0147799689498849</v>
      </c>
      <c r="I935" t="n">
        <v>0.2375515880732565</v>
      </c>
      <c r="J935" t="n">
        <v>0.0245659776758601</v>
      </c>
      <c r="K935" t="n">
        <v>0.6428643039778895</v>
      </c>
      <c r="L935" t="b">
        <v>0</v>
      </c>
      <c r="M935" t="b">
        <v>0</v>
      </c>
      <c r="N935" t="inlineStr">
        <is>
          <t>ref</t>
        </is>
      </c>
      <c r="O935" t="n">
        <v>5</v>
      </c>
      <c r="P935" t="n">
        <v>6.104e-05</v>
      </c>
      <c r="Q935" t="n">
        <v>20</v>
      </c>
      <c r="R935" t="n">
        <v>0.003296</v>
      </c>
      <c r="S935">
        <f>IMAGE("https://mitra.stanford.edu/kundaje/oak/projects/neuro-variants/variant_position/credible/roussos_2024/variant_figures/roussos_2024.childhood.GABA/rs74917517_count_position.png",4,220,900)</f>
        <v/>
      </c>
      <c r="T935">
        <f>IMAGE("https://mitra.stanford.edu/kundaje/oak/projects/neuro-variants/variant_position/credible/roussos_2024/variant_figures/roussos_2024.childhood.GABA/rs74917517_profile_position.png",4,220,900)</f>
        <v/>
      </c>
    </row>
    <row r="936">
      <c r="A936" t="inlineStr">
        <is>
          <t>chr12</t>
        </is>
      </c>
      <c r="B936" t="n">
        <v>123207195</v>
      </c>
      <c r="C936" t="inlineStr">
        <is>
          <t>T</t>
        </is>
      </c>
      <c r="D936" t="inlineStr">
        <is>
          <t>G</t>
        </is>
      </c>
      <c r="E936" t="inlineStr">
        <is>
          <t>rs74240770</t>
        </is>
      </c>
      <c r="F936" t="n">
        <v>-0.00384201331</v>
      </c>
      <c r="G936" t="n">
        <v>0.8511342071959545</v>
      </c>
      <c r="H936" t="n">
        <v>0.0367562197077859</v>
      </c>
      <c r="I936" t="n">
        <v>0.0052281090474184</v>
      </c>
      <c r="J936" t="n">
        <v>0.037070427844443</v>
      </c>
      <c r="K936" t="n">
        <v>0.563241857828828</v>
      </c>
      <c r="L936" t="b">
        <v>1</v>
      </c>
      <c r="M936" t="b">
        <v>0</v>
      </c>
      <c r="N936" t="inlineStr">
        <is>
          <t>ref</t>
        </is>
      </c>
      <c r="O936" t="n">
        <v>-25</v>
      </c>
      <c r="P936" t="n">
        <v>0.02106</v>
      </c>
      <c r="Q936" t="n">
        <v>100</v>
      </c>
      <c r="R936" t="n">
        <v>0.1138</v>
      </c>
      <c r="S936">
        <f>IMAGE("https://mitra.stanford.edu/kundaje/oak/projects/neuro-variants/variant_position/credible/roussos_2024/variant_figures/roussos_2024.childhood.GABA/rs74240770_count_position.png",4,220,900)</f>
        <v/>
      </c>
      <c r="T936">
        <f>IMAGE("https://mitra.stanford.edu/kundaje/oak/projects/neuro-variants/variant_position/credible/roussos_2024/variant_figures/roussos_2024.childhood.GABA/rs74240770_profile_position.png",4,220,900)</f>
        <v/>
      </c>
    </row>
    <row r="937">
      <c r="A937" t="inlineStr">
        <is>
          <t>chr12</t>
        </is>
      </c>
      <c r="B937" t="n">
        <v>123213351</v>
      </c>
      <c r="C937" t="inlineStr">
        <is>
          <t>T</t>
        </is>
      </c>
      <c r="D937" t="inlineStr">
        <is>
          <t>C</t>
        </is>
      </c>
      <c r="E937" t="inlineStr">
        <is>
          <t>rs1790134</t>
        </is>
      </c>
      <c r="F937" t="n">
        <v>-0.00581207336</v>
      </c>
      <c r="G937" t="n">
        <v>0.7758627162135823</v>
      </c>
      <c r="H937" t="n">
        <v>0.0341460836242668</v>
      </c>
      <c r="I937" t="n">
        <v>0.0071039770836427</v>
      </c>
      <c r="J937" t="n">
        <v>0.0218906410336955</v>
      </c>
      <c r="K937" t="n">
        <v>0.6464853662174356</v>
      </c>
      <c r="L937" t="b">
        <v>1</v>
      </c>
      <c r="M937" t="b">
        <v>0</v>
      </c>
      <c r="N937" t="inlineStr">
        <is>
          <t>ref</t>
        </is>
      </c>
      <c r="O937" t="n">
        <v>-45</v>
      </c>
      <c r="P937" t="n">
        <v>0.001156</v>
      </c>
      <c r="Q937" t="n">
        <v>25</v>
      </c>
      <c r="R937" t="n">
        <v>0.02356</v>
      </c>
      <c r="S937">
        <f>IMAGE("https://mitra.stanford.edu/kundaje/oak/projects/neuro-variants/variant_position/credible/roussos_2024/variant_figures/roussos_2024.childhood.GABA/rs1790134_count_position.png",4,220,900)</f>
        <v/>
      </c>
      <c r="T937">
        <f>IMAGE("https://mitra.stanford.edu/kundaje/oak/projects/neuro-variants/variant_position/credible/roussos_2024/variant_figures/roussos_2024.childhood.GABA/rs1790134_profile_position.png",4,220,900)</f>
        <v/>
      </c>
    </row>
    <row r="938">
      <c r="A938" t="inlineStr">
        <is>
          <t>chr12</t>
        </is>
      </c>
      <c r="B938" t="n">
        <v>123213971</v>
      </c>
      <c r="C938" t="inlineStr">
        <is>
          <t>T</t>
        </is>
      </c>
      <c r="D938" t="inlineStr">
        <is>
          <t>G</t>
        </is>
      </c>
      <c r="E938" t="inlineStr">
        <is>
          <t>rs1790133</t>
        </is>
      </c>
      <c r="F938" t="n">
        <v>-0.0067851389399999</v>
      </c>
      <c r="G938" t="n">
        <v>0.6609416364149142</v>
      </c>
      <c r="H938" t="n">
        <v>0.008478272966781599</v>
      </c>
      <c r="I938" t="n">
        <v>0.7898766863604152</v>
      </c>
      <c r="J938" t="n">
        <v>0.0226665410148477</v>
      </c>
      <c r="K938" t="n">
        <v>0.6356888208868946</v>
      </c>
      <c r="L938" t="b">
        <v>0</v>
      </c>
      <c r="M938" t="b">
        <v>0</v>
      </c>
      <c r="N938" t="inlineStr">
        <is>
          <t>ref</t>
        </is>
      </c>
      <c r="O938" t="n">
        <v>90</v>
      </c>
      <c r="P938" t="n">
        <v>0.010765</v>
      </c>
      <c r="Q938" t="n">
        <v>-80</v>
      </c>
      <c r="R938" t="n">
        <v>0.1338</v>
      </c>
      <c r="S938">
        <f>IMAGE("https://mitra.stanford.edu/kundaje/oak/projects/neuro-variants/variant_position/credible/roussos_2024/variant_figures/roussos_2024.childhood.GABA/rs1790133_count_position.png",4,220,900)</f>
        <v/>
      </c>
      <c r="T938">
        <f>IMAGE("https://mitra.stanford.edu/kundaje/oak/projects/neuro-variants/variant_position/credible/roussos_2024/variant_figures/roussos_2024.childhood.GABA/rs1790133_profile_position.png",4,220,900)</f>
        <v/>
      </c>
    </row>
    <row r="939">
      <c r="A939" t="inlineStr">
        <is>
          <t>chr12</t>
        </is>
      </c>
      <c r="B939" t="n">
        <v>123234332</v>
      </c>
      <c r="C939" t="inlineStr">
        <is>
          <t>C</t>
        </is>
      </c>
      <c r="D939" t="inlineStr">
        <is>
          <t>G</t>
        </is>
      </c>
      <c r="E939" t="inlineStr">
        <is>
          <t>rs1727331</t>
        </is>
      </c>
      <c r="F939" t="n">
        <v>-0.0678196088</v>
      </c>
      <c r="G939" t="n">
        <v>0.07759633769950849</v>
      </c>
      <c r="H939" t="n">
        <v>0.0128375551997792</v>
      </c>
      <c r="I939" t="n">
        <v>0.3626219105706505</v>
      </c>
      <c r="J939" t="n">
        <v>0.3990921656090972</v>
      </c>
      <c r="K939" t="n">
        <v>0.0861387914239662</v>
      </c>
      <c r="L939" t="b">
        <v>0</v>
      </c>
      <c r="M939" t="b">
        <v>0</v>
      </c>
      <c r="N939" t="inlineStr">
        <is>
          <t>ref</t>
        </is>
      </c>
      <c r="O939" t="n">
        <v>-35</v>
      </c>
      <c r="P939" t="n">
        <v>0.0055</v>
      </c>
      <c r="Q939" t="n">
        <v>95</v>
      </c>
      <c r="R939" t="n">
        <v>0.07794</v>
      </c>
      <c r="S939">
        <f>IMAGE("https://mitra.stanford.edu/kundaje/oak/projects/neuro-variants/variant_position/credible/roussos_2024/variant_figures/roussos_2024.childhood.GABA/rs1727331_count_position.png",4,220,900)</f>
        <v/>
      </c>
      <c r="T939">
        <f>IMAGE("https://mitra.stanford.edu/kundaje/oak/projects/neuro-variants/variant_position/credible/roussos_2024/variant_figures/roussos_2024.childhood.GABA/rs1727331_profile_position.png",4,220,900)</f>
        <v/>
      </c>
    </row>
    <row r="940">
      <c r="A940" t="inlineStr">
        <is>
          <t>chr12</t>
        </is>
      </c>
      <c r="B940" t="n">
        <v>123257159</v>
      </c>
      <c r="C940" t="inlineStr">
        <is>
          <t>C</t>
        </is>
      </c>
      <c r="D940" t="inlineStr">
        <is>
          <t>A</t>
        </is>
      </c>
      <c r="E940" t="inlineStr">
        <is>
          <t>rs11554169</t>
        </is>
      </c>
      <c r="F940" t="n">
        <v>-0.01091574184</v>
      </c>
      <c r="G940" t="n">
        <v>0.5575828684145937</v>
      </c>
      <c r="H940" t="n">
        <v>0.0308739592051312</v>
      </c>
      <c r="I940" t="n">
        <v>0.0109561423907667</v>
      </c>
      <c r="J940" t="n">
        <v>0.0606584155305647</v>
      </c>
      <c r="K940" t="n">
        <v>0.4630163220455913</v>
      </c>
      <c r="L940" t="b">
        <v>1</v>
      </c>
      <c r="M940" t="b">
        <v>0</v>
      </c>
      <c r="N940" t="inlineStr">
        <is>
          <t>ref</t>
        </is>
      </c>
      <c r="O940" t="n">
        <v>100</v>
      </c>
      <c r="P940" t="n">
        <v>0.01633</v>
      </c>
      <c r="Q940" t="n">
        <v>5</v>
      </c>
      <c r="R940" t="n">
        <v>0.002808</v>
      </c>
      <c r="S940">
        <f>IMAGE("https://mitra.stanford.edu/kundaje/oak/projects/neuro-variants/variant_position/credible/roussos_2024/variant_figures/roussos_2024.childhood.GABA/rs11554169_count_position.png",4,220,900)</f>
        <v/>
      </c>
      <c r="T940">
        <f>IMAGE("https://mitra.stanford.edu/kundaje/oak/projects/neuro-variants/variant_position/credible/roussos_2024/variant_figures/roussos_2024.childhood.GABA/rs11554169_profile_position.png",4,220,900)</f>
        <v/>
      </c>
    </row>
    <row r="941">
      <c r="A941" t="inlineStr">
        <is>
          <t>chr12</t>
        </is>
      </c>
      <c r="B941" t="n">
        <v>123260408</v>
      </c>
      <c r="C941" t="inlineStr">
        <is>
          <t>G</t>
        </is>
      </c>
      <c r="D941" t="inlineStr">
        <is>
          <t>A</t>
        </is>
      </c>
      <c r="E941" t="inlineStr">
        <is>
          <t>rs1980251</t>
        </is>
      </c>
      <c r="F941" t="n">
        <v>-0.1215084902</v>
      </c>
      <c r="G941" t="n">
        <v>0.0179967255937654</v>
      </c>
      <c r="H941" t="n">
        <v>0.0133309604478241</v>
      </c>
      <c r="I941" t="n">
        <v>0.3235856821894084</v>
      </c>
      <c r="J941" t="n">
        <v>0.2196048250298422</v>
      </c>
      <c r="K941" t="n">
        <v>0.1975205749886006</v>
      </c>
      <c r="L941" t="b">
        <v>1</v>
      </c>
      <c r="M941" t="b">
        <v>0</v>
      </c>
      <c r="N941" t="inlineStr">
        <is>
          <t>ref</t>
        </is>
      </c>
      <c r="O941" t="n">
        <v>50</v>
      </c>
      <c r="P941" t="n">
        <v>0.00309</v>
      </c>
      <c r="Q941" t="n">
        <v>80</v>
      </c>
      <c r="R941" t="n">
        <v>0.1018</v>
      </c>
      <c r="S941">
        <f>IMAGE("https://mitra.stanford.edu/kundaje/oak/projects/neuro-variants/variant_position/credible/roussos_2024/variant_figures/roussos_2024.childhood.GABA/rs1980251_count_position.png",4,220,900)</f>
        <v/>
      </c>
      <c r="T941">
        <f>IMAGE("https://mitra.stanford.edu/kundaje/oak/projects/neuro-variants/variant_position/credible/roussos_2024/variant_figures/roussos_2024.childhood.GABA/rs1980251_profile_position.png",4,220,900)</f>
        <v/>
      </c>
    </row>
    <row r="942">
      <c r="A942" t="inlineStr">
        <is>
          <t>chr12</t>
        </is>
      </c>
      <c r="B942" t="n">
        <v>123260602</v>
      </c>
      <c r="C942" t="inlineStr">
        <is>
          <t>G</t>
        </is>
      </c>
      <c r="D942" t="inlineStr">
        <is>
          <t>T</t>
        </is>
      </c>
      <c r="E942" t="inlineStr">
        <is>
          <t>rs78197735</t>
        </is>
      </c>
      <c r="F942" t="n">
        <v>-0.006910987266</v>
      </c>
      <c r="G942" t="n">
        <v>0.6513638441585101</v>
      </c>
      <c r="H942" t="n">
        <v>0.009802339221081501</v>
      </c>
      <c r="I942" t="n">
        <v>0.6539658240569145</v>
      </c>
      <c r="J942" t="n">
        <v>0.1705388368829971</v>
      </c>
      <c r="K942" t="n">
        <v>0.2513808642374271</v>
      </c>
      <c r="L942" t="b">
        <v>0</v>
      </c>
      <c r="M942" t="b">
        <v>0</v>
      </c>
      <c r="N942" t="inlineStr">
        <is>
          <t>ref</t>
        </is>
      </c>
      <c r="O942" t="n">
        <v>65</v>
      </c>
      <c r="P942" t="n">
        <v>0.03656</v>
      </c>
      <c r="Q942" t="n">
        <v>-95</v>
      </c>
      <c r="R942" t="n">
        <v>0.3086</v>
      </c>
      <c r="S942">
        <f>IMAGE("https://mitra.stanford.edu/kundaje/oak/projects/neuro-variants/variant_position/credible/roussos_2024/variant_figures/roussos_2024.childhood.GABA/rs78197735_count_position.png",4,220,900)</f>
        <v/>
      </c>
      <c r="T942">
        <f>IMAGE("https://mitra.stanford.edu/kundaje/oak/projects/neuro-variants/variant_position/credible/roussos_2024/variant_figures/roussos_2024.childhood.GABA/rs78197735_profile_position.png",4,220,900)</f>
        <v/>
      </c>
    </row>
    <row r="943">
      <c r="A943" t="inlineStr">
        <is>
          <t>chr12</t>
        </is>
      </c>
      <c r="B943" t="n">
        <v>123268090</v>
      </c>
      <c r="C943" t="inlineStr">
        <is>
          <t>G</t>
        </is>
      </c>
      <c r="D943" t="inlineStr">
        <is>
          <t>A</t>
        </is>
      </c>
      <c r="E943" t="inlineStr">
        <is>
          <t>rs76514049</t>
        </is>
      </c>
      <c r="F943" t="n">
        <v>-0.012557963</v>
      </c>
      <c r="G943" t="n">
        <v>0.3213497259655106</v>
      </c>
      <c r="H943" t="n">
        <v>0.0148371517709796</v>
      </c>
      <c r="I943" t="n">
        <v>0.2375916927828399</v>
      </c>
      <c r="J943" t="n">
        <v>0.6337856798810496</v>
      </c>
      <c r="K943" t="n">
        <v>0.023458106317587</v>
      </c>
      <c r="L943" t="b">
        <v>0</v>
      </c>
      <c r="M943" t="b">
        <v>0</v>
      </c>
      <c r="N943" t="inlineStr">
        <is>
          <t>ref</t>
        </is>
      </c>
      <c r="O943" t="n">
        <v>100</v>
      </c>
      <c r="P943" t="n">
        <v>0.01104</v>
      </c>
      <c r="Q943" t="n">
        <v>100</v>
      </c>
      <c r="R943" t="n">
        <v>0.1139</v>
      </c>
      <c r="S943">
        <f>IMAGE("https://mitra.stanford.edu/kundaje/oak/projects/neuro-variants/variant_position/credible/roussos_2024/variant_figures/roussos_2024.childhood.GABA/rs76514049_count_position.png",4,220,900)</f>
        <v/>
      </c>
      <c r="T943">
        <f>IMAGE("https://mitra.stanford.edu/kundaje/oak/projects/neuro-variants/variant_position/credible/roussos_2024/variant_figures/roussos_2024.childhood.GABA/rs76514049_profile_position.png",4,220,900)</f>
        <v/>
      </c>
    </row>
    <row r="944">
      <c r="A944" t="inlineStr">
        <is>
          <t>chr12</t>
        </is>
      </c>
      <c r="B944" t="n">
        <v>123290717</v>
      </c>
      <c r="C944" t="inlineStr">
        <is>
          <t>T</t>
        </is>
      </c>
      <c r="D944" t="inlineStr">
        <is>
          <t>C</t>
        </is>
      </c>
      <c r="E944" t="inlineStr">
        <is>
          <t>rs74240779</t>
        </is>
      </c>
      <c r="F944" t="n">
        <v>0.00198954592</v>
      </c>
      <c r="G944" t="n">
        <v>0.7334016431317775</v>
      </c>
      <c r="H944" t="n">
        <v>0.0113447360217482</v>
      </c>
      <c r="I944" t="n">
        <v>0.4851328568967473</v>
      </c>
      <c r="J944" t="n">
        <v>0.3980408787250529</v>
      </c>
      <c r="K944" t="n">
        <v>0.0857660155017287</v>
      </c>
      <c r="L944" t="b">
        <v>0</v>
      </c>
      <c r="M944" t="b">
        <v>0</v>
      </c>
      <c r="N944" t="inlineStr">
        <is>
          <t>alt</t>
        </is>
      </c>
      <c r="O944" t="n">
        <v>95</v>
      </c>
      <c r="P944" t="n">
        <v>0.03098</v>
      </c>
      <c r="Q944" t="n">
        <v>-75</v>
      </c>
      <c r="R944" t="n">
        <v>0.1672</v>
      </c>
      <c r="S944">
        <f>IMAGE("https://mitra.stanford.edu/kundaje/oak/projects/neuro-variants/variant_position/credible/roussos_2024/variant_figures/roussos_2024.childhood.GABA/rs74240779_count_position.png",4,220,900)</f>
        <v/>
      </c>
      <c r="T944">
        <f>IMAGE("https://mitra.stanford.edu/kundaje/oak/projects/neuro-variants/variant_position/credible/roussos_2024/variant_figures/roussos_2024.childhood.GABA/rs74240779_profile_position.png",4,220,900)</f>
        <v/>
      </c>
    </row>
    <row r="945">
      <c r="A945" t="inlineStr">
        <is>
          <t>chr12</t>
        </is>
      </c>
      <c r="B945" t="n">
        <v>123298270</v>
      </c>
      <c r="C945" t="inlineStr">
        <is>
          <t>C</t>
        </is>
      </c>
      <c r="D945" t="inlineStr">
        <is>
          <t>T</t>
        </is>
      </c>
      <c r="E945" t="inlineStr">
        <is>
          <t>rs67382382</t>
        </is>
      </c>
      <c r="F945" t="n">
        <v>0.009496041663999999</v>
      </c>
      <c r="G945" t="n">
        <v>0.6230865423464718</v>
      </c>
      <c r="H945" t="n">
        <v>0.0428809422999692</v>
      </c>
      <c r="I945" t="n">
        <v>0.0029398464160211</v>
      </c>
      <c r="J945" t="n">
        <v>0.1077652824024627</v>
      </c>
      <c r="K945" t="n">
        <v>0.3459028748510688</v>
      </c>
      <c r="L945" t="b">
        <v>1</v>
      </c>
      <c r="M945" t="b">
        <v>1</v>
      </c>
      <c r="N945" t="inlineStr">
        <is>
          <t>alt</t>
        </is>
      </c>
      <c r="O945" t="n">
        <v>10</v>
      </c>
      <c r="P945" t="n">
        <v>0.00241</v>
      </c>
      <c r="Q945" t="n">
        <v>-60</v>
      </c>
      <c r="R945" t="n">
        <v>0.04828</v>
      </c>
      <c r="S945">
        <f>IMAGE("https://mitra.stanford.edu/kundaje/oak/projects/neuro-variants/variant_position/credible/roussos_2024/variant_figures/roussos_2024.childhood.GABA/rs67382382_count_position.png",4,220,900)</f>
        <v/>
      </c>
      <c r="T945">
        <f>IMAGE("https://mitra.stanford.edu/kundaje/oak/projects/neuro-variants/variant_position/credible/roussos_2024/variant_figures/roussos_2024.childhood.GABA/rs67382382_profile_position.png",4,220,900)</f>
        <v/>
      </c>
    </row>
    <row r="946">
      <c r="A946" t="inlineStr">
        <is>
          <t>chr12</t>
        </is>
      </c>
      <c r="B946" t="n">
        <v>123302958</v>
      </c>
      <c r="C946" t="inlineStr">
        <is>
          <t>C</t>
        </is>
      </c>
      <c r="D946" t="inlineStr">
        <is>
          <t>G</t>
        </is>
      </c>
      <c r="E946" t="inlineStr">
        <is>
          <t>rs58537268</t>
        </is>
      </c>
      <c r="F946" t="n">
        <v>0.197181564</v>
      </c>
      <c r="G946" t="n">
        <v>0.0046389790863232</v>
      </c>
      <c r="H946" t="n">
        <v>0.0246886475858558</v>
      </c>
      <c r="I946" t="n">
        <v>0.0306467318256781</v>
      </c>
      <c r="J946" t="n">
        <v>0.0260717053046009</v>
      </c>
      <c r="K946" t="n">
        <v>0.6079215382661596</v>
      </c>
      <c r="L946" t="b">
        <v>1</v>
      </c>
      <c r="M946" t="b">
        <v>1</v>
      </c>
      <c r="N946" t="inlineStr">
        <is>
          <t>alt</t>
        </is>
      </c>
      <c r="O946" t="n">
        <v>-55</v>
      </c>
      <c r="P946" t="n">
        <v>0.01991</v>
      </c>
      <c r="Q946" t="n">
        <v>0</v>
      </c>
      <c r="R946" t="n">
        <v>0</v>
      </c>
      <c r="S946">
        <f>IMAGE("https://mitra.stanford.edu/kundaje/oak/projects/neuro-variants/variant_position/credible/roussos_2024/variant_figures/roussos_2024.childhood.GABA/rs58537268_count_position.png",4,220,900)</f>
        <v/>
      </c>
      <c r="T946">
        <f>IMAGE("https://mitra.stanford.edu/kundaje/oak/projects/neuro-variants/variant_position/credible/roussos_2024/variant_figures/roussos_2024.childhood.GABA/rs58537268_profile_position.png",4,220,900)</f>
        <v/>
      </c>
    </row>
    <row r="947">
      <c r="A947" t="inlineStr">
        <is>
          <t>chr12</t>
        </is>
      </c>
      <c r="B947" t="n">
        <v>123307918</v>
      </c>
      <c r="C947" t="inlineStr">
        <is>
          <t>G</t>
        </is>
      </c>
      <c r="D947" t="inlineStr">
        <is>
          <t>A</t>
        </is>
      </c>
      <c r="E947" t="inlineStr">
        <is>
          <t>rs117741953</t>
        </is>
      </c>
      <c r="F947" t="n">
        <v>0.00898670614</v>
      </c>
      <c r="G947" t="n">
        <v>0.6100238434299632</v>
      </c>
      <c r="H947" t="n">
        <v>0.0306513590343965</v>
      </c>
      <c r="I947" t="n">
        <v>0.0113430699106088</v>
      </c>
      <c r="J947" t="n">
        <v>0.0148845050365436</v>
      </c>
      <c r="K947" t="n">
        <v>0.7028035660684662</v>
      </c>
      <c r="L947" t="b">
        <v>1</v>
      </c>
      <c r="M947" t="b">
        <v>0</v>
      </c>
      <c r="N947" t="inlineStr">
        <is>
          <t>alt</t>
        </is>
      </c>
      <c r="O947" t="n">
        <v>-30</v>
      </c>
      <c r="P947" t="n">
        <v>0.009719999999999999</v>
      </c>
      <c r="Q947" t="n">
        <v>100</v>
      </c>
      <c r="R947" t="n">
        <v>0.03156</v>
      </c>
      <c r="S947">
        <f>IMAGE("https://mitra.stanford.edu/kundaje/oak/projects/neuro-variants/variant_position/credible/roussos_2024/variant_figures/roussos_2024.childhood.GABA/rs117741953_count_position.png",4,220,900)</f>
        <v/>
      </c>
      <c r="T947">
        <f>IMAGE("https://mitra.stanford.edu/kundaje/oak/projects/neuro-variants/variant_position/credible/roussos_2024/variant_figures/roussos_2024.childhood.GABA/rs117741953_profile_position.png",4,220,900)</f>
        <v/>
      </c>
    </row>
    <row r="948">
      <c r="A948" t="inlineStr">
        <is>
          <t>chr12</t>
        </is>
      </c>
      <c r="B948" t="n">
        <v>123317393</v>
      </c>
      <c r="C948" t="inlineStr">
        <is>
          <t>A</t>
        </is>
      </c>
      <c r="D948" t="inlineStr">
        <is>
          <t>G</t>
        </is>
      </c>
      <c r="E948" t="inlineStr">
        <is>
          <t>rs57416942</t>
        </is>
      </c>
      <c r="F948" t="n">
        <v>0.07125711999999999</v>
      </c>
      <c r="G948" t="n">
        <v>0.0668967316966373</v>
      </c>
      <c r="H948" t="n">
        <v>0.0160549487572836</v>
      </c>
      <c r="I948" t="n">
        <v>0.1791938016854364</v>
      </c>
      <c r="J948" t="n">
        <v>0.089365667734707</v>
      </c>
      <c r="K948" t="n">
        <v>0.3835884610928178</v>
      </c>
      <c r="L948" t="b">
        <v>0</v>
      </c>
      <c r="M948" t="b">
        <v>0</v>
      </c>
      <c r="N948" t="inlineStr">
        <is>
          <t>alt</t>
        </is>
      </c>
      <c r="O948" t="n">
        <v>15</v>
      </c>
      <c r="P948" t="n">
        <v>0.002266</v>
      </c>
      <c r="Q948" t="n">
        <v>-20</v>
      </c>
      <c r="R948" t="n">
        <v>0.01172</v>
      </c>
      <c r="S948">
        <f>IMAGE("https://mitra.stanford.edu/kundaje/oak/projects/neuro-variants/variant_position/credible/roussos_2024/variant_figures/roussos_2024.childhood.GABA/rs57416942_count_position.png",4,220,900)</f>
        <v/>
      </c>
      <c r="T948">
        <f>IMAGE("https://mitra.stanford.edu/kundaje/oak/projects/neuro-variants/variant_position/credible/roussos_2024/variant_figures/roussos_2024.childhood.GABA/rs57416942_profile_position.png",4,220,900)</f>
        <v/>
      </c>
    </row>
    <row r="949">
      <c r="A949" t="inlineStr">
        <is>
          <t>chr12</t>
        </is>
      </c>
      <c r="B949" t="n">
        <v>123318143</v>
      </c>
      <c r="C949" t="inlineStr">
        <is>
          <t>A</t>
        </is>
      </c>
      <c r="D949" t="inlineStr">
        <is>
          <t>G</t>
        </is>
      </c>
      <c r="E949" t="inlineStr">
        <is>
          <t>rs75225286</t>
        </is>
      </c>
      <c r="F949" t="n">
        <v>0.07013984799999989</v>
      </c>
      <c r="G949" t="n">
        <v>0.0648891866393083</v>
      </c>
      <c r="H949" t="n">
        <v>0.0139565195075815</v>
      </c>
      <c r="I949" t="n">
        <v>0.2871154466218177</v>
      </c>
      <c r="J949" t="n">
        <v>0.0133829658017632</v>
      </c>
      <c r="K949" t="n">
        <v>0.7177023479131738</v>
      </c>
      <c r="L949" t="b">
        <v>0</v>
      </c>
      <c r="M949" t="b">
        <v>0</v>
      </c>
      <c r="N949" t="inlineStr">
        <is>
          <t>alt</t>
        </is>
      </c>
      <c r="O949" t="n">
        <v>20</v>
      </c>
      <c r="P949" t="n">
        <v>0.01315</v>
      </c>
      <c r="Q949" t="n">
        <v>-60</v>
      </c>
      <c r="R949" t="n">
        <v>0.013824</v>
      </c>
      <c r="S949">
        <f>IMAGE("https://mitra.stanford.edu/kundaje/oak/projects/neuro-variants/variant_position/credible/roussos_2024/variant_figures/roussos_2024.childhood.GABA/rs75225286_count_position.png",4,220,900)</f>
        <v/>
      </c>
      <c r="T949">
        <f>IMAGE("https://mitra.stanford.edu/kundaje/oak/projects/neuro-variants/variant_position/credible/roussos_2024/variant_figures/roussos_2024.childhood.GABA/rs75225286_profile_position.png",4,220,900)</f>
        <v/>
      </c>
    </row>
    <row r="950">
      <c r="A950" t="inlineStr">
        <is>
          <t>chr12</t>
        </is>
      </c>
      <c r="B950" t="n">
        <v>123328240</v>
      </c>
      <c r="C950" t="inlineStr">
        <is>
          <t>A</t>
        </is>
      </c>
      <c r="D950" t="inlineStr">
        <is>
          <t>G</t>
        </is>
      </c>
      <c r="E950" t="inlineStr">
        <is>
          <t>rs10846519</t>
        </is>
      </c>
      <c r="F950" t="n">
        <v>0.0616146156</v>
      </c>
      <c r="G950" t="n">
        <v>0.1033916964163493</v>
      </c>
      <c r="H950" t="n">
        <v>0.0127113101939012</v>
      </c>
      <c r="I950" t="n">
        <v>0.3811733139087161</v>
      </c>
      <c r="J950" t="n">
        <v>0.0363437414923247</v>
      </c>
      <c r="K950" t="n">
        <v>0.5511945440028931</v>
      </c>
      <c r="L950" t="b">
        <v>0</v>
      </c>
      <c r="M950" t="b">
        <v>0</v>
      </c>
      <c r="N950" t="inlineStr">
        <is>
          <t>alt</t>
        </is>
      </c>
      <c r="O950" t="n">
        <v>70</v>
      </c>
      <c r="P950" t="n">
        <v>0.00434</v>
      </c>
      <c r="Q950" t="n">
        <v>-90</v>
      </c>
      <c r="R950" t="n">
        <v>0.03088</v>
      </c>
      <c r="S950">
        <f>IMAGE("https://mitra.stanford.edu/kundaje/oak/projects/neuro-variants/variant_position/credible/roussos_2024/variant_figures/roussos_2024.childhood.GABA/rs10846519_count_position.png",4,220,900)</f>
        <v/>
      </c>
      <c r="T950">
        <f>IMAGE("https://mitra.stanford.edu/kundaje/oak/projects/neuro-variants/variant_position/credible/roussos_2024/variant_figures/roussos_2024.childhood.GABA/rs10846519_profile_position.png",4,220,900)</f>
        <v/>
      </c>
    </row>
    <row r="951">
      <c r="A951" t="inlineStr">
        <is>
          <t>chr12</t>
        </is>
      </c>
      <c r="B951" t="n">
        <v>123336687</v>
      </c>
      <c r="C951" t="inlineStr">
        <is>
          <t>T</t>
        </is>
      </c>
      <c r="D951" t="inlineStr">
        <is>
          <t>A</t>
        </is>
      </c>
      <c r="E951" t="inlineStr">
        <is>
          <t>rs7486223</t>
        </is>
      </c>
      <c r="F951" t="n">
        <v>0.00819809101</v>
      </c>
      <c r="G951" t="n">
        <v>0.6444305031631066</v>
      </c>
      <c r="H951" t="n">
        <v>0.0081335859153795</v>
      </c>
      <c r="I951" t="n">
        <v>0.8278533553870882</v>
      </c>
      <c r="J951" t="n">
        <v>0.0305302506753784</v>
      </c>
      <c r="K951" t="n">
        <v>0.5941928178077941</v>
      </c>
      <c r="L951" t="b">
        <v>0</v>
      </c>
      <c r="M951" t="b">
        <v>0</v>
      </c>
      <c r="N951" t="inlineStr">
        <is>
          <t>alt</t>
        </is>
      </c>
      <c r="O951" t="n">
        <v>-5</v>
      </c>
      <c r="P951" t="n">
        <v>0.0002003</v>
      </c>
      <c r="Q951" t="n">
        <v>50</v>
      </c>
      <c r="R951" t="n">
        <v>0.07199999999999999</v>
      </c>
      <c r="S951">
        <f>IMAGE("https://mitra.stanford.edu/kundaje/oak/projects/neuro-variants/variant_position/credible/roussos_2024/variant_figures/roussos_2024.childhood.GABA/rs7486223_count_position.png",4,220,900)</f>
        <v/>
      </c>
      <c r="T951">
        <f>IMAGE("https://mitra.stanford.edu/kundaje/oak/projects/neuro-variants/variant_position/credible/roussos_2024/variant_figures/roussos_2024.childhood.GABA/rs7486223_profile_position.png",4,220,900)</f>
        <v/>
      </c>
    </row>
    <row r="952">
      <c r="A952" t="inlineStr">
        <is>
          <t>chr12</t>
        </is>
      </c>
      <c r="B952" t="n">
        <v>123338532</v>
      </c>
      <c r="C952" t="inlineStr">
        <is>
          <t>G</t>
        </is>
      </c>
      <c r="D952" t="inlineStr">
        <is>
          <t>A</t>
        </is>
      </c>
      <c r="E952" t="inlineStr">
        <is>
          <t>rs7952835</t>
        </is>
      </c>
      <c r="F952" t="n">
        <v>0.00907430918</v>
      </c>
      <c r="G952" t="n">
        <v>0.608956091991985</v>
      </c>
      <c r="H952" t="n">
        <v>0.0270871510273052</v>
      </c>
      <c r="I952" t="n">
        <v>0.0199835944213542</v>
      </c>
      <c r="J952" t="n">
        <v>0.07682666331595139</v>
      </c>
      <c r="K952" t="n">
        <v>0.4168296995744201</v>
      </c>
      <c r="L952" t="b">
        <v>1</v>
      </c>
      <c r="M952" t="b">
        <v>0</v>
      </c>
      <c r="N952" t="inlineStr">
        <is>
          <t>alt</t>
        </is>
      </c>
      <c r="O952" t="n">
        <v>100</v>
      </c>
      <c r="P952" t="n">
        <v>0.01929</v>
      </c>
      <c r="Q952" t="n">
        <v>5</v>
      </c>
      <c r="R952" t="n">
        <v>0.014984</v>
      </c>
      <c r="S952">
        <f>IMAGE("https://mitra.stanford.edu/kundaje/oak/projects/neuro-variants/variant_position/credible/roussos_2024/variant_figures/roussos_2024.childhood.GABA/rs7952835_count_position.png",4,220,900)</f>
        <v/>
      </c>
      <c r="T952">
        <f>IMAGE("https://mitra.stanford.edu/kundaje/oak/projects/neuro-variants/variant_position/credible/roussos_2024/variant_figures/roussos_2024.childhood.GABA/rs7952835_profile_position.png",4,220,900)</f>
        <v/>
      </c>
    </row>
    <row r="953">
      <c r="A953" t="inlineStr">
        <is>
          <t>chr12</t>
        </is>
      </c>
      <c r="B953" t="n">
        <v>123342207</v>
      </c>
      <c r="C953" t="inlineStr">
        <is>
          <t>A</t>
        </is>
      </c>
      <c r="D953" t="inlineStr">
        <is>
          <t>G</t>
        </is>
      </c>
      <c r="E953" t="inlineStr">
        <is>
          <t>rs7962723</t>
        </is>
      </c>
      <c r="F953" t="n">
        <v>0.090881402</v>
      </c>
      <c r="G953" t="n">
        <v>0.0381681219641851</v>
      </c>
      <c r="H953" t="n">
        <v>0.0143501043349682</v>
      </c>
      <c r="I953" t="n">
        <v>0.2624814233949263</v>
      </c>
      <c r="J953" t="n">
        <v>0.1539171954514041</v>
      </c>
      <c r="K953" t="n">
        <v>0.2790802668492728</v>
      </c>
      <c r="L953" t="b">
        <v>0</v>
      </c>
      <c r="M953" t="b">
        <v>0</v>
      </c>
      <c r="N953" t="inlineStr">
        <is>
          <t>alt</t>
        </is>
      </c>
      <c r="O953" t="n">
        <v>10</v>
      </c>
      <c r="P953" t="n">
        <v>0.0003662</v>
      </c>
      <c r="Q953" t="n">
        <v>-100</v>
      </c>
      <c r="R953" t="n">
        <v>0.02112</v>
      </c>
      <c r="S953">
        <f>IMAGE("https://mitra.stanford.edu/kundaje/oak/projects/neuro-variants/variant_position/credible/roussos_2024/variant_figures/roussos_2024.childhood.GABA/rs7962723_count_position.png",4,220,900)</f>
        <v/>
      </c>
      <c r="T953">
        <f>IMAGE("https://mitra.stanford.edu/kundaje/oak/projects/neuro-variants/variant_position/credible/roussos_2024/variant_figures/roussos_2024.childhood.GABA/rs7962723_profile_position.png",4,220,900)</f>
        <v/>
      </c>
    </row>
    <row r="954">
      <c r="A954" t="inlineStr">
        <is>
          <t>chr12</t>
        </is>
      </c>
      <c r="B954" t="n">
        <v>123342383</v>
      </c>
      <c r="C954" t="inlineStr">
        <is>
          <t>A</t>
        </is>
      </c>
      <c r="D954" t="inlineStr">
        <is>
          <t>G</t>
        </is>
      </c>
      <c r="E954" t="inlineStr">
        <is>
          <t>rs10773011</t>
        </is>
      </c>
      <c r="F954" t="n">
        <v>0.1245745651999999</v>
      </c>
      <c r="G954" t="n">
        <v>0.0158238742050286</v>
      </c>
      <c r="H954" t="n">
        <v>0.0176611285014628</v>
      </c>
      <c r="I954" t="n">
        <v>0.1248925249732406</v>
      </c>
      <c r="J954" t="n">
        <v>0.1544554040753072</v>
      </c>
      <c r="K954" t="n">
        <v>0.2766682829239332</v>
      </c>
      <c r="L954" t="b">
        <v>1</v>
      </c>
      <c r="M954" t="b">
        <v>0</v>
      </c>
      <c r="N954" t="inlineStr">
        <is>
          <t>alt</t>
        </is>
      </c>
      <c r="O954" t="n">
        <v>-10</v>
      </c>
      <c r="P954" t="n">
        <v>0.00177</v>
      </c>
      <c r="Q954" t="n">
        <v>-85</v>
      </c>
      <c r="R954" t="n">
        <v>0.1039</v>
      </c>
      <c r="S954">
        <f>IMAGE("https://mitra.stanford.edu/kundaje/oak/projects/neuro-variants/variant_position/credible/roussos_2024/variant_figures/roussos_2024.childhood.GABA/rs10773011_count_position.png",4,220,900)</f>
        <v/>
      </c>
      <c r="T954">
        <f>IMAGE("https://mitra.stanford.edu/kundaje/oak/projects/neuro-variants/variant_position/credible/roussos_2024/variant_figures/roussos_2024.childhood.GABA/rs10773011_profile_position.png",4,220,900)</f>
        <v/>
      </c>
    </row>
    <row r="955">
      <c r="A955" t="inlineStr">
        <is>
          <t>chr12</t>
        </is>
      </c>
      <c r="B955" t="n">
        <v>123352828</v>
      </c>
      <c r="C955" t="inlineStr">
        <is>
          <t>A</t>
        </is>
      </c>
      <c r="D955" t="inlineStr">
        <is>
          <t>C</t>
        </is>
      </c>
      <c r="E955" t="inlineStr">
        <is>
          <t>rs9300256</t>
        </is>
      </c>
      <c r="F955" t="n">
        <v>0.0210876102</v>
      </c>
      <c r="G955" t="n">
        <v>0.3982603551858136</v>
      </c>
      <c r="H955" t="n">
        <v>0.0191749302041221</v>
      </c>
      <c r="I955" t="n">
        <v>0.0894200269440107</v>
      </c>
      <c r="J955" t="n">
        <v>0.1398462859416556</v>
      </c>
      <c r="K955" t="n">
        <v>0.2965291967635232</v>
      </c>
      <c r="L955" t="b">
        <v>0</v>
      </c>
      <c r="M955" t="b">
        <v>0</v>
      </c>
      <c r="N955" t="inlineStr">
        <is>
          <t>alt</t>
        </is>
      </c>
      <c r="O955" t="n">
        <v>35</v>
      </c>
      <c r="P955" t="n">
        <v>0.007103</v>
      </c>
      <c r="Q955" t="n">
        <v>90</v>
      </c>
      <c r="R955" t="n">
        <v>0.1011</v>
      </c>
      <c r="S955">
        <f>IMAGE("https://mitra.stanford.edu/kundaje/oak/projects/neuro-variants/variant_position/credible/roussos_2024/variant_figures/roussos_2024.childhood.GABA/rs9300256_count_position.png",4,220,900)</f>
        <v/>
      </c>
      <c r="T955">
        <f>IMAGE("https://mitra.stanford.edu/kundaje/oak/projects/neuro-variants/variant_position/credible/roussos_2024/variant_figures/roussos_2024.childhood.GABA/rs9300256_profile_position.png",4,220,900)</f>
        <v/>
      </c>
    </row>
    <row r="956">
      <c r="A956" t="inlineStr">
        <is>
          <t>chr12</t>
        </is>
      </c>
      <c r="B956" t="n">
        <v>123358692</v>
      </c>
      <c r="C956" t="inlineStr">
        <is>
          <t>A</t>
        </is>
      </c>
      <c r="D956" t="inlineStr">
        <is>
          <t>G</t>
        </is>
      </c>
      <c r="E956" t="inlineStr">
        <is>
          <t>rs10773016</t>
        </is>
      </c>
      <c r="F956" t="n">
        <v>0.019713034</v>
      </c>
      <c r="G956" t="n">
        <v>0.4163328145337515</v>
      </c>
      <c r="H956" t="n">
        <v>0.0146095191756611</v>
      </c>
      <c r="I956" t="n">
        <v>0.2412851560836778</v>
      </c>
      <c r="J956" t="n">
        <v>0.0237733241188665</v>
      </c>
      <c r="K956" t="n">
        <v>0.6375945363846351</v>
      </c>
      <c r="L956" t="b">
        <v>0</v>
      </c>
      <c r="M956" t="b">
        <v>0</v>
      </c>
      <c r="N956" t="inlineStr">
        <is>
          <t>alt</t>
        </is>
      </c>
      <c r="O956" t="n">
        <v>-5</v>
      </c>
      <c r="P956" t="n">
        <v>0.0006104</v>
      </c>
      <c r="Q956" t="n">
        <v>-90</v>
      </c>
      <c r="R956" t="n">
        <v>0.008699999999999999</v>
      </c>
      <c r="S956">
        <f>IMAGE("https://mitra.stanford.edu/kundaje/oak/projects/neuro-variants/variant_position/credible/roussos_2024/variant_figures/roussos_2024.childhood.GABA/rs10773016_count_position.png",4,220,900)</f>
        <v/>
      </c>
      <c r="T956">
        <f>IMAGE("https://mitra.stanford.edu/kundaje/oak/projects/neuro-variants/variant_position/credible/roussos_2024/variant_figures/roussos_2024.childhood.GABA/rs10773016_profile_position.png",4,220,900)</f>
        <v/>
      </c>
    </row>
    <row r="957">
      <c r="A957" t="inlineStr">
        <is>
          <t>chr12</t>
        </is>
      </c>
      <c r="B957" t="n">
        <v>123939053</v>
      </c>
      <c r="C957" t="inlineStr">
        <is>
          <t>G</t>
        </is>
      </c>
      <c r="D957" t="inlineStr">
        <is>
          <t>C</t>
        </is>
      </c>
      <c r="E957" t="inlineStr">
        <is>
          <t>rs4930723</t>
        </is>
      </c>
      <c r="F957" t="n">
        <v>0.0025240754999999</v>
      </c>
      <c r="G957" t="n">
        <v>0.7046990414024858</v>
      </c>
      <c r="H957" t="n">
        <v>0.008992913605820101</v>
      </c>
      <c r="I957" t="n">
        <v>0.7538069076135311</v>
      </c>
      <c r="J957" t="n">
        <v>0.4093453540239994</v>
      </c>
      <c r="K957" t="n">
        <v>0.08233755335022171</v>
      </c>
      <c r="L957" t="b">
        <v>0</v>
      </c>
      <c r="M957" t="b">
        <v>0</v>
      </c>
      <c r="N957" t="inlineStr">
        <is>
          <t>alt</t>
        </is>
      </c>
      <c r="O957" t="n">
        <v>-100</v>
      </c>
      <c r="P957" t="n">
        <v>0.012794</v>
      </c>
      <c r="Q957" t="n">
        <v>-100</v>
      </c>
      <c r="R957" t="n">
        <v>0.2223</v>
      </c>
      <c r="S957">
        <f>IMAGE("https://mitra.stanford.edu/kundaje/oak/projects/neuro-variants/variant_position/credible/roussos_2024/variant_figures/roussos_2024.childhood.GABA/rs4930723_count_position.png",4,220,900)</f>
        <v/>
      </c>
      <c r="T957">
        <f>IMAGE("https://mitra.stanford.edu/kundaje/oak/projects/neuro-variants/variant_position/credible/roussos_2024/variant_figures/roussos_2024.childhood.GABA/rs4930723_profile_position.png",4,220,900)</f>
        <v/>
      </c>
    </row>
    <row r="958">
      <c r="A958" t="inlineStr">
        <is>
          <t>chr12</t>
        </is>
      </c>
      <c r="B958" t="n">
        <v>123943784</v>
      </c>
      <c r="C958" t="inlineStr">
        <is>
          <t>T</t>
        </is>
      </c>
      <c r="D958" t="inlineStr">
        <is>
          <t>C</t>
        </is>
      </c>
      <c r="E958" t="inlineStr">
        <is>
          <t>rs4930726</t>
        </is>
      </c>
      <c r="F958" t="n">
        <v>0.000496228482</v>
      </c>
      <c r="G958" t="n">
        <v>0.9197927504704582</v>
      </c>
      <c r="H958" t="n">
        <v>0.0128316676434788</v>
      </c>
      <c r="I958" t="n">
        <v>0.3583475649033042</v>
      </c>
      <c r="J958" t="n">
        <v>0.5179755397792716</v>
      </c>
      <c r="K958" t="n">
        <v>0.046881706402478</v>
      </c>
      <c r="L958" t="b">
        <v>0</v>
      </c>
      <c r="M958" t="b">
        <v>0</v>
      </c>
      <c r="N958" t="inlineStr">
        <is>
          <t>alt</t>
        </is>
      </c>
      <c r="O958" t="n">
        <v>100</v>
      </c>
      <c r="P958" t="n">
        <v>0.00916</v>
      </c>
      <c r="Q958" t="n">
        <v>-85</v>
      </c>
      <c r="R958" t="n">
        <v>0.03964</v>
      </c>
      <c r="S958">
        <f>IMAGE("https://mitra.stanford.edu/kundaje/oak/projects/neuro-variants/variant_position/credible/roussos_2024/variant_figures/roussos_2024.childhood.GABA/rs4930726_count_position.png",4,220,900)</f>
        <v/>
      </c>
      <c r="T958">
        <f>IMAGE("https://mitra.stanford.edu/kundaje/oak/projects/neuro-variants/variant_position/credible/roussos_2024/variant_figures/roussos_2024.childhood.GABA/rs4930726_profile_position.png",4,220,900)</f>
        <v/>
      </c>
    </row>
    <row r="959">
      <c r="A959" t="inlineStr">
        <is>
          <t>chr12</t>
        </is>
      </c>
      <c r="B959" t="n">
        <v>123962181</v>
      </c>
      <c r="C959" t="inlineStr">
        <is>
          <t>A</t>
        </is>
      </c>
      <c r="D959" t="inlineStr">
        <is>
          <t>G</t>
        </is>
      </c>
      <c r="E959" t="inlineStr">
        <is>
          <t>rs7312404</t>
        </is>
      </c>
      <c r="F959" t="n">
        <v>0.0165348392</v>
      </c>
      <c r="G959" t="n">
        <v>0.4925241811959588</v>
      </c>
      <c r="H959" t="n">
        <v>0.0191904607641172</v>
      </c>
      <c r="I959" t="n">
        <v>0.0897797227973343</v>
      </c>
      <c r="J959" t="n">
        <v>0.4215723230927101</v>
      </c>
      <c r="K959" t="n">
        <v>0.0770744642981858</v>
      </c>
      <c r="L959" t="b">
        <v>0</v>
      </c>
      <c r="M959" t="b">
        <v>0</v>
      </c>
      <c r="N959" t="inlineStr">
        <is>
          <t>alt</t>
        </is>
      </c>
      <c r="O959" t="n">
        <v>55</v>
      </c>
      <c r="P959" t="n">
        <v>0.002869</v>
      </c>
      <c r="Q959" t="n">
        <v>-50</v>
      </c>
      <c r="R959" t="n">
        <v>0.02222</v>
      </c>
      <c r="S959">
        <f>IMAGE("https://mitra.stanford.edu/kundaje/oak/projects/neuro-variants/variant_position/credible/roussos_2024/variant_figures/roussos_2024.childhood.GABA/rs7312404_count_position.png",4,220,900)</f>
        <v/>
      </c>
      <c r="T959">
        <f>IMAGE("https://mitra.stanford.edu/kundaje/oak/projects/neuro-variants/variant_position/credible/roussos_2024/variant_figures/roussos_2024.childhood.GABA/rs7312404_profile_position.png",4,220,900)</f>
        <v/>
      </c>
    </row>
    <row r="960">
      <c r="A960" t="inlineStr">
        <is>
          <t>chr12</t>
        </is>
      </c>
      <c r="B960" t="n">
        <v>123962799</v>
      </c>
      <c r="C960" t="inlineStr">
        <is>
          <t>T</t>
        </is>
      </c>
      <c r="D960" t="inlineStr">
        <is>
          <t>C</t>
        </is>
      </c>
      <c r="E960" t="inlineStr">
        <is>
          <t>rs7134121</t>
        </is>
      </c>
      <c r="F960" t="n">
        <v>-0.01594963084</v>
      </c>
      <c r="G960" t="n">
        <v>0.5133920847095336</v>
      </c>
      <c r="H960" t="n">
        <v>0.0287511849150287</v>
      </c>
      <c r="I960" t="n">
        <v>0.0154552500595403</v>
      </c>
      <c r="J960" t="n">
        <v>0.3259313941069297</v>
      </c>
      <c r="K960" t="n">
        <v>0.121346810655439</v>
      </c>
      <c r="L960" t="b">
        <v>1</v>
      </c>
      <c r="M960" t="b">
        <v>0</v>
      </c>
      <c r="N960" t="inlineStr">
        <is>
          <t>ref</t>
        </is>
      </c>
      <c r="O960" t="n">
        <v>-45</v>
      </c>
      <c r="P960" t="n">
        <v>0.001129</v>
      </c>
      <c r="Q960" t="n">
        <v>-90</v>
      </c>
      <c r="R960" t="n">
        <v>0.1315</v>
      </c>
      <c r="S960">
        <f>IMAGE("https://mitra.stanford.edu/kundaje/oak/projects/neuro-variants/variant_position/credible/roussos_2024/variant_figures/roussos_2024.childhood.GABA/rs7134121_count_position.png",4,220,900)</f>
        <v/>
      </c>
      <c r="T960">
        <f>IMAGE("https://mitra.stanford.edu/kundaje/oak/projects/neuro-variants/variant_position/credible/roussos_2024/variant_figures/roussos_2024.childhood.GABA/rs7134121_profile_position.png",4,220,900)</f>
        <v/>
      </c>
    </row>
    <row r="961">
      <c r="A961" t="inlineStr">
        <is>
          <t>chr12</t>
        </is>
      </c>
      <c r="B961" t="n">
        <v>123982657</v>
      </c>
      <c r="C961" t="inlineStr">
        <is>
          <t>C</t>
        </is>
      </c>
      <c r="D961" t="inlineStr">
        <is>
          <t>A</t>
        </is>
      </c>
      <c r="E961" t="inlineStr">
        <is>
          <t>rs35099862</t>
        </is>
      </c>
      <c r="F961" t="n">
        <v>-0.1071619192</v>
      </c>
      <c r="G961" t="n">
        <v>0.0254014409968225</v>
      </c>
      <c r="H961" t="n">
        <v>0.0149513161444324</v>
      </c>
      <c r="I961" t="n">
        <v>0.2269949802256737</v>
      </c>
      <c r="J961" t="n">
        <v>0.1584427551255471</v>
      </c>
      <c r="K961" t="n">
        <v>0.2740778485768256</v>
      </c>
      <c r="L961" t="b">
        <v>0</v>
      </c>
      <c r="M961" t="b">
        <v>0</v>
      </c>
      <c r="N961" t="inlineStr">
        <is>
          <t>ref</t>
        </is>
      </c>
      <c r="O961" t="n">
        <v>-50</v>
      </c>
      <c r="P961" t="n">
        <v>0.005814</v>
      </c>
      <c r="Q961" t="n">
        <v>-80</v>
      </c>
      <c r="R961" t="n">
        <v>0.07227</v>
      </c>
      <c r="S961">
        <f>IMAGE("https://mitra.stanford.edu/kundaje/oak/projects/neuro-variants/variant_position/credible/roussos_2024/variant_figures/roussos_2024.childhood.GABA/rs35099862_count_position.png",4,220,900)</f>
        <v/>
      </c>
      <c r="T961">
        <f>IMAGE("https://mitra.stanford.edu/kundaje/oak/projects/neuro-variants/variant_position/credible/roussos_2024/variant_figures/roussos_2024.childhood.GABA/rs35099862_profile_position.png",4,220,900)</f>
        <v/>
      </c>
    </row>
    <row r="962">
      <c r="A962" t="inlineStr">
        <is>
          <t>chr12</t>
        </is>
      </c>
      <c r="B962" t="n">
        <v>123984025</v>
      </c>
      <c r="C962" t="inlineStr">
        <is>
          <t>G</t>
        </is>
      </c>
      <c r="D962" t="inlineStr">
        <is>
          <t>C</t>
        </is>
      </c>
      <c r="E962" t="inlineStr">
        <is>
          <t>rs7978610</t>
        </is>
      </c>
      <c r="F962" t="n">
        <v>-0.2138951539999999</v>
      </c>
      <c r="G962" t="n">
        <v>0.0040860878925306</v>
      </c>
      <c r="H962" t="n">
        <v>0.0400402490373381</v>
      </c>
      <c r="I962" t="n">
        <v>0.0055135813532932</v>
      </c>
      <c r="J962" t="n">
        <v>0.2992827375342924</v>
      </c>
      <c r="K962" t="n">
        <v>0.135430615210338</v>
      </c>
      <c r="L962" t="b">
        <v>1</v>
      </c>
      <c r="M962" t="b">
        <v>1</v>
      </c>
      <c r="N962" t="inlineStr">
        <is>
          <t>ref</t>
        </is>
      </c>
      <c r="O962" t="n">
        <v>90</v>
      </c>
      <c r="P962" t="n">
        <v>0.003418</v>
      </c>
      <c r="Q962" t="n">
        <v>100</v>
      </c>
      <c r="R962" t="n">
        <v>0.03857</v>
      </c>
      <c r="S962">
        <f>IMAGE("https://mitra.stanford.edu/kundaje/oak/projects/neuro-variants/variant_position/credible/roussos_2024/variant_figures/roussos_2024.childhood.GABA/rs7978610_count_position.png",4,220,900)</f>
        <v/>
      </c>
      <c r="T962">
        <f>IMAGE("https://mitra.stanford.edu/kundaje/oak/projects/neuro-variants/variant_position/credible/roussos_2024/variant_figures/roussos_2024.childhood.GABA/rs7978610_profile_position.png",4,220,900)</f>
        <v/>
      </c>
    </row>
    <row r="963">
      <c r="A963" t="inlineStr">
        <is>
          <t>chr12</t>
        </is>
      </c>
      <c r="B963" t="n">
        <v>123985512</v>
      </c>
      <c r="C963" t="inlineStr">
        <is>
          <t>C</t>
        </is>
      </c>
      <c r="D963" t="inlineStr">
        <is>
          <t>T</t>
        </is>
      </c>
      <c r="E963" t="inlineStr">
        <is>
          <t>rs11837287</t>
        </is>
      </c>
      <c r="F963" t="n">
        <v>0.007046153394</v>
      </c>
      <c r="G963" t="n">
        <v>0.7098238958786659</v>
      </c>
      <c r="H963" t="n">
        <v>0.0320472835822359</v>
      </c>
      <c r="I963" t="n">
        <v>0.009397185874219401</v>
      </c>
      <c r="J963" t="n">
        <v>0.0256172645599044</v>
      </c>
      <c r="K963" t="n">
        <v>0.6181502300085143</v>
      </c>
      <c r="L963" t="b">
        <v>1</v>
      </c>
      <c r="M963" t="b">
        <v>0</v>
      </c>
      <c r="N963" t="inlineStr">
        <is>
          <t>alt</t>
        </is>
      </c>
      <c r="O963" t="n">
        <v>80</v>
      </c>
      <c r="P963" t="n">
        <v>0.00763</v>
      </c>
      <c r="Q963" t="n">
        <v>100</v>
      </c>
      <c r="R963" t="n">
        <v>0.0825</v>
      </c>
      <c r="S963">
        <f>IMAGE("https://mitra.stanford.edu/kundaje/oak/projects/neuro-variants/variant_position/credible/roussos_2024/variant_figures/roussos_2024.childhood.GABA/rs11837287_count_position.png",4,220,900)</f>
        <v/>
      </c>
      <c r="T963">
        <f>IMAGE("https://mitra.stanford.edu/kundaje/oak/projects/neuro-variants/variant_position/credible/roussos_2024/variant_figures/roussos_2024.childhood.GABA/rs11837287_profile_position.png",4,220,900)</f>
        <v/>
      </c>
    </row>
    <row r="964">
      <c r="A964" t="inlineStr">
        <is>
          <t>chr12</t>
        </is>
      </c>
      <c r="B964" t="n">
        <v>123990609</v>
      </c>
      <c r="C964" t="inlineStr">
        <is>
          <t>A</t>
        </is>
      </c>
      <c r="D964" t="inlineStr">
        <is>
          <t>G</t>
        </is>
      </c>
      <c r="E964" t="inlineStr">
        <is>
          <t>rs7307277</t>
        </is>
      </c>
      <c r="F964" t="n">
        <v>0.0075948876199999</v>
      </c>
      <c r="G964" t="n">
        <v>0.6690945347556396</v>
      </c>
      <c r="H964" t="n">
        <v>0.0108033987331131</v>
      </c>
      <c r="I964" t="n">
        <v>0.5571095098657007</v>
      </c>
      <c r="J964" t="n">
        <v>0.0487570940922702</v>
      </c>
      <c r="K964" t="n">
        <v>0.5217942535730943</v>
      </c>
      <c r="L964" t="b">
        <v>0</v>
      </c>
      <c r="M964" t="b">
        <v>0</v>
      </c>
      <c r="N964" t="inlineStr">
        <is>
          <t>alt</t>
        </is>
      </c>
      <c r="O964" t="n">
        <v>-90</v>
      </c>
      <c r="P964" t="n">
        <v>0.001578</v>
      </c>
      <c r="Q964" t="n">
        <v>-10</v>
      </c>
      <c r="R964" t="n">
        <v>0.009674</v>
      </c>
      <c r="S964">
        <f>IMAGE("https://mitra.stanford.edu/kundaje/oak/projects/neuro-variants/variant_position/credible/roussos_2024/variant_figures/roussos_2024.childhood.GABA/rs7307277_count_position.png",4,220,900)</f>
        <v/>
      </c>
      <c r="T964">
        <f>IMAGE("https://mitra.stanford.edu/kundaje/oak/projects/neuro-variants/variant_position/credible/roussos_2024/variant_figures/roussos_2024.childhood.GABA/rs7307277_profile_position.png",4,220,900)</f>
        <v/>
      </c>
    </row>
    <row r="965">
      <c r="A965" t="inlineStr">
        <is>
          <t>chr12</t>
        </is>
      </c>
      <c r="B965" t="n">
        <v>123992326</v>
      </c>
      <c r="C965" t="inlineStr">
        <is>
          <t>C</t>
        </is>
      </c>
      <c r="D965" t="inlineStr">
        <is>
          <t>T</t>
        </is>
      </c>
      <c r="E965" t="inlineStr">
        <is>
          <t>rs12833624</t>
        </is>
      </c>
      <c r="F965" t="n">
        <v>-0.453067924</v>
      </c>
      <c r="G965" t="n">
        <v>0.0004597213392361</v>
      </c>
      <c r="H965" t="n">
        <v>0.0808779961698004</v>
      </c>
      <c r="I965" t="n">
        <v>0.0005300009338521</v>
      </c>
      <c r="J965" t="n">
        <v>0.5492994911101338</v>
      </c>
      <c r="K965" t="n">
        <v>0.0399914785515275</v>
      </c>
      <c r="L965" t="b">
        <v>1</v>
      </c>
      <c r="M965" t="b">
        <v>1</v>
      </c>
      <c r="N965" t="inlineStr">
        <is>
          <t>ref</t>
        </is>
      </c>
      <c r="O965" t="n">
        <v>80</v>
      </c>
      <c r="P965" t="n">
        <v>0.00403</v>
      </c>
      <c r="Q965" t="n">
        <v>25</v>
      </c>
      <c r="R965" t="n">
        <v>0.01221</v>
      </c>
      <c r="S965">
        <f>IMAGE("https://mitra.stanford.edu/kundaje/oak/projects/neuro-variants/variant_position/credible/roussos_2024/variant_figures/roussos_2024.childhood.GABA/rs12833624_count_position.png",4,220,900)</f>
        <v/>
      </c>
      <c r="T965">
        <f>IMAGE("https://mitra.stanford.edu/kundaje/oak/projects/neuro-variants/variant_position/credible/roussos_2024/variant_figures/roussos_2024.childhood.GABA/rs12833624_profile_position.png",4,220,900)</f>
        <v/>
      </c>
    </row>
    <row r="966">
      <c r="A966" t="inlineStr">
        <is>
          <t>chr12</t>
        </is>
      </c>
      <c r="B966" t="n">
        <v>123995826</v>
      </c>
      <c r="C966" t="inlineStr">
        <is>
          <t>G</t>
        </is>
      </c>
      <c r="D966" t="inlineStr">
        <is>
          <t>C</t>
        </is>
      </c>
      <c r="E966" t="inlineStr">
        <is>
          <t>rs34114498</t>
        </is>
      </c>
      <c r="F966" t="n">
        <v>-0.0443460494</v>
      </c>
      <c r="G966" t="n">
        <v>0.1874140942392802</v>
      </c>
      <c r="H966" t="n">
        <v>0.0155320664906296</v>
      </c>
      <c r="I966" t="n">
        <v>0.2006966329041891</v>
      </c>
      <c r="J966" t="n">
        <v>0.1153054386295574</v>
      </c>
      <c r="K966" t="n">
        <v>0.3425479446018822</v>
      </c>
      <c r="L966" t="b">
        <v>0</v>
      </c>
      <c r="M966" t="b">
        <v>0</v>
      </c>
      <c r="N966" t="inlineStr">
        <is>
          <t>ref</t>
        </is>
      </c>
      <c r="O966" t="n">
        <v>-100</v>
      </c>
      <c r="P966" t="n">
        <v>0.01974</v>
      </c>
      <c r="Q966" t="n">
        <v>90</v>
      </c>
      <c r="R966" t="n">
        <v>0.05328</v>
      </c>
      <c r="S966">
        <f>IMAGE("https://mitra.stanford.edu/kundaje/oak/projects/neuro-variants/variant_position/credible/roussos_2024/variant_figures/roussos_2024.childhood.GABA/rs34114498_count_position.png",4,220,900)</f>
        <v/>
      </c>
      <c r="T966">
        <f>IMAGE("https://mitra.stanford.edu/kundaje/oak/projects/neuro-variants/variant_position/credible/roussos_2024/variant_figures/roussos_2024.childhood.GABA/rs34114498_profile_position.png",4,220,900)</f>
        <v/>
      </c>
    </row>
    <row r="967">
      <c r="A967" t="inlineStr">
        <is>
          <t>chr12</t>
        </is>
      </c>
      <c r="B967" t="n">
        <v>124008063</v>
      </c>
      <c r="C967" t="inlineStr">
        <is>
          <t>T</t>
        </is>
      </c>
      <c r="D967" t="inlineStr">
        <is>
          <t>G</t>
        </is>
      </c>
      <c r="E967" t="inlineStr">
        <is>
          <t>rs12303671</t>
        </is>
      </c>
      <c r="F967" t="n">
        <v>-0.1338339748</v>
      </c>
      <c r="G967" t="n">
        <v>0.0140502060520868</v>
      </c>
      <c r="H967" t="n">
        <v>0.0354037116262113</v>
      </c>
      <c r="I967" t="n">
        <v>0.0061296125953764</v>
      </c>
      <c r="J967" t="n">
        <v>0.321921006889908</v>
      </c>
      <c r="K967" t="n">
        <v>0.1241687261792661</v>
      </c>
      <c r="L967" t="b">
        <v>1</v>
      </c>
      <c r="M967" t="b">
        <v>1</v>
      </c>
      <c r="N967" t="inlineStr">
        <is>
          <t>ref</t>
        </is>
      </c>
      <c r="O967" t="n">
        <v>-100</v>
      </c>
      <c r="P967" t="n">
        <v>0.005486</v>
      </c>
      <c r="Q967" t="n">
        <v>-45</v>
      </c>
      <c r="R967" t="n">
        <v>0.145</v>
      </c>
      <c r="S967">
        <f>IMAGE("https://mitra.stanford.edu/kundaje/oak/projects/neuro-variants/variant_position/credible/roussos_2024/variant_figures/roussos_2024.childhood.GABA/rs12303671_count_position.png",4,220,900)</f>
        <v/>
      </c>
      <c r="T967">
        <f>IMAGE("https://mitra.stanford.edu/kundaje/oak/projects/neuro-variants/variant_position/credible/roussos_2024/variant_figures/roussos_2024.childhood.GABA/rs12303671_profile_position.png",4,220,900)</f>
        <v/>
      </c>
    </row>
    <row r="968">
      <c r="A968" t="inlineStr">
        <is>
          <t>chr13</t>
        </is>
      </c>
      <c r="B968" t="n">
        <v>32188974</v>
      </c>
      <c r="C968" t="inlineStr">
        <is>
          <t>G</t>
        </is>
      </c>
      <c r="D968" t="inlineStr">
        <is>
          <t>A</t>
        </is>
      </c>
      <c r="E968" t="inlineStr">
        <is>
          <t>rs7992065</t>
        </is>
      </c>
      <c r="F968" t="n">
        <v>0.0689475432</v>
      </c>
      <c r="G968" t="n">
        <v>0.08295955812696799</v>
      </c>
      <c r="H968" t="n">
        <v>0.0251011754486842</v>
      </c>
      <c r="I968" t="n">
        <v>0.0293612071971955</v>
      </c>
      <c r="J968" t="n">
        <v>0.0151242905907729</v>
      </c>
      <c r="K968" t="n">
        <v>0.6859614649236503</v>
      </c>
      <c r="L968" t="b">
        <v>0</v>
      </c>
      <c r="M968" t="b">
        <v>0</v>
      </c>
      <c r="N968" t="inlineStr">
        <is>
          <t>alt</t>
        </is>
      </c>
      <c r="O968" t="n">
        <v>-80</v>
      </c>
      <c r="P968" t="n">
        <v>0.02095</v>
      </c>
      <c r="Q968" t="n">
        <v>-75</v>
      </c>
      <c r="R968" t="n">
        <v>0.02551</v>
      </c>
      <c r="S968">
        <f>IMAGE("https://mitra.stanford.edu/kundaje/oak/projects/neuro-variants/variant_position/credible/roussos_2024/variant_figures/roussos_2024.childhood.GABA/rs7992065_count_position.png",4,220,900)</f>
        <v/>
      </c>
      <c r="T968">
        <f>IMAGE("https://mitra.stanford.edu/kundaje/oak/projects/neuro-variants/variant_position/credible/roussos_2024/variant_figures/roussos_2024.childhood.GABA/rs7992065_profile_position.png",4,220,900)</f>
        <v/>
      </c>
    </row>
    <row r="969">
      <c r="A969" t="inlineStr">
        <is>
          <t>chr13</t>
        </is>
      </c>
      <c r="B969" t="n">
        <v>32201923</v>
      </c>
      <c r="C969" t="inlineStr">
        <is>
          <t>G</t>
        </is>
      </c>
      <c r="D969" t="inlineStr">
        <is>
          <t>T</t>
        </is>
      </c>
      <c r="E969" t="inlineStr">
        <is>
          <t>rs9567419</t>
        </is>
      </c>
      <c r="F969" t="n">
        <v>0.00148247492</v>
      </c>
      <c r="G969" t="n">
        <v>0.788884446196066</v>
      </c>
      <c r="H969" t="n">
        <v>0.0220284744526098</v>
      </c>
      <c r="I969" t="n">
        <v>0.0498101044787029</v>
      </c>
      <c r="J969" t="n">
        <v>0.0206184163682435</v>
      </c>
      <c r="K969" t="n">
        <v>0.6457291232362758</v>
      </c>
      <c r="L969" t="b">
        <v>0</v>
      </c>
      <c r="M969" t="b">
        <v>0</v>
      </c>
      <c r="N969" t="inlineStr">
        <is>
          <t>alt</t>
        </is>
      </c>
      <c r="O969" t="n">
        <v>-95</v>
      </c>
      <c r="P969" t="n">
        <v>0.01096</v>
      </c>
      <c r="Q969" t="n">
        <v>95</v>
      </c>
      <c r="R969" t="n">
        <v>0.07654</v>
      </c>
      <c r="S969">
        <f>IMAGE("https://mitra.stanford.edu/kundaje/oak/projects/neuro-variants/variant_position/credible/roussos_2024/variant_figures/roussos_2024.childhood.GABA/rs9567419_count_position.png",4,220,900)</f>
        <v/>
      </c>
      <c r="T969">
        <f>IMAGE("https://mitra.stanford.edu/kundaje/oak/projects/neuro-variants/variant_position/credible/roussos_2024/variant_figures/roussos_2024.childhood.GABA/rs9567419_profile_position.png",4,220,900)</f>
        <v/>
      </c>
    </row>
    <row r="970">
      <c r="A970" t="inlineStr">
        <is>
          <t>chr13</t>
        </is>
      </c>
      <c r="B970" t="n">
        <v>32202016</v>
      </c>
      <c r="C970" t="inlineStr">
        <is>
          <t>T</t>
        </is>
      </c>
      <c r="D970" t="inlineStr">
        <is>
          <t>C</t>
        </is>
      </c>
      <c r="E970" t="inlineStr">
        <is>
          <t>rs9567420</t>
        </is>
      </c>
      <c r="F970" t="n">
        <v>0.0387160970599999</v>
      </c>
      <c r="G970" t="n">
        <v>0.2153079113886351</v>
      </c>
      <c r="H970" t="n">
        <v>0.0113559830249879</v>
      </c>
      <c r="I970" t="n">
        <v>0.4866366900607385</v>
      </c>
      <c r="J970" t="n">
        <v>0.02892923708404</v>
      </c>
      <c r="K970" t="n">
        <v>0.5929929465484236</v>
      </c>
      <c r="L970" t="b">
        <v>0</v>
      </c>
      <c r="M970" t="b">
        <v>0</v>
      </c>
      <c r="N970" t="inlineStr">
        <is>
          <t>alt</t>
        </is>
      </c>
      <c r="O970" t="n">
        <v>100</v>
      </c>
      <c r="P970" t="n">
        <v>0.009639999999999999</v>
      </c>
      <c r="Q970" t="n">
        <v>25</v>
      </c>
      <c r="R970" t="n">
        <v>0.007446</v>
      </c>
      <c r="S970">
        <f>IMAGE("https://mitra.stanford.edu/kundaje/oak/projects/neuro-variants/variant_position/credible/roussos_2024/variant_figures/roussos_2024.childhood.GABA/rs9567420_count_position.png",4,220,900)</f>
        <v/>
      </c>
      <c r="T970">
        <f>IMAGE("https://mitra.stanford.edu/kundaje/oak/projects/neuro-variants/variant_position/credible/roussos_2024/variant_figures/roussos_2024.childhood.GABA/rs9567420_profile_position.png",4,220,900)</f>
        <v/>
      </c>
    </row>
    <row r="971">
      <c r="A971" t="inlineStr">
        <is>
          <t>chr13</t>
        </is>
      </c>
      <c r="B971" t="n">
        <v>32202479</v>
      </c>
      <c r="C971" t="inlineStr">
        <is>
          <t>T</t>
        </is>
      </c>
      <c r="D971" t="inlineStr">
        <is>
          <t>A</t>
        </is>
      </c>
      <c r="E971" t="inlineStr">
        <is>
          <t>rs61750791</t>
        </is>
      </c>
      <c r="F971" t="n">
        <v>-0.0447787194</v>
      </c>
      <c r="G971" t="n">
        <v>0.1362024158880405</v>
      </c>
      <c r="H971" t="n">
        <v>0.0128595343289826</v>
      </c>
      <c r="I971" t="n">
        <v>0.3569846742620846</v>
      </c>
      <c r="J971" t="n">
        <v>0.0311920169211115</v>
      </c>
      <c r="K971" t="n">
        <v>0.5799305799270771</v>
      </c>
      <c r="L971" t="b">
        <v>0</v>
      </c>
      <c r="M971" t="b">
        <v>0</v>
      </c>
      <c r="N971" t="inlineStr">
        <is>
          <t>ref</t>
        </is>
      </c>
      <c r="O971" t="n">
        <v>45</v>
      </c>
      <c r="P971" t="n">
        <v>0.01779</v>
      </c>
      <c r="Q971" t="n">
        <v>-35</v>
      </c>
      <c r="R971" t="n">
        <v>0.01697</v>
      </c>
      <c r="S971">
        <f>IMAGE("https://mitra.stanford.edu/kundaje/oak/projects/neuro-variants/variant_position/credible/roussos_2024/variant_figures/roussos_2024.childhood.GABA/rs61750791_count_position.png",4,220,900)</f>
        <v/>
      </c>
      <c r="T971">
        <f>IMAGE("https://mitra.stanford.edu/kundaje/oak/projects/neuro-variants/variant_position/credible/roussos_2024/variant_figures/roussos_2024.childhood.GABA/rs61750791_profile_position.png",4,220,900)</f>
        <v/>
      </c>
    </row>
    <row r="972">
      <c r="A972" t="inlineStr">
        <is>
          <t>chr13</t>
        </is>
      </c>
      <c r="B972" t="n">
        <v>37576532</v>
      </c>
      <c r="C972" t="inlineStr">
        <is>
          <t>A</t>
        </is>
      </c>
      <c r="D972" t="inlineStr">
        <is>
          <t>G</t>
        </is>
      </c>
      <c r="E972" t="inlineStr">
        <is>
          <t>rs4512969</t>
        </is>
      </c>
      <c r="F972" t="n">
        <v>0.0189912518</v>
      </c>
      <c r="G972" t="n">
        <v>0.4175033040313611</v>
      </c>
      <c r="H972" t="n">
        <v>0.0124216216272788</v>
      </c>
      <c r="I972" t="n">
        <v>0.3948651870250426</v>
      </c>
      <c r="J972" t="n">
        <v>0.0463875102092102</v>
      </c>
      <c r="K972" t="n">
        <v>0.4989425631554277</v>
      </c>
      <c r="L972" t="b">
        <v>0</v>
      </c>
      <c r="M972" t="b">
        <v>0</v>
      </c>
      <c r="N972" t="inlineStr">
        <is>
          <t>alt</t>
        </is>
      </c>
      <c r="O972" t="n">
        <v>95</v>
      </c>
      <c r="P972" t="n">
        <v>0.01715</v>
      </c>
      <c r="Q972" t="n">
        <v>85</v>
      </c>
      <c r="R972" t="n">
        <v>0.124</v>
      </c>
      <c r="S972">
        <f>IMAGE("https://mitra.stanford.edu/kundaje/oak/projects/neuro-variants/variant_position/credible/roussos_2024/variant_figures/roussos_2024.childhood.GABA/rs4512969_count_position.png",4,220,900)</f>
        <v/>
      </c>
      <c r="T972">
        <f>IMAGE("https://mitra.stanford.edu/kundaje/oak/projects/neuro-variants/variant_position/credible/roussos_2024/variant_figures/roussos_2024.childhood.GABA/rs4512969_profile_position.png",4,220,900)</f>
        <v/>
      </c>
    </row>
    <row r="973">
      <c r="A973" t="inlineStr">
        <is>
          <t>chr13</t>
        </is>
      </c>
      <c r="B973" t="n">
        <v>37612750</v>
      </c>
      <c r="C973" t="inlineStr">
        <is>
          <t>C</t>
        </is>
      </c>
      <c r="D973" t="inlineStr">
        <is>
          <t>T</t>
        </is>
      </c>
      <c r="E973" t="inlineStr">
        <is>
          <t>rs17258158</t>
        </is>
      </c>
      <c r="F973" t="n">
        <v>-0.0884126412</v>
      </c>
      <c r="G973" t="n">
        <v>0.0397184675417273</v>
      </c>
      <c r="H973" t="n">
        <v>0.0145910833297278</v>
      </c>
      <c r="I973" t="n">
        <v>0.2474116224617511</v>
      </c>
      <c r="J973" t="n">
        <v>0.0193681807710832</v>
      </c>
      <c r="K973" t="n">
        <v>0.6588240756039324</v>
      </c>
      <c r="L973" t="b">
        <v>0</v>
      </c>
      <c r="M973" t="b">
        <v>0</v>
      </c>
      <c r="N973" t="inlineStr">
        <is>
          <t>ref</t>
        </is>
      </c>
      <c r="O973" t="n">
        <v>80</v>
      </c>
      <c r="P973" t="n">
        <v>0.001051</v>
      </c>
      <c r="Q973" t="n">
        <v>40</v>
      </c>
      <c r="R973" t="n">
        <v>0.0322</v>
      </c>
      <c r="S973">
        <f>IMAGE("https://mitra.stanford.edu/kundaje/oak/projects/neuro-variants/variant_position/credible/roussos_2024/variant_figures/roussos_2024.childhood.GABA/rs17258158_count_position.png",4,220,900)</f>
        <v/>
      </c>
      <c r="T973">
        <f>IMAGE("https://mitra.stanford.edu/kundaje/oak/projects/neuro-variants/variant_position/credible/roussos_2024/variant_figures/roussos_2024.childhood.GABA/rs17258158_profile_position.png",4,220,900)</f>
        <v/>
      </c>
    </row>
    <row r="974">
      <c r="A974" t="inlineStr">
        <is>
          <t>chr13</t>
        </is>
      </c>
      <c r="B974" t="n">
        <v>37636007</v>
      </c>
      <c r="C974" t="inlineStr">
        <is>
          <t>G</t>
        </is>
      </c>
      <c r="D974" t="inlineStr">
        <is>
          <t>T</t>
        </is>
      </c>
      <c r="E974" t="inlineStr">
        <is>
          <t>rs73184532</t>
        </is>
      </c>
      <c r="F974" t="n">
        <v>-0.00659677068</v>
      </c>
      <c r="G974" t="n">
        <v>0.7406419485507386</v>
      </c>
      <c r="H974" t="n">
        <v>0.0330123598834303</v>
      </c>
      <c r="I974" t="n">
        <v>0.008202024569706199</v>
      </c>
      <c r="J974" t="n">
        <v>0.003056480492555</v>
      </c>
      <c r="K974" t="n">
        <v>0.8569185082664842</v>
      </c>
      <c r="L974" t="b">
        <v>0</v>
      </c>
      <c r="M974" t="b">
        <v>0</v>
      </c>
      <c r="N974" t="inlineStr">
        <is>
          <t>ref</t>
        </is>
      </c>
      <c r="O974" t="n">
        <v>-10</v>
      </c>
      <c r="P974" t="n">
        <v>0.0002289</v>
      </c>
      <c r="Q974" t="n">
        <v>90</v>
      </c>
      <c r="R974" t="n">
        <v>0.1035</v>
      </c>
      <c r="S974">
        <f>IMAGE("https://mitra.stanford.edu/kundaje/oak/projects/neuro-variants/variant_position/credible/roussos_2024/variant_figures/roussos_2024.childhood.GABA/rs73184532_count_position.png",4,220,900)</f>
        <v/>
      </c>
      <c r="T974">
        <f>IMAGE("https://mitra.stanford.edu/kundaje/oak/projects/neuro-variants/variant_position/credible/roussos_2024/variant_figures/roussos_2024.childhood.GABA/rs73184532_profile_position.png",4,220,900)</f>
        <v/>
      </c>
    </row>
    <row r="975">
      <c r="A975" t="inlineStr">
        <is>
          <t>chr13</t>
        </is>
      </c>
      <c r="B975" t="n">
        <v>37638916</v>
      </c>
      <c r="C975" t="inlineStr">
        <is>
          <t>A</t>
        </is>
      </c>
      <c r="D975" t="inlineStr">
        <is>
          <t>G</t>
        </is>
      </c>
      <c r="E975" t="inlineStr">
        <is>
          <t>rs73184537</t>
        </is>
      </c>
      <c r="F975" t="n">
        <v>-0.218921392</v>
      </c>
      <c r="G975" t="n">
        <v>0.0035582176978914</v>
      </c>
      <c r="H975" t="n">
        <v>0.0443083036083968</v>
      </c>
      <c r="I975" t="n">
        <v>0.0027314984877243</v>
      </c>
      <c r="J975" t="n">
        <v>0.161459445875479</v>
      </c>
      <c r="K975" t="n">
        <v>0.2518868589723338</v>
      </c>
      <c r="L975" t="b">
        <v>1</v>
      </c>
      <c r="M975" t="b">
        <v>1</v>
      </c>
      <c r="N975" t="inlineStr">
        <is>
          <t>ref</t>
        </is>
      </c>
      <c r="O975" t="n">
        <v>-45</v>
      </c>
      <c r="P975" t="n">
        <v>0.007202</v>
      </c>
      <c r="Q975" t="n">
        <v>-30</v>
      </c>
      <c r="R975" t="n">
        <v>0.09619999999999999</v>
      </c>
      <c r="S975">
        <f>IMAGE("https://mitra.stanford.edu/kundaje/oak/projects/neuro-variants/variant_position/credible/roussos_2024/variant_figures/roussos_2024.childhood.GABA/rs73184537_count_position.png",4,220,900)</f>
        <v/>
      </c>
      <c r="T975">
        <f>IMAGE("https://mitra.stanford.edu/kundaje/oak/projects/neuro-variants/variant_position/credible/roussos_2024/variant_figures/roussos_2024.childhood.GABA/rs73184537_profile_position.png",4,220,900)</f>
        <v/>
      </c>
    </row>
    <row r="976">
      <c r="A976" t="inlineStr">
        <is>
          <t>chr13</t>
        </is>
      </c>
      <c r="B976" t="n">
        <v>37737646</v>
      </c>
      <c r="C976" t="inlineStr">
        <is>
          <t>C</t>
        </is>
      </c>
      <c r="D976" t="inlineStr">
        <is>
          <t>T</t>
        </is>
      </c>
      <c r="E976" t="inlineStr">
        <is>
          <t>rs1924300</t>
        </is>
      </c>
      <c r="F976" t="n">
        <v>0.00716433762</v>
      </c>
      <c r="G976" t="n">
        <v>0.648152319354357</v>
      </c>
      <c r="H976" t="n">
        <v>0.0322614041159123</v>
      </c>
      <c r="I976" t="n">
        <v>0.009138660378799599</v>
      </c>
      <c r="J976" t="n">
        <v>0.0027245502711984</v>
      </c>
      <c r="K976" t="n">
        <v>0.8596468862222829</v>
      </c>
      <c r="L976" t="b">
        <v>0</v>
      </c>
      <c r="M976" t="b">
        <v>0</v>
      </c>
      <c r="N976" t="inlineStr">
        <is>
          <t>alt</t>
        </is>
      </c>
      <c r="O976" t="n">
        <v>-95</v>
      </c>
      <c r="P976" t="n">
        <v>0.0089</v>
      </c>
      <c r="Q976" t="n">
        <v>-100</v>
      </c>
      <c r="R976" t="n">
        <v>0.04092</v>
      </c>
      <c r="S976">
        <f>IMAGE("https://mitra.stanford.edu/kundaje/oak/projects/neuro-variants/variant_position/credible/roussos_2024/variant_figures/roussos_2024.childhood.GABA/rs1924300_count_position.png",4,220,900)</f>
        <v/>
      </c>
      <c r="T976">
        <f>IMAGE("https://mitra.stanford.edu/kundaje/oak/projects/neuro-variants/variant_position/credible/roussos_2024/variant_figures/roussos_2024.childhood.GABA/rs1924300_profile_position.png",4,220,900)</f>
        <v/>
      </c>
    </row>
    <row r="977">
      <c r="A977" t="inlineStr">
        <is>
          <t>chr13</t>
        </is>
      </c>
      <c r="B977" t="n">
        <v>37740503</v>
      </c>
      <c r="C977" t="inlineStr">
        <is>
          <t>G</t>
        </is>
      </c>
      <c r="D977" t="inlineStr">
        <is>
          <t>A</t>
        </is>
      </c>
      <c r="E977" t="inlineStr">
        <is>
          <t>rs12858218</t>
        </is>
      </c>
      <c r="F977" t="n">
        <v>0.000515121962</v>
      </c>
      <c r="G977" t="n">
        <v>0.8398316875775417</v>
      </c>
      <c r="H977" t="n">
        <v>0.0082022980622764</v>
      </c>
      <c r="I977" t="n">
        <v>0.8403363232282264</v>
      </c>
      <c r="J977" t="n">
        <v>0.0054962199744507</v>
      </c>
      <c r="K977" t="n">
        <v>0.8163208212111518</v>
      </c>
      <c r="L977" t="b">
        <v>0</v>
      </c>
      <c r="M977" t="b">
        <v>0</v>
      </c>
      <c r="N977" t="inlineStr">
        <is>
          <t>alt</t>
        </is>
      </c>
      <c r="O977" t="n">
        <v>-40</v>
      </c>
      <c r="P977" t="n">
        <v>0.002045</v>
      </c>
      <c r="Q977" t="n">
        <v>95</v>
      </c>
      <c r="R977" t="n">
        <v>0.1052</v>
      </c>
      <c r="S977">
        <f>IMAGE("https://mitra.stanford.edu/kundaje/oak/projects/neuro-variants/variant_position/credible/roussos_2024/variant_figures/roussos_2024.childhood.GABA/rs12858218_count_position.png",4,220,900)</f>
        <v/>
      </c>
      <c r="T977">
        <f>IMAGE("https://mitra.stanford.edu/kundaje/oak/projects/neuro-variants/variant_position/credible/roussos_2024/variant_figures/roussos_2024.childhood.GABA/rs12858218_profile_position.png",4,220,900)</f>
        <v/>
      </c>
    </row>
    <row r="978">
      <c r="A978" t="inlineStr">
        <is>
          <t>chr13</t>
        </is>
      </c>
      <c r="B978" t="n">
        <v>37743884</v>
      </c>
      <c r="C978" t="inlineStr">
        <is>
          <t>G</t>
        </is>
      </c>
      <c r="D978" t="inlineStr">
        <is>
          <t>T</t>
        </is>
      </c>
      <c r="E978" t="inlineStr">
        <is>
          <t>rs2025402</t>
        </is>
      </c>
      <c r="F978" t="n">
        <v>0.06964519199999999</v>
      </c>
      <c r="G978" t="n">
        <v>0.0760697011475799</v>
      </c>
      <c r="H978" t="n">
        <v>0.0331618124774445</v>
      </c>
      <c r="I978" t="n">
        <v>0.0081888813642409</v>
      </c>
      <c r="J978" t="n">
        <v>0.0100364390274548</v>
      </c>
      <c r="K978" t="n">
        <v>0.7426705596979137</v>
      </c>
      <c r="L978" t="b">
        <v>1</v>
      </c>
      <c r="M978" t="b">
        <v>0</v>
      </c>
      <c r="N978" t="inlineStr">
        <is>
          <t>alt</t>
        </is>
      </c>
      <c r="O978" t="n">
        <v>-35</v>
      </c>
      <c r="P978" t="n">
        <v>0.00975</v>
      </c>
      <c r="Q978" t="n">
        <v>15</v>
      </c>
      <c r="R978" t="n">
        <v>0.02283</v>
      </c>
      <c r="S978">
        <f>IMAGE("https://mitra.stanford.edu/kundaje/oak/projects/neuro-variants/variant_position/credible/roussos_2024/variant_figures/roussos_2024.childhood.GABA/rs2025402_count_position.png",4,220,900)</f>
        <v/>
      </c>
      <c r="T978">
        <f>IMAGE("https://mitra.stanford.edu/kundaje/oak/projects/neuro-variants/variant_position/credible/roussos_2024/variant_figures/roussos_2024.childhood.GABA/rs2025402_profile_position.png",4,220,900)</f>
        <v/>
      </c>
    </row>
    <row r="979">
      <c r="A979" t="inlineStr">
        <is>
          <t>chr13</t>
        </is>
      </c>
      <c r="B979" t="n">
        <v>37748922</v>
      </c>
      <c r="C979" t="inlineStr">
        <is>
          <t>G</t>
        </is>
      </c>
      <c r="D979" t="inlineStr">
        <is>
          <t>T</t>
        </is>
      </c>
      <c r="E979" t="inlineStr">
        <is>
          <t>rs11620255</t>
        </is>
      </c>
      <c r="F979" t="n">
        <v>0.01656942086</v>
      </c>
      <c r="G979" t="n">
        <v>0.3454006871681823</v>
      </c>
      <c r="H979" t="n">
        <v>0.0121449168399521</v>
      </c>
      <c r="I979" t="n">
        <v>0.4076762895582356</v>
      </c>
      <c r="J979" t="n">
        <v>0.0012942137337437</v>
      </c>
      <c r="K979" t="n">
        <v>0.9092653008284806</v>
      </c>
      <c r="L979" t="b">
        <v>0</v>
      </c>
      <c r="M979" t="b">
        <v>0</v>
      </c>
      <c r="N979" t="inlineStr">
        <is>
          <t>alt</t>
        </is>
      </c>
      <c r="O979" t="n">
        <v>-100</v>
      </c>
      <c r="P979" t="n">
        <v>0.02737</v>
      </c>
      <c r="Q979" t="n">
        <v>100</v>
      </c>
      <c r="R979" t="n">
        <v>0.0669</v>
      </c>
      <c r="S979">
        <f>IMAGE("https://mitra.stanford.edu/kundaje/oak/projects/neuro-variants/variant_position/credible/roussos_2024/variant_figures/roussos_2024.childhood.GABA/rs11620255_count_position.png",4,220,900)</f>
        <v/>
      </c>
      <c r="T979">
        <f>IMAGE("https://mitra.stanford.edu/kundaje/oak/projects/neuro-variants/variant_position/credible/roussos_2024/variant_figures/roussos_2024.childhood.GABA/rs11620255_profile_position.png",4,220,900)</f>
        <v/>
      </c>
    </row>
    <row r="980">
      <c r="A980" t="inlineStr">
        <is>
          <t>chr13</t>
        </is>
      </c>
      <c r="B980" t="n">
        <v>37778264</v>
      </c>
      <c r="C980" t="inlineStr">
        <is>
          <t>C</t>
        </is>
      </c>
      <c r="D980" t="inlineStr">
        <is>
          <t>T</t>
        </is>
      </c>
      <c r="E980" t="inlineStr">
        <is>
          <t>rs7330208</t>
        </is>
      </c>
      <c r="F980" t="n">
        <v>-0.1595779011999999</v>
      </c>
      <c r="G980" t="n">
        <v>0.0095192512192865</v>
      </c>
      <c r="H980" t="n">
        <v>0.0192777707590233</v>
      </c>
      <c r="I980" t="n">
        <v>0.0988326502814693</v>
      </c>
      <c r="J980" t="n">
        <v>0.0074260224916755</v>
      </c>
      <c r="K980" t="n">
        <v>0.7878491132779362</v>
      </c>
      <c r="L980" t="b">
        <v>1</v>
      </c>
      <c r="M980" t="b">
        <v>1</v>
      </c>
      <c r="N980" t="inlineStr">
        <is>
          <t>ref</t>
        </is>
      </c>
      <c r="O980" t="n">
        <v>65</v>
      </c>
      <c r="P980" t="n">
        <v>0.002346</v>
      </c>
      <c r="Q980" t="n">
        <v>-95</v>
      </c>
      <c r="R980" t="n">
        <v>0.0482</v>
      </c>
      <c r="S980">
        <f>IMAGE("https://mitra.stanford.edu/kundaje/oak/projects/neuro-variants/variant_position/credible/roussos_2024/variant_figures/roussos_2024.childhood.GABA/rs7330208_count_position.png",4,220,900)</f>
        <v/>
      </c>
      <c r="T980">
        <f>IMAGE("https://mitra.stanford.edu/kundaje/oak/projects/neuro-variants/variant_position/credible/roussos_2024/variant_figures/roussos_2024.childhood.GABA/rs7330208_profile_position.png",4,220,900)</f>
        <v/>
      </c>
    </row>
    <row r="981">
      <c r="A981" t="inlineStr">
        <is>
          <t>chr13</t>
        </is>
      </c>
      <c r="B981" t="n">
        <v>37779028</v>
      </c>
      <c r="C981" t="inlineStr">
        <is>
          <t>G</t>
        </is>
      </c>
      <c r="D981" t="inlineStr">
        <is>
          <t>A</t>
        </is>
      </c>
      <c r="E981" t="inlineStr">
        <is>
          <t>rs9566253</t>
        </is>
      </c>
      <c r="F981" t="n">
        <v>0.0267775114504</v>
      </c>
      <c r="G981" t="n">
        <v>0.4102352918656693</v>
      </c>
      <c r="H981" t="n">
        <v>0.0135756368036499</v>
      </c>
      <c r="I981" t="n">
        <v>0.3086544857657768</v>
      </c>
      <c r="J981" t="n">
        <v>0.020861343217943</v>
      </c>
      <c r="K981" t="n">
        <v>0.6393843389685746</v>
      </c>
      <c r="L981" t="b">
        <v>0</v>
      </c>
      <c r="M981" t="b">
        <v>0</v>
      </c>
      <c r="N981" t="inlineStr">
        <is>
          <t>alt</t>
        </is>
      </c>
      <c r="O981" t="n">
        <v>95</v>
      </c>
      <c r="P981" t="n">
        <v>0.00344</v>
      </c>
      <c r="Q981" t="n">
        <v>5</v>
      </c>
      <c r="R981" t="n">
        <v>0.0238</v>
      </c>
      <c r="S981">
        <f>IMAGE("https://mitra.stanford.edu/kundaje/oak/projects/neuro-variants/variant_position/credible/roussos_2024/variant_figures/roussos_2024.childhood.GABA/rs9566253_count_position.png",4,220,900)</f>
        <v/>
      </c>
      <c r="T981">
        <f>IMAGE("https://mitra.stanford.edu/kundaje/oak/projects/neuro-variants/variant_position/credible/roussos_2024/variant_figures/roussos_2024.childhood.GABA/rs9566253_profile_position.png",4,220,900)</f>
        <v/>
      </c>
    </row>
    <row r="982">
      <c r="A982" t="inlineStr">
        <is>
          <t>chr13</t>
        </is>
      </c>
      <c r="B982" t="n">
        <v>37779963</v>
      </c>
      <c r="C982" t="inlineStr">
        <is>
          <t>C</t>
        </is>
      </c>
      <c r="D982" t="inlineStr">
        <is>
          <t>T</t>
        </is>
      </c>
      <c r="E982" t="inlineStr">
        <is>
          <t>rs1333376</t>
        </is>
      </c>
      <c r="F982" t="n">
        <v>0.1086813428</v>
      </c>
      <c r="G982" t="n">
        <v>0.0283645143902904</v>
      </c>
      <c r="H982" t="n">
        <v>0.0170879871656719</v>
      </c>
      <c r="I982" t="n">
        <v>0.1432600564803887</v>
      </c>
      <c r="J982" t="n">
        <v>0.0150667001738183</v>
      </c>
      <c r="K982" t="n">
        <v>0.687738146610959</v>
      </c>
      <c r="L982" t="b">
        <v>0</v>
      </c>
      <c r="M982" t="b">
        <v>0</v>
      </c>
      <c r="N982" t="inlineStr">
        <is>
          <t>alt</t>
        </is>
      </c>
      <c r="O982" t="n">
        <v>75</v>
      </c>
      <c r="P982" t="n">
        <v>0.006184</v>
      </c>
      <c r="Q982" t="n">
        <v>75</v>
      </c>
      <c r="R982" t="n">
        <v>0.08373999999999999</v>
      </c>
      <c r="S982">
        <f>IMAGE("https://mitra.stanford.edu/kundaje/oak/projects/neuro-variants/variant_position/credible/roussos_2024/variant_figures/roussos_2024.childhood.GABA/rs1333376_count_position.png",4,220,900)</f>
        <v/>
      </c>
      <c r="T982">
        <f>IMAGE("https://mitra.stanford.edu/kundaje/oak/projects/neuro-variants/variant_position/credible/roussos_2024/variant_figures/roussos_2024.childhood.GABA/rs1333376_profile_position.png",4,220,900)</f>
        <v/>
      </c>
    </row>
    <row r="983">
      <c r="A983" t="inlineStr">
        <is>
          <t>chr13</t>
        </is>
      </c>
      <c r="B983" t="n">
        <v>38036983</v>
      </c>
      <c r="C983" t="inlineStr">
        <is>
          <t>A</t>
        </is>
      </c>
      <c r="D983" t="inlineStr">
        <is>
          <t>C</t>
        </is>
      </c>
      <c r="E983" t="inlineStr">
        <is>
          <t>rs78587501</t>
        </is>
      </c>
      <c r="F983" t="n">
        <v>0.03974704</v>
      </c>
      <c r="G983" t="n">
        <v>0.1652186236771224</v>
      </c>
      <c r="H983" t="n">
        <v>0.012693635944074</v>
      </c>
      <c r="I983" t="n">
        <v>0.3742098093532146</v>
      </c>
      <c r="J983" t="n">
        <v>0.0001413582961612</v>
      </c>
      <c r="K983" t="n">
        <v>0.9696819436173364</v>
      </c>
      <c r="L983" t="b">
        <v>0</v>
      </c>
      <c r="M983" t="b">
        <v>0</v>
      </c>
      <c r="N983" t="inlineStr">
        <is>
          <t>alt</t>
        </is>
      </c>
      <c r="O983" t="n">
        <v>-15</v>
      </c>
      <c r="P983" t="n">
        <v>0.0015335</v>
      </c>
      <c r="Q983" t="n">
        <v>-70</v>
      </c>
      <c r="R983" t="n">
        <v>0.08826000000000001</v>
      </c>
      <c r="S983">
        <f>IMAGE("https://mitra.stanford.edu/kundaje/oak/projects/neuro-variants/variant_position/credible/roussos_2024/variant_figures/roussos_2024.childhood.GABA/rs78587501_count_position.png",4,220,900)</f>
        <v/>
      </c>
      <c r="T983">
        <f>IMAGE("https://mitra.stanford.edu/kundaje/oak/projects/neuro-variants/variant_position/credible/roussos_2024/variant_figures/roussos_2024.childhood.GABA/rs78587501_profile_position.png",4,220,900)</f>
        <v/>
      </c>
    </row>
    <row r="984">
      <c r="A984" t="inlineStr">
        <is>
          <t>chr13</t>
        </is>
      </c>
      <c r="B984" t="n">
        <v>38290033</v>
      </c>
      <c r="C984" t="inlineStr">
        <is>
          <t>G</t>
        </is>
      </c>
      <c r="D984" t="inlineStr">
        <is>
          <t>T</t>
        </is>
      </c>
      <c r="E984" t="inlineStr">
        <is>
          <t>rs2652578</t>
        </is>
      </c>
      <c r="F984" t="n">
        <v>-0.040361228</v>
      </c>
      <c r="G984" t="n">
        <v>0.2118016905988697</v>
      </c>
      <c r="H984" t="n">
        <v>0.0110809527775498</v>
      </c>
      <c r="I984" t="n">
        <v>0.5259438263381203</v>
      </c>
      <c r="J984" t="n">
        <v>0.008928608824946</v>
      </c>
      <c r="K984" t="n">
        <v>0.7547927241326513</v>
      </c>
      <c r="L984" t="b">
        <v>0</v>
      </c>
      <c r="M984" t="b">
        <v>0</v>
      </c>
      <c r="N984" t="inlineStr">
        <is>
          <t>ref</t>
        </is>
      </c>
      <c r="O984" t="n">
        <v>-35</v>
      </c>
      <c r="P984" t="n">
        <v>0.003736</v>
      </c>
      <c r="Q984" t="n">
        <v>-85</v>
      </c>
      <c r="R984" t="n">
        <v>0.03516</v>
      </c>
      <c r="S984">
        <f>IMAGE("https://mitra.stanford.edu/kundaje/oak/projects/neuro-variants/variant_position/credible/roussos_2024/variant_figures/roussos_2024.childhood.GABA/rs2652578_count_position.png",4,220,900)</f>
        <v/>
      </c>
      <c r="T984">
        <f>IMAGE("https://mitra.stanford.edu/kundaje/oak/projects/neuro-variants/variant_position/credible/roussos_2024/variant_figures/roussos_2024.childhood.GABA/rs2652578_profile_position.png",4,220,900)</f>
        <v/>
      </c>
    </row>
    <row r="985">
      <c r="A985" t="inlineStr">
        <is>
          <t>chr13</t>
        </is>
      </c>
      <c r="B985" t="n">
        <v>38291192</v>
      </c>
      <c r="C985" t="inlineStr">
        <is>
          <t>A</t>
        </is>
      </c>
      <c r="D985" t="inlineStr">
        <is>
          <t>G</t>
        </is>
      </c>
      <c r="E985" t="inlineStr">
        <is>
          <t>rs9548286</t>
        </is>
      </c>
      <c r="F985" t="n">
        <v>0.005370895</v>
      </c>
      <c r="G985" t="n">
        <v>0.5235772400947941</v>
      </c>
      <c r="H985" t="n">
        <v>0.0082156359911332</v>
      </c>
      <c r="I985" t="n">
        <v>0.8269702289278767</v>
      </c>
      <c r="J985" t="n">
        <v>0.0047088019099075</v>
      </c>
      <c r="K985" t="n">
        <v>0.8243978459218998</v>
      </c>
      <c r="L985" t="b">
        <v>0</v>
      </c>
      <c r="M985" t="b">
        <v>0</v>
      </c>
      <c r="N985" t="inlineStr">
        <is>
          <t>alt</t>
        </is>
      </c>
      <c r="O985" t="n">
        <v>85</v>
      </c>
      <c r="P985" t="n">
        <v>0.004314</v>
      </c>
      <c r="Q985" t="n">
        <v>-100</v>
      </c>
      <c r="R985" t="n">
        <v>0.034</v>
      </c>
      <c r="S985">
        <f>IMAGE("https://mitra.stanford.edu/kundaje/oak/projects/neuro-variants/variant_position/credible/roussos_2024/variant_figures/roussos_2024.childhood.GABA/rs9548286_count_position.png",4,220,900)</f>
        <v/>
      </c>
      <c r="T985">
        <f>IMAGE("https://mitra.stanford.edu/kundaje/oak/projects/neuro-variants/variant_position/credible/roussos_2024/variant_figures/roussos_2024.childhood.GABA/rs9548286_profile_position.png",4,220,900)</f>
        <v/>
      </c>
    </row>
    <row r="986">
      <c r="A986" t="inlineStr">
        <is>
          <t>chr13</t>
        </is>
      </c>
      <c r="B986" t="n">
        <v>38293102</v>
      </c>
      <c r="C986" t="inlineStr">
        <is>
          <t>A</t>
        </is>
      </c>
      <c r="D986" t="inlineStr">
        <is>
          <t>C</t>
        </is>
      </c>
      <c r="E986" t="inlineStr">
        <is>
          <t>rs665175</t>
        </is>
      </c>
      <c r="F986" t="n">
        <v>0.00149198014</v>
      </c>
      <c r="G986" t="n">
        <v>0.8018928847392427</v>
      </c>
      <c r="H986" t="n">
        <v>0.0298296805129352</v>
      </c>
      <c r="I986" t="n">
        <v>0.0134293864817163</v>
      </c>
      <c r="J986" t="n">
        <v>0.0008827040271406999</v>
      </c>
      <c r="K986" t="n">
        <v>0.91904177031818</v>
      </c>
      <c r="L986" t="b">
        <v>0</v>
      </c>
      <c r="M986" t="b">
        <v>0</v>
      </c>
      <c r="N986" t="inlineStr">
        <is>
          <t>alt</t>
        </is>
      </c>
      <c r="O986" t="n">
        <v>-90</v>
      </c>
      <c r="P986" t="n">
        <v>0.007904</v>
      </c>
      <c r="Q986" t="n">
        <v>-95</v>
      </c>
      <c r="R986" t="n">
        <v>0.1251</v>
      </c>
      <c r="S986">
        <f>IMAGE("https://mitra.stanford.edu/kundaje/oak/projects/neuro-variants/variant_position/credible/roussos_2024/variant_figures/roussos_2024.childhood.GABA/rs665175_count_position.png",4,220,900)</f>
        <v/>
      </c>
      <c r="T986">
        <f>IMAGE("https://mitra.stanford.edu/kundaje/oak/projects/neuro-variants/variant_position/credible/roussos_2024/variant_figures/roussos_2024.childhood.GABA/rs665175_profile_position.png",4,220,900)</f>
        <v/>
      </c>
    </row>
    <row r="987">
      <c r="A987" t="inlineStr">
        <is>
          <t>chr13</t>
        </is>
      </c>
      <c r="B987" t="n">
        <v>38293934</v>
      </c>
      <c r="C987" t="inlineStr">
        <is>
          <t>C</t>
        </is>
      </c>
      <c r="D987" t="inlineStr">
        <is>
          <t>A</t>
        </is>
      </c>
      <c r="E987" t="inlineStr">
        <is>
          <t>rs651360</t>
        </is>
      </c>
      <c r="F987" t="n">
        <v>-0.0069622584399999</v>
      </c>
      <c r="G987" t="n">
        <v>0.7131188809966679</v>
      </c>
      <c r="H987" t="n">
        <v>0.0079798455809128</v>
      </c>
      <c r="I987" t="n">
        <v>0.8590660151892331</v>
      </c>
      <c r="J987" t="n">
        <v>0.0005811396619965</v>
      </c>
      <c r="K987" t="n">
        <v>0.9313197065061618</v>
      </c>
      <c r="L987" t="b">
        <v>0</v>
      </c>
      <c r="M987" t="b">
        <v>0</v>
      </c>
      <c r="N987" t="inlineStr">
        <is>
          <t>ref</t>
        </is>
      </c>
      <c r="O987" t="n">
        <v>-25</v>
      </c>
      <c r="P987" t="n">
        <v>0.000702</v>
      </c>
      <c r="Q987" t="n">
        <v>85</v>
      </c>
      <c r="R987" t="n">
        <v>0.0254</v>
      </c>
      <c r="S987">
        <f>IMAGE("https://mitra.stanford.edu/kundaje/oak/projects/neuro-variants/variant_position/credible/roussos_2024/variant_figures/roussos_2024.childhood.GABA/rs651360_count_position.png",4,220,900)</f>
        <v/>
      </c>
      <c r="T987">
        <f>IMAGE("https://mitra.stanford.edu/kundaje/oak/projects/neuro-variants/variant_position/credible/roussos_2024/variant_figures/roussos_2024.childhood.GABA/rs651360_profile_position.png",4,220,900)</f>
        <v/>
      </c>
    </row>
    <row r="988">
      <c r="A988" t="inlineStr">
        <is>
          <t>chr13</t>
        </is>
      </c>
      <c r="B988" t="n">
        <v>39982666</v>
      </c>
      <c r="C988" t="inlineStr">
        <is>
          <t>C</t>
        </is>
      </c>
      <c r="D988" t="inlineStr">
        <is>
          <t>A</t>
        </is>
      </c>
      <c r="E988" t="inlineStr">
        <is>
          <t>rs7322623</t>
        </is>
      </c>
      <c r="F988" t="n">
        <v>0.0250051210799999</v>
      </c>
      <c r="G988" t="n">
        <v>0.3546518130915433</v>
      </c>
      <c r="H988" t="n">
        <v>0.0121620487157426</v>
      </c>
      <c r="I988" t="n">
        <v>0.4221241963860309</v>
      </c>
      <c r="J988" t="n">
        <v>0.3191001235576218</v>
      </c>
      <c r="K988" t="n">
        <v>0.1253634502510868</v>
      </c>
      <c r="L988" t="b">
        <v>0</v>
      </c>
      <c r="M988" t="b">
        <v>0</v>
      </c>
      <c r="N988" t="inlineStr">
        <is>
          <t>alt</t>
        </is>
      </c>
      <c r="O988" t="n">
        <v>-60</v>
      </c>
      <c r="P988" t="n">
        <v>0.001549</v>
      </c>
      <c r="Q988" t="n">
        <v>-70</v>
      </c>
      <c r="R988" t="n">
        <v>0.06055</v>
      </c>
      <c r="S988">
        <f>IMAGE("https://mitra.stanford.edu/kundaje/oak/projects/neuro-variants/variant_position/credible/roussos_2024/variant_figures/roussos_2024.childhood.GABA/rs7322623_count_position.png",4,220,900)</f>
        <v/>
      </c>
      <c r="T988">
        <f>IMAGE("https://mitra.stanford.edu/kundaje/oak/projects/neuro-variants/variant_position/credible/roussos_2024/variant_figures/roussos_2024.childhood.GABA/rs7322623_profile_position.png",4,220,900)</f>
        <v/>
      </c>
    </row>
    <row r="989">
      <c r="A989" t="inlineStr">
        <is>
          <t>chr13</t>
        </is>
      </c>
      <c r="B989" t="n">
        <v>39990357</v>
      </c>
      <c r="C989" t="inlineStr">
        <is>
          <t>G</t>
        </is>
      </c>
      <c r="D989" t="inlineStr">
        <is>
          <t>A</t>
        </is>
      </c>
      <c r="E989" t="inlineStr">
        <is>
          <t>rs276423</t>
        </is>
      </c>
      <c r="F989" t="n">
        <v>-0.04564581374</v>
      </c>
      <c r="G989" t="n">
        <v>0.1826875356300357</v>
      </c>
      <c r="H989" t="n">
        <v>0.0168108083949071</v>
      </c>
      <c r="I989" t="n">
        <v>0.1536298953081832</v>
      </c>
      <c r="J989" t="n">
        <v>0.0470011099243994</v>
      </c>
      <c r="K989" t="n">
        <v>0.5129683209526748</v>
      </c>
      <c r="L989" t="b">
        <v>0</v>
      </c>
      <c r="M989" t="b">
        <v>0</v>
      </c>
      <c r="N989" t="inlineStr">
        <is>
          <t>ref</t>
        </is>
      </c>
      <c r="O989" t="n">
        <v>-15</v>
      </c>
      <c r="P989" t="n">
        <v>0.0009345999999999999</v>
      </c>
      <c r="Q989" t="n">
        <v>-70</v>
      </c>
      <c r="R989" t="n">
        <v>0.0963</v>
      </c>
      <c r="S989">
        <f>IMAGE("https://mitra.stanford.edu/kundaje/oak/projects/neuro-variants/variant_position/credible/roussos_2024/variant_figures/roussos_2024.childhood.GABA/rs276423_count_position.png",4,220,900)</f>
        <v/>
      </c>
      <c r="T989">
        <f>IMAGE("https://mitra.stanford.edu/kundaje/oak/projects/neuro-variants/variant_position/credible/roussos_2024/variant_figures/roussos_2024.childhood.GABA/rs276423_profile_position.png",4,220,900)</f>
        <v/>
      </c>
    </row>
    <row r="990">
      <c r="A990" t="inlineStr">
        <is>
          <t>chr13</t>
        </is>
      </c>
      <c r="B990" t="n">
        <v>40062244</v>
      </c>
      <c r="C990" t="inlineStr">
        <is>
          <t>C</t>
        </is>
      </c>
      <c r="D990" t="inlineStr">
        <is>
          <t>T</t>
        </is>
      </c>
      <c r="E990" t="inlineStr">
        <is>
          <t>rs277293</t>
        </is>
      </c>
      <c r="F990" t="n">
        <v>-0.1917888311999999</v>
      </c>
      <c r="G990" t="n">
        <v>0.0070247408838959</v>
      </c>
      <c r="H990" t="n">
        <v>0.0236475376373258</v>
      </c>
      <c r="I990" t="n">
        <v>0.0475253115231841</v>
      </c>
      <c r="J990" t="n">
        <v>0.1358474168080249</v>
      </c>
      <c r="K990" t="n">
        <v>0.3127076186246226</v>
      </c>
      <c r="L990" t="b">
        <v>1</v>
      </c>
      <c r="M990" t="b">
        <v>1</v>
      </c>
      <c r="N990" t="inlineStr">
        <is>
          <t>ref</t>
        </is>
      </c>
      <c r="O990" t="n">
        <v>-10</v>
      </c>
      <c r="P990" t="n">
        <v>0.001099</v>
      </c>
      <c r="Q990" t="n">
        <v>-100</v>
      </c>
      <c r="R990" t="n">
        <v>0.08154</v>
      </c>
      <c r="S990">
        <f>IMAGE("https://mitra.stanford.edu/kundaje/oak/projects/neuro-variants/variant_position/credible/roussos_2024/variant_figures/roussos_2024.childhood.GABA/rs277293_count_position.png",4,220,900)</f>
        <v/>
      </c>
      <c r="T990">
        <f>IMAGE("https://mitra.stanford.edu/kundaje/oak/projects/neuro-variants/variant_position/credible/roussos_2024/variant_figures/roussos_2024.childhood.GABA/rs277293_profile_position.png",4,220,900)</f>
        <v/>
      </c>
    </row>
    <row r="991">
      <c r="A991" t="inlineStr">
        <is>
          <t>chr13</t>
        </is>
      </c>
      <c r="B991" t="n">
        <v>43665632</v>
      </c>
      <c r="C991" t="inlineStr">
        <is>
          <t>T</t>
        </is>
      </c>
      <c r="D991" t="inlineStr">
        <is>
          <t>C</t>
        </is>
      </c>
      <c r="E991" t="inlineStr">
        <is>
          <t>rs9567243</t>
        </is>
      </c>
      <c r="F991" t="n">
        <v>-0.043838245</v>
      </c>
      <c r="G991" t="n">
        <v>0.1788035394760311</v>
      </c>
      <c r="H991" t="n">
        <v>0.0158711314611074</v>
      </c>
      <c r="I991" t="n">
        <v>0.1883536644647759</v>
      </c>
      <c r="J991" t="n">
        <v>0.2566605934954241</v>
      </c>
      <c r="K991" t="n">
        <v>0.1637400079526103</v>
      </c>
      <c r="L991" t="b">
        <v>0</v>
      </c>
      <c r="M991" t="b">
        <v>0</v>
      </c>
      <c r="N991" t="inlineStr">
        <is>
          <t>ref</t>
        </is>
      </c>
      <c r="O991" t="n">
        <v>-35</v>
      </c>
      <c r="P991" t="n">
        <v>0.00493</v>
      </c>
      <c r="Q991" t="n">
        <v>-50</v>
      </c>
      <c r="R991" t="n">
        <v>0.1567</v>
      </c>
      <c r="S991">
        <f>IMAGE("https://mitra.stanford.edu/kundaje/oak/projects/neuro-variants/variant_position/credible/roussos_2024/variant_figures/roussos_2024.childhood.GABA/rs9567243_count_position.png",4,220,900)</f>
        <v/>
      </c>
      <c r="T991">
        <f>IMAGE("https://mitra.stanford.edu/kundaje/oak/projects/neuro-variants/variant_position/credible/roussos_2024/variant_figures/roussos_2024.childhood.GABA/rs9567243_profile_position.png",4,220,900)</f>
        <v/>
      </c>
    </row>
    <row r="992">
      <c r="A992" t="inlineStr">
        <is>
          <t>chr13</t>
        </is>
      </c>
      <c r="B992" t="n">
        <v>43720364</v>
      </c>
      <c r="C992" t="inlineStr">
        <is>
          <t>G</t>
        </is>
      </c>
      <c r="D992" t="inlineStr">
        <is>
          <t>A</t>
        </is>
      </c>
      <c r="E992" t="inlineStr">
        <is>
          <t>rs12864863</t>
        </is>
      </c>
      <c r="F992" t="n">
        <v>-0.050074947</v>
      </c>
      <c r="G992" t="n">
        <v>0.146927570117256</v>
      </c>
      <c r="H992" t="n">
        <v>0.0102841225172586</v>
      </c>
      <c r="I992" t="n">
        <v>0.6103114766076344</v>
      </c>
      <c r="J992" t="n">
        <v>0.039490272455027</v>
      </c>
      <c r="K992" t="n">
        <v>0.5379723694364285</v>
      </c>
      <c r="L992" t="b">
        <v>0</v>
      </c>
      <c r="M992" t="b">
        <v>0</v>
      </c>
      <c r="N992" t="inlineStr">
        <is>
          <t>ref</t>
        </is>
      </c>
      <c r="O992" t="n">
        <v>-75</v>
      </c>
      <c r="P992" t="n">
        <v>0.003191</v>
      </c>
      <c r="Q992" t="n">
        <v>5</v>
      </c>
      <c r="R992" t="n">
        <v>0.003387</v>
      </c>
      <c r="S992">
        <f>IMAGE("https://mitra.stanford.edu/kundaje/oak/projects/neuro-variants/variant_position/credible/roussos_2024/variant_figures/roussos_2024.childhood.GABA/rs12864863_count_position.png",4,220,900)</f>
        <v/>
      </c>
      <c r="T992">
        <f>IMAGE("https://mitra.stanford.edu/kundaje/oak/projects/neuro-variants/variant_position/credible/roussos_2024/variant_figures/roussos_2024.childhood.GABA/rs12864863_profile_position.png",4,220,900)</f>
        <v/>
      </c>
    </row>
    <row r="993">
      <c r="A993" t="inlineStr">
        <is>
          <t>chr13</t>
        </is>
      </c>
      <c r="B993" t="n">
        <v>43743746</v>
      </c>
      <c r="C993" t="inlineStr">
        <is>
          <t>T</t>
        </is>
      </c>
      <c r="D993" t="inlineStr">
        <is>
          <t>G</t>
        </is>
      </c>
      <c r="E993" t="inlineStr">
        <is>
          <t>rs11147926</t>
        </is>
      </c>
      <c r="F993" t="n">
        <v>-0.1301392723999999</v>
      </c>
      <c r="G993" t="n">
        <v>0.0174513541719105</v>
      </c>
      <c r="H993" t="n">
        <v>0.0367760959623598</v>
      </c>
      <c r="I993" t="n">
        <v>0.0056457516486066</v>
      </c>
      <c r="J993" t="n">
        <v>0.0639190802286862</v>
      </c>
      <c r="K993" t="n">
        <v>0.4392899643595153</v>
      </c>
      <c r="L993" t="b">
        <v>1</v>
      </c>
      <c r="M993" t="b">
        <v>1</v>
      </c>
      <c r="N993" t="inlineStr">
        <is>
          <t>ref</t>
        </is>
      </c>
      <c r="O993" t="n">
        <v>-100</v>
      </c>
      <c r="P993" t="n">
        <v>0.004738</v>
      </c>
      <c r="Q993" t="n">
        <v>-40</v>
      </c>
      <c r="R993" t="n">
        <v>0.0359</v>
      </c>
      <c r="S993">
        <f>IMAGE("https://mitra.stanford.edu/kundaje/oak/projects/neuro-variants/variant_position/credible/roussos_2024/variant_figures/roussos_2024.childhood.GABA/rs11147926_count_position.png",4,220,900)</f>
        <v/>
      </c>
      <c r="T993">
        <f>IMAGE("https://mitra.stanford.edu/kundaje/oak/projects/neuro-variants/variant_position/credible/roussos_2024/variant_figures/roussos_2024.childhood.GABA/rs11147926_profile_position.png",4,220,900)</f>
        <v/>
      </c>
    </row>
    <row r="994">
      <c r="A994" t="inlineStr">
        <is>
          <t>chr13</t>
        </is>
      </c>
      <c r="B994" t="n">
        <v>43775613</v>
      </c>
      <c r="C994" t="inlineStr">
        <is>
          <t>T</t>
        </is>
      </c>
      <c r="D994" t="inlineStr">
        <is>
          <t>C</t>
        </is>
      </c>
      <c r="E994" t="inlineStr">
        <is>
          <t>rs11619519</t>
        </is>
      </c>
      <c r="F994" t="n">
        <v>-0.0268712202</v>
      </c>
      <c r="G994" t="n">
        <v>0.2660895040033837</v>
      </c>
      <c r="H994" t="n">
        <v>0.0145223859017348</v>
      </c>
      <c r="I994" t="n">
        <v>0.2500085250879477</v>
      </c>
      <c r="J994" t="n">
        <v>0.0258266842579212</v>
      </c>
      <c r="K994" t="n">
        <v>0.6269975965895617</v>
      </c>
      <c r="L994" t="b">
        <v>0</v>
      </c>
      <c r="M994" t="b">
        <v>0</v>
      </c>
      <c r="N994" t="inlineStr">
        <is>
          <t>ref</t>
        </is>
      </c>
      <c r="O994" t="n">
        <v>-85</v>
      </c>
      <c r="P994" t="n">
        <v>0.002571</v>
      </c>
      <c r="Q994" t="n">
        <v>85</v>
      </c>
      <c r="R994" t="n">
        <v>0.06934</v>
      </c>
      <c r="S994">
        <f>IMAGE("https://mitra.stanford.edu/kundaje/oak/projects/neuro-variants/variant_position/credible/roussos_2024/variant_figures/roussos_2024.childhood.GABA/rs11619519_count_position.png",4,220,900)</f>
        <v/>
      </c>
      <c r="T994">
        <f>IMAGE("https://mitra.stanford.edu/kundaje/oak/projects/neuro-variants/variant_position/credible/roussos_2024/variant_figures/roussos_2024.childhood.GABA/rs11619519_profile_position.png",4,220,900)</f>
        <v/>
      </c>
    </row>
    <row r="995">
      <c r="A995" t="inlineStr">
        <is>
          <t>chr13</t>
        </is>
      </c>
      <c r="B995" t="n">
        <v>43777097</v>
      </c>
      <c r="C995" t="inlineStr">
        <is>
          <t>G</t>
        </is>
      </c>
      <c r="D995" t="inlineStr">
        <is>
          <t>A</t>
        </is>
      </c>
      <c r="E995" t="inlineStr">
        <is>
          <t>rs11147928</t>
        </is>
      </c>
      <c r="F995" t="n">
        <v>-0.0109585986999999</v>
      </c>
      <c r="G995" t="n">
        <v>0.6238941030528304</v>
      </c>
      <c r="H995" t="n">
        <v>0.008352020948317201</v>
      </c>
      <c r="I995" t="n">
        <v>0.8217527997658319</v>
      </c>
      <c r="J995" t="n">
        <v>0.1589872463403907</v>
      </c>
      <c r="K995" t="n">
        <v>0.2581371700725322</v>
      </c>
      <c r="L995" t="b">
        <v>0</v>
      </c>
      <c r="M995" t="b">
        <v>0</v>
      </c>
      <c r="N995" t="inlineStr">
        <is>
          <t>ref</t>
        </is>
      </c>
      <c r="O995" t="n">
        <v>-75</v>
      </c>
      <c r="P995" t="n">
        <v>0.01978</v>
      </c>
      <c r="Q995" t="n">
        <v>-100</v>
      </c>
      <c r="R995" t="n">
        <v>0.2146</v>
      </c>
      <c r="S995">
        <f>IMAGE("https://mitra.stanford.edu/kundaje/oak/projects/neuro-variants/variant_position/credible/roussos_2024/variant_figures/roussos_2024.childhood.GABA/rs11147928_count_position.png",4,220,900)</f>
        <v/>
      </c>
      <c r="T995">
        <f>IMAGE("https://mitra.stanford.edu/kundaje/oak/projects/neuro-variants/variant_position/credible/roussos_2024/variant_figures/roussos_2024.childhood.GABA/rs11147928_profile_position.png",4,220,900)</f>
        <v/>
      </c>
    </row>
    <row r="996">
      <c r="A996" t="inlineStr">
        <is>
          <t>chr13</t>
        </is>
      </c>
      <c r="B996" t="n">
        <v>43777105</v>
      </c>
      <c r="C996" t="inlineStr">
        <is>
          <t>A</t>
        </is>
      </c>
      <c r="D996" t="inlineStr">
        <is>
          <t>G</t>
        </is>
      </c>
      <c r="E996" t="inlineStr">
        <is>
          <t>rs10870772</t>
        </is>
      </c>
      <c r="F996" t="n">
        <v>0.0411817223999999</v>
      </c>
      <c r="G996" t="n">
        <v>0.1906027723493734</v>
      </c>
      <c r="H996" t="n">
        <v>0.0150298499479461</v>
      </c>
      <c r="I996" t="n">
        <v>0.231723479443637</v>
      </c>
      <c r="J996" t="n">
        <v>0.1731136520701137</v>
      </c>
      <c r="K996" t="n">
        <v>0.2416948241692779</v>
      </c>
      <c r="L996" t="b">
        <v>0</v>
      </c>
      <c r="M996" t="b">
        <v>0</v>
      </c>
      <c r="N996" t="inlineStr">
        <is>
          <t>alt</t>
        </is>
      </c>
      <c r="O996" t="n">
        <v>-75</v>
      </c>
      <c r="P996" t="n">
        <v>0.01507</v>
      </c>
      <c r="Q996" t="n">
        <v>-80</v>
      </c>
      <c r="R996" t="n">
        <v>0.2316</v>
      </c>
      <c r="S996">
        <f>IMAGE("https://mitra.stanford.edu/kundaje/oak/projects/neuro-variants/variant_position/credible/roussos_2024/variant_figures/roussos_2024.childhood.GABA/rs10870772_count_position.png",4,220,900)</f>
        <v/>
      </c>
      <c r="T996">
        <f>IMAGE("https://mitra.stanford.edu/kundaje/oak/projects/neuro-variants/variant_position/credible/roussos_2024/variant_figures/roussos_2024.childhood.GABA/rs10870772_profile_position.png",4,220,900)</f>
        <v/>
      </c>
    </row>
    <row r="997">
      <c r="A997" t="inlineStr">
        <is>
          <t>chr13</t>
        </is>
      </c>
      <c r="B997" t="n">
        <v>43836417</v>
      </c>
      <c r="C997" t="inlineStr">
        <is>
          <t>G</t>
        </is>
      </c>
      <c r="D997" t="inlineStr">
        <is>
          <t>A</t>
        </is>
      </c>
      <c r="E997" t="inlineStr">
        <is>
          <t>rs12872943</t>
        </is>
      </c>
      <c r="F997" t="n">
        <v>0.00707005116</v>
      </c>
      <c r="G997" t="n">
        <v>0.7088907596150725</v>
      </c>
      <c r="H997" t="n">
        <v>0.0291338783323165</v>
      </c>
      <c r="I997" t="n">
        <v>0.0141276944536106</v>
      </c>
      <c r="J997" t="n">
        <v>0.033467361940064</v>
      </c>
      <c r="K997" t="n">
        <v>0.5685081385866213</v>
      </c>
      <c r="L997" t="b">
        <v>1</v>
      </c>
      <c r="M997" t="b">
        <v>0</v>
      </c>
      <c r="N997" t="inlineStr">
        <is>
          <t>alt</t>
        </is>
      </c>
      <c r="O997" t="n">
        <v>-60</v>
      </c>
      <c r="P997" t="n">
        <v>0.0008162999999999999</v>
      </c>
      <c r="Q997" t="n">
        <v>100</v>
      </c>
      <c r="R997" t="n">
        <v>0.1372</v>
      </c>
      <c r="S997">
        <f>IMAGE("https://mitra.stanford.edu/kundaje/oak/projects/neuro-variants/variant_position/credible/roussos_2024/variant_figures/roussos_2024.childhood.GABA/rs12872943_count_position.png",4,220,900)</f>
        <v/>
      </c>
      <c r="T997">
        <f>IMAGE("https://mitra.stanford.edu/kundaje/oak/projects/neuro-variants/variant_position/credible/roussos_2024/variant_figures/roussos_2024.childhood.GABA/rs12872943_profile_position.png",4,220,900)</f>
        <v/>
      </c>
    </row>
    <row r="998">
      <c r="A998" t="inlineStr">
        <is>
          <t>chr13</t>
        </is>
      </c>
      <c r="B998" t="n">
        <v>43843305</v>
      </c>
      <c r="C998" t="inlineStr">
        <is>
          <t>G</t>
        </is>
      </c>
      <c r="D998" t="inlineStr">
        <is>
          <t>T</t>
        </is>
      </c>
      <c r="E998" t="inlineStr">
        <is>
          <t>rs2875541</t>
        </is>
      </c>
      <c r="F998" t="n">
        <v>-0.0434369946</v>
      </c>
      <c r="G998" t="n">
        <v>0.1937434249727714</v>
      </c>
      <c r="H998" t="n">
        <v>0.0149002094266628</v>
      </c>
      <c r="I998" t="n">
        <v>0.2334710031703809</v>
      </c>
      <c r="J998" t="n">
        <v>0.0001099453414587</v>
      </c>
      <c r="K998" t="n">
        <v>0.9767916148578212</v>
      </c>
      <c r="L998" t="b">
        <v>0</v>
      </c>
      <c r="M998" t="b">
        <v>0</v>
      </c>
      <c r="N998" t="inlineStr">
        <is>
          <t>ref</t>
        </is>
      </c>
      <c r="O998" t="n">
        <v>-45</v>
      </c>
      <c r="P998" t="n">
        <v>0.005394</v>
      </c>
      <c r="Q998" t="n">
        <v>50</v>
      </c>
      <c r="R998" t="n">
        <v>0.04913</v>
      </c>
      <c r="S998">
        <f>IMAGE("https://mitra.stanford.edu/kundaje/oak/projects/neuro-variants/variant_position/credible/roussos_2024/variant_figures/roussos_2024.childhood.GABA/rs2875541_count_position.png",4,220,900)</f>
        <v/>
      </c>
      <c r="T998">
        <f>IMAGE("https://mitra.stanford.edu/kundaje/oak/projects/neuro-variants/variant_position/credible/roussos_2024/variant_figures/roussos_2024.childhood.GABA/rs2875541_profile_position.png",4,220,900)</f>
        <v/>
      </c>
    </row>
    <row r="999">
      <c r="A999" t="inlineStr">
        <is>
          <t>chr13</t>
        </is>
      </c>
      <c r="B999" t="n">
        <v>43877708</v>
      </c>
      <c r="C999" t="inlineStr">
        <is>
          <t>T</t>
        </is>
      </c>
      <c r="D999" t="inlineStr">
        <is>
          <t>A</t>
        </is>
      </c>
      <c r="E999" t="inlineStr">
        <is>
          <t>rs4942255</t>
        </is>
      </c>
      <c r="F999" t="n">
        <v>-0.0529955666</v>
      </c>
      <c r="G999" t="n">
        <v>0.1287283230718578</v>
      </c>
      <c r="H999" t="n">
        <v>0.0184226506271704</v>
      </c>
      <c r="I999" t="n">
        <v>0.1108937707243979</v>
      </c>
      <c r="J999" t="n">
        <v>0.0247774915708571</v>
      </c>
      <c r="K999" t="n">
        <v>0.6216679113252525</v>
      </c>
      <c r="L999" t="b">
        <v>0</v>
      </c>
      <c r="M999" t="b">
        <v>0</v>
      </c>
      <c r="N999" t="inlineStr">
        <is>
          <t>ref</t>
        </is>
      </c>
      <c r="O999" t="n">
        <v>100</v>
      </c>
      <c r="P999" t="n">
        <v>0.02116</v>
      </c>
      <c r="Q999" t="n">
        <v>-75</v>
      </c>
      <c r="R999" t="n">
        <v>0.08890000000000001</v>
      </c>
      <c r="S999">
        <f>IMAGE("https://mitra.stanford.edu/kundaje/oak/projects/neuro-variants/variant_position/credible/roussos_2024/variant_figures/roussos_2024.childhood.GABA/rs4942255_count_position.png",4,220,900)</f>
        <v/>
      </c>
      <c r="T999">
        <f>IMAGE("https://mitra.stanford.edu/kundaje/oak/projects/neuro-variants/variant_position/credible/roussos_2024/variant_figures/roussos_2024.childhood.GABA/rs4942255_profile_position.png",4,220,900)</f>
        <v/>
      </c>
    </row>
    <row r="1000">
      <c r="A1000" t="inlineStr">
        <is>
          <t>chr13</t>
        </is>
      </c>
      <c r="B1000" t="n">
        <v>43890691</v>
      </c>
      <c r="C1000" t="inlineStr">
        <is>
          <t>C</t>
        </is>
      </c>
      <c r="D1000" t="inlineStr">
        <is>
          <t>T</t>
        </is>
      </c>
      <c r="E1000" t="inlineStr">
        <is>
          <t>rs1445557</t>
        </is>
      </c>
      <c r="F1000" t="n">
        <v>-0.01164052044</v>
      </c>
      <c r="G1000" t="n">
        <v>0.5875037395011584</v>
      </c>
      <c r="H1000" t="n">
        <v>0.0202320038942602</v>
      </c>
      <c r="I1000" t="n">
        <v>0.0716168832065462</v>
      </c>
      <c r="J1000" t="n">
        <v>0.0122070741973989</v>
      </c>
      <c r="K1000" t="n">
        <v>0.71317693186513</v>
      </c>
      <c r="L1000" t="b">
        <v>0</v>
      </c>
      <c r="M1000" t="b">
        <v>0</v>
      </c>
      <c r="N1000" t="inlineStr">
        <is>
          <t>ref</t>
        </is>
      </c>
      <c r="O1000" t="n">
        <v>-5</v>
      </c>
      <c r="P1000" t="n">
        <v>0.000641</v>
      </c>
      <c r="Q1000" t="n">
        <v>55</v>
      </c>
      <c r="R1000" t="n">
        <v>0.05035</v>
      </c>
      <c r="S1000">
        <f>IMAGE("https://mitra.stanford.edu/kundaje/oak/projects/neuro-variants/variant_position/credible/roussos_2024/variant_figures/roussos_2024.childhood.GABA/rs1445557_count_position.png",4,220,900)</f>
        <v/>
      </c>
      <c r="T1000">
        <f>IMAGE("https://mitra.stanford.edu/kundaje/oak/projects/neuro-variants/variant_position/credible/roussos_2024/variant_figures/roussos_2024.childhood.GABA/rs1445557_profile_position.png",4,220,900)</f>
        <v/>
      </c>
    </row>
    <row r="1001">
      <c r="A1001" t="inlineStr">
        <is>
          <t>chr13</t>
        </is>
      </c>
      <c r="B1001" t="n">
        <v>43901378</v>
      </c>
      <c r="C1001" t="inlineStr">
        <is>
          <t>G</t>
        </is>
      </c>
      <c r="D1001" t="inlineStr">
        <is>
          <t>T</t>
        </is>
      </c>
      <c r="E1001" t="inlineStr">
        <is>
          <t>rs1373903</t>
        </is>
      </c>
      <c r="F1001" t="n">
        <v>-0.0063778727199999</v>
      </c>
      <c r="G1001" t="n">
        <v>0.5661669825632002</v>
      </c>
      <c r="H1001" t="n">
        <v>0.0108856354320481</v>
      </c>
      <c r="I1001" t="n">
        <v>0.5465427338100968</v>
      </c>
      <c r="J1001" t="n">
        <v>0.1219377604657493</v>
      </c>
      <c r="K1001" t="n">
        <v>0.3203976232301911</v>
      </c>
      <c r="L1001" t="b">
        <v>0</v>
      </c>
      <c r="M1001" t="b">
        <v>0</v>
      </c>
      <c r="N1001" t="inlineStr">
        <is>
          <t>ref</t>
        </is>
      </c>
      <c r="O1001" t="n">
        <v>65</v>
      </c>
      <c r="P1001" t="n">
        <v>0.00482</v>
      </c>
      <c r="Q1001" t="n">
        <v>-20</v>
      </c>
      <c r="R1001" t="n">
        <v>0.04218</v>
      </c>
      <c r="S1001">
        <f>IMAGE("https://mitra.stanford.edu/kundaje/oak/projects/neuro-variants/variant_position/credible/roussos_2024/variant_figures/roussos_2024.childhood.GABA/rs1373903_count_position.png",4,220,900)</f>
        <v/>
      </c>
      <c r="T1001">
        <f>IMAGE("https://mitra.stanford.edu/kundaje/oak/projects/neuro-variants/variant_position/credible/roussos_2024/variant_figures/roussos_2024.childhood.GABA/rs1373903_profile_position.png",4,220,900)</f>
        <v/>
      </c>
    </row>
    <row r="1002">
      <c r="A1002" t="inlineStr">
        <is>
          <t>chr13</t>
        </is>
      </c>
      <c r="B1002" t="n">
        <v>43904669</v>
      </c>
      <c r="C1002" t="inlineStr">
        <is>
          <t>C</t>
        </is>
      </c>
      <c r="D1002" t="inlineStr">
        <is>
          <t>T</t>
        </is>
      </c>
      <c r="E1002" t="inlineStr">
        <is>
          <t>rs7994883</t>
        </is>
      </c>
      <c r="F1002" t="n">
        <v>0.00632365078</v>
      </c>
      <c r="G1002" t="n">
        <v>0.7136033625945243</v>
      </c>
      <c r="H1002" t="n">
        <v>0.0135253798226871</v>
      </c>
      <c r="I1002" t="n">
        <v>0.3162672932749368</v>
      </c>
      <c r="J1002" t="n">
        <v>0.0090888148939288</v>
      </c>
      <c r="K1002" t="n">
        <v>0.7582404784798273</v>
      </c>
      <c r="L1002" t="b">
        <v>0</v>
      </c>
      <c r="M1002" t="b">
        <v>0</v>
      </c>
      <c r="N1002" t="inlineStr">
        <is>
          <t>alt</t>
        </is>
      </c>
      <c r="O1002" t="n">
        <v>-55</v>
      </c>
      <c r="P1002" t="n">
        <v>0.001553</v>
      </c>
      <c r="Q1002" t="n">
        <v>-100</v>
      </c>
      <c r="R1002" t="n">
        <v>0.06177</v>
      </c>
      <c r="S1002">
        <f>IMAGE("https://mitra.stanford.edu/kundaje/oak/projects/neuro-variants/variant_position/credible/roussos_2024/variant_figures/roussos_2024.childhood.GABA/rs7994883_count_position.png",4,220,900)</f>
        <v/>
      </c>
      <c r="T1002">
        <f>IMAGE("https://mitra.stanford.edu/kundaje/oak/projects/neuro-variants/variant_position/credible/roussos_2024/variant_figures/roussos_2024.childhood.GABA/rs7994883_profile_position.png",4,220,900)</f>
        <v/>
      </c>
    </row>
    <row r="1003">
      <c r="A1003" t="inlineStr">
        <is>
          <t>chr13</t>
        </is>
      </c>
      <c r="B1003" t="n">
        <v>49584803</v>
      </c>
      <c r="C1003" t="inlineStr">
        <is>
          <t>A</t>
        </is>
      </c>
      <c r="D1003" t="inlineStr">
        <is>
          <t>G</t>
        </is>
      </c>
      <c r="E1003" t="inlineStr">
        <is>
          <t>rs1359541</t>
        </is>
      </c>
      <c r="F1003" t="n">
        <v>0.0187459335</v>
      </c>
      <c r="G1003" t="n">
        <v>0.4313910694557967</v>
      </c>
      <c r="H1003" t="n">
        <v>0.0124909000011543</v>
      </c>
      <c r="I1003" t="n">
        <v>0.3849758739515164</v>
      </c>
      <c r="J1003" t="n">
        <v>0.6029988900756005</v>
      </c>
      <c r="K1003" t="n">
        <v>0.02887424479304</v>
      </c>
      <c r="L1003" t="b">
        <v>0</v>
      </c>
      <c r="M1003" t="b">
        <v>0</v>
      </c>
      <c r="N1003" t="inlineStr">
        <is>
          <t>alt</t>
        </is>
      </c>
      <c r="O1003" t="n">
        <v>-100</v>
      </c>
      <c r="P1003" t="n">
        <v>0.01153</v>
      </c>
      <c r="Q1003" t="n">
        <v>70</v>
      </c>
      <c r="R1003" t="n">
        <v>0.06714000000000001</v>
      </c>
      <c r="S1003">
        <f>IMAGE("https://mitra.stanford.edu/kundaje/oak/projects/neuro-variants/variant_position/credible/roussos_2024/variant_figures/roussos_2024.childhood.GABA/rs1359541_count_position.png",4,220,900)</f>
        <v/>
      </c>
      <c r="T1003">
        <f>IMAGE("https://mitra.stanford.edu/kundaje/oak/projects/neuro-variants/variant_position/credible/roussos_2024/variant_figures/roussos_2024.childhood.GABA/rs1359541_profile_position.png",4,220,900)</f>
        <v/>
      </c>
    </row>
    <row r="1004">
      <c r="A1004" t="inlineStr">
        <is>
          <t>chr13</t>
        </is>
      </c>
      <c r="B1004" t="n">
        <v>49602185</v>
      </c>
      <c r="C1004" t="inlineStr">
        <is>
          <t>A</t>
        </is>
      </c>
      <c r="D1004" t="inlineStr">
        <is>
          <t>G</t>
        </is>
      </c>
      <c r="E1004" t="inlineStr">
        <is>
          <t>rs9316462</t>
        </is>
      </c>
      <c r="F1004" t="n">
        <v>0.273318068</v>
      </c>
      <c r="G1004" t="n">
        <v>0.0022355912444365</v>
      </c>
      <c r="H1004" t="n">
        <v>0.0342998997563112</v>
      </c>
      <c r="I1004" t="n">
        <v>0.0084276959151028</v>
      </c>
      <c r="J1004" t="n">
        <v>0.2720539883981487</v>
      </c>
      <c r="K1004" t="n">
        <v>0.1536211632384478</v>
      </c>
      <c r="L1004" t="b">
        <v>1</v>
      </c>
      <c r="M1004" t="b">
        <v>1</v>
      </c>
      <c r="N1004" t="inlineStr">
        <is>
          <t>alt</t>
        </is>
      </c>
      <c r="O1004" t="n">
        <v>-15</v>
      </c>
      <c r="P1004" t="n">
        <v>0.0009155</v>
      </c>
      <c r="Q1004" t="n">
        <v>-30</v>
      </c>
      <c r="R1004" t="n">
        <v>0.04834</v>
      </c>
      <c r="S1004">
        <f>IMAGE("https://mitra.stanford.edu/kundaje/oak/projects/neuro-variants/variant_position/credible/roussos_2024/variant_figures/roussos_2024.childhood.GABA/rs9316462_count_position.png",4,220,900)</f>
        <v/>
      </c>
      <c r="T1004">
        <f>IMAGE("https://mitra.stanford.edu/kundaje/oak/projects/neuro-variants/variant_position/credible/roussos_2024/variant_figures/roussos_2024.childhood.GABA/rs9316462_profile_position.png",4,220,900)</f>
        <v/>
      </c>
    </row>
    <row r="1005">
      <c r="A1005" t="inlineStr">
        <is>
          <t>chr13</t>
        </is>
      </c>
      <c r="B1005" t="n">
        <v>53619055</v>
      </c>
      <c r="C1005" t="inlineStr">
        <is>
          <t>C</t>
        </is>
      </c>
      <c r="D1005" t="inlineStr">
        <is>
          <t>T</t>
        </is>
      </c>
      <c r="E1005" t="inlineStr">
        <is>
          <t>rs4619272</t>
        </is>
      </c>
      <c r="F1005" t="n">
        <v>0.039069414</v>
      </c>
      <c r="G1005" t="n">
        <v>0.2091084899420179</v>
      </c>
      <c r="H1005" t="n">
        <v>0.0304158181640391</v>
      </c>
      <c r="I1005" t="n">
        <v>0.0118983397042029</v>
      </c>
      <c r="J1005" t="n">
        <v>0.0266067726330338</v>
      </c>
      <c r="K1005" t="n">
        <v>0.6109873703589163</v>
      </c>
      <c r="L1005" t="b">
        <v>1</v>
      </c>
      <c r="M1005" t="b">
        <v>0</v>
      </c>
      <c r="N1005" t="inlineStr">
        <is>
          <t>alt</t>
        </is>
      </c>
      <c r="O1005" t="n">
        <v>-45</v>
      </c>
      <c r="P1005" t="n">
        <v>0.00424</v>
      </c>
      <c r="Q1005" t="n">
        <v>100</v>
      </c>
      <c r="R1005" t="n">
        <v>0.08014</v>
      </c>
      <c r="S1005">
        <f>IMAGE("https://mitra.stanford.edu/kundaje/oak/projects/neuro-variants/variant_position/credible/roussos_2024/variant_figures/roussos_2024.childhood.GABA/rs4619272_count_position.png",4,220,900)</f>
        <v/>
      </c>
      <c r="T1005">
        <f>IMAGE("https://mitra.stanford.edu/kundaje/oak/projects/neuro-variants/variant_position/credible/roussos_2024/variant_figures/roussos_2024.childhood.GABA/rs4619272_profile_position.png",4,220,900)</f>
        <v/>
      </c>
    </row>
    <row r="1006">
      <c r="A1006" t="inlineStr">
        <is>
          <t>chr13</t>
        </is>
      </c>
      <c r="B1006" t="n">
        <v>53668007</v>
      </c>
      <c r="C1006" t="inlineStr">
        <is>
          <t>G</t>
        </is>
      </c>
      <c r="D1006" t="inlineStr">
        <is>
          <t>A</t>
        </is>
      </c>
      <c r="E1006" t="inlineStr">
        <is>
          <t>rs7989647</t>
        </is>
      </c>
      <c r="F1006" t="n">
        <v>0.20056784</v>
      </c>
      <c r="G1006" t="n">
        <v>0.0048697621617387</v>
      </c>
      <c r="H1006" t="n">
        <v>0.0369796674311035</v>
      </c>
      <c r="I1006" t="n">
        <v>0.0055728888204335</v>
      </c>
      <c r="J1006" t="n">
        <v>0.1408284643253544</v>
      </c>
      <c r="K1006" t="n">
        <v>0.2791075743773717</v>
      </c>
      <c r="L1006" t="b">
        <v>1</v>
      </c>
      <c r="M1006" t="b">
        <v>1</v>
      </c>
      <c r="N1006" t="inlineStr">
        <is>
          <t>alt</t>
        </is>
      </c>
      <c r="O1006" t="n">
        <v>60</v>
      </c>
      <c r="P1006" t="n">
        <v>0.003754</v>
      </c>
      <c r="Q1006" t="n">
        <v>60</v>
      </c>
      <c r="R1006" t="n">
        <v>0.0664</v>
      </c>
      <c r="S1006">
        <f>IMAGE("https://mitra.stanford.edu/kundaje/oak/projects/neuro-variants/variant_position/credible/roussos_2024/variant_figures/roussos_2024.childhood.GABA/rs7989647_count_position.png",4,220,900)</f>
        <v/>
      </c>
      <c r="T1006">
        <f>IMAGE("https://mitra.stanford.edu/kundaje/oak/projects/neuro-variants/variant_position/credible/roussos_2024/variant_figures/roussos_2024.childhood.GABA/rs7989647_profile_position.png",4,220,900)</f>
        <v/>
      </c>
    </row>
    <row r="1007">
      <c r="A1007" t="inlineStr">
        <is>
          <t>chr13</t>
        </is>
      </c>
      <c r="B1007" t="n">
        <v>53716198</v>
      </c>
      <c r="C1007" t="inlineStr">
        <is>
          <t>C</t>
        </is>
      </c>
      <c r="D1007" t="inlineStr">
        <is>
          <t>T</t>
        </is>
      </c>
      <c r="E1007" t="inlineStr">
        <is>
          <t>rs2806731</t>
        </is>
      </c>
      <c r="F1007" t="n">
        <v>-0.0088907687479999</v>
      </c>
      <c r="G1007" t="n">
        <v>0.6805735776106898</v>
      </c>
      <c r="H1007" t="n">
        <v>0.009567248851978899</v>
      </c>
      <c r="I1007" t="n">
        <v>0.6830510016833961</v>
      </c>
      <c r="J1007" t="n">
        <v>0.00087432723922</v>
      </c>
      <c r="K1007" t="n">
        <v>0.9268032169544552</v>
      </c>
      <c r="L1007" t="b">
        <v>0</v>
      </c>
      <c r="M1007" t="b">
        <v>0</v>
      </c>
      <c r="N1007" t="inlineStr">
        <is>
          <t>ref</t>
        </is>
      </c>
      <c r="O1007" t="n">
        <v>-100</v>
      </c>
      <c r="P1007" t="n">
        <v>0.02379</v>
      </c>
      <c r="Q1007" t="n">
        <v>35</v>
      </c>
      <c r="R1007" t="n">
        <v>0.03632</v>
      </c>
      <c r="S1007">
        <f>IMAGE("https://mitra.stanford.edu/kundaje/oak/projects/neuro-variants/variant_position/credible/roussos_2024/variant_figures/roussos_2024.childhood.GABA/rs2806731_count_position.png",4,220,900)</f>
        <v/>
      </c>
      <c r="T1007">
        <f>IMAGE("https://mitra.stanford.edu/kundaje/oak/projects/neuro-variants/variant_position/credible/roussos_2024/variant_figures/roussos_2024.childhood.GABA/rs2806731_profile_position.png",4,220,900)</f>
        <v/>
      </c>
    </row>
    <row r="1008">
      <c r="A1008" t="inlineStr">
        <is>
          <t>chr13</t>
        </is>
      </c>
      <c r="B1008" t="n">
        <v>53724171</v>
      </c>
      <c r="C1008" t="inlineStr">
        <is>
          <t>G</t>
        </is>
      </c>
      <c r="D1008" t="inlineStr">
        <is>
          <t>A</t>
        </is>
      </c>
      <c r="E1008" t="inlineStr">
        <is>
          <t>rs2806738</t>
        </is>
      </c>
      <c r="F1008" t="n">
        <v>-0.0685882598</v>
      </c>
      <c r="G1008" t="n">
        <v>0.0784260785830268</v>
      </c>
      <c r="H1008" t="n">
        <v>0.0128805481599485</v>
      </c>
      <c r="I1008" t="n">
        <v>0.3630395379901917</v>
      </c>
      <c r="J1008" t="n">
        <v>0.0193011664677179</v>
      </c>
      <c r="K1008" t="n">
        <v>0.6490218316405395</v>
      </c>
      <c r="L1008" t="b">
        <v>0</v>
      </c>
      <c r="M1008" t="b">
        <v>0</v>
      </c>
      <c r="N1008" t="inlineStr">
        <is>
          <t>ref</t>
        </is>
      </c>
      <c r="O1008" t="n">
        <v>-70</v>
      </c>
      <c r="P1008" t="n">
        <v>0.001648</v>
      </c>
      <c r="Q1008" t="n">
        <v>65</v>
      </c>
      <c r="R1008" t="n">
        <v>0.02222</v>
      </c>
      <c r="S1008">
        <f>IMAGE("https://mitra.stanford.edu/kundaje/oak/projects/neuro-variants/variant_position/credible/roussos_2024/variant_figures/roussos_2024.childhood.GABA/rs2806738_count_position.png",4,220,900)</f>
        <v/>
      </c>
      <c r="T1008">
        <f>IMAGE("https://mitra.stanford.edu/kundaje/oak/projects/neuro-variants/variant_position/credible/roussos_2024/variant_figures/roussos_2024.childhood.GABA/rs2806738_profile_position.png",4,220,900)</f>
        <v/>
      </c>
    </row>
    <row r="1009">
      <c r="A1009" t="inlineStr">
        <is>
          <t>chr13</t>
        </is>
      </c>
      <c r="B1009" t="n">
        <v>55165620</v>
      </c>
      <c r="C1009" t="inlineStr">
        <is>
          <t>G</t>
        </is>
      </c>
      <c r="D1009" t="inlineStr">
        <is>
          <t>A</t>
        </is>
      </c>
      <c r="E1009" t="inlineStr">
        <is>
          <t>rs3120869</t>
        </is>
      </c>
      <c r="F1009" t="n">
        <v>-0.0509313146</v>
      </c>
      <c r="G1009" t="n">
        <v>0.1503686519711818</v>
      </c>
      <c r="H1009" t="n">
        <v>0.0139900413381562</v>
      </c>
      <c r="I1009" t="n">
        <v>0.2831469201610139</v>
      </c>
      <c r="J1009" t="n">
        <v>0.1510502397855541</v>
      </c>
      <c r="K1009" t="n">
        <v>0.2734339969088902</v>
      </c>
      <c r="L1009" t="b">
        <v>0</v>
      </c>
      <c r="M1009" t="b">
        <v>0</v>
      </c>
      <c r="N1009" t="inlineStr">
        <is>
          <t>ref</t>
        </is>
      </c>
      <c r="O1009" t="n">
        <v>-100</v>
      </c>
      <c r="P1009" t="n">
        <v>0.00402</v>
      </c>
      <c r="Q1009" t="n">
        <v>-100</v>
      </c>
      <c r="R1009" t="n">
        <v>0.08264000000000001</v>
      </c>
      <c r="S1009">
        <f>IMAGE("https://mitra.stanford.edu/kundaje/oak/projects/neuro-variants/variant_position/credible/roussos_2024/variant_figures/roussos_2024.childhood.GABA/rs3120869_count_position.png",4,220,900)</f>
        <v/>
      </c>
      <c r="T1009">
        <f>IMAGE("https://mitra.stanford.edu/kundaje/oak/projects/neuro-variants/variant_position/credible/roussos_2024/variant_figures/roussos_2024.childhood.GABA/rs3120869_profile_position.png",4,220,900)</f>
        <v/>
      </c>
    </row>
    <row r="1010">
      <c r="A1010" t="inlineStr">
        <is>
          <t>chr13</t>
        </is>
      </c>
      <c r="B1010" t="n">
        <v>55250174</v>
      </c>
      <c r="C1010" t="inlineStr">
        <is>
          <t>A</t>
        </is>
      </c>
      <c r="D1010" t="inlineStr">
        <is>
          <t>G</t>
        </is>
      </c>
      <c r="E1010" t="inlineStr">
        <is>
          <t>rs9527348</t>
        </is>
      </c>
      <c r="F1010" t="n">
        <v>0.01227738456</v>
      </c>
      <c r="G1010" t="n">
        <v>0.4619330779759666</v>
      </c>
      <c r="H1010" t="n">
        <v>0.0103199634619827</v>
      </c>
      <c r="I1010" t="n">
        <v>0.5888941072877771</v>
      </c>
      <c r="J1010" t="n">
        <v>0.0044114259387237</v>
      </c>
      <c r="K1010" t="n">
        <v>0.8247146453299131</v>
      </c>
      <c r="L1010" t="b">
        <v>0</v>
      </c>
      <c r="M1010" t="b">
        <v>0</v>
      </c>
      <c r="N1010" t="inlineStr">
        <is>
          <t>alt</t>
        </is>
      </c>
      <c r="O1010" t="n">
        <v>-100</v>
      </c>
      <c r="P1010" t="n">
        <v>0.002869</v>
      </c>
      <c r="Q1010" t="n">
        <v>100</v>
      </c>
      <c r="R1010" t="n">
        <v>0.04053</v>
      </c>
      <c r="S1010">
        <f>IMAGE("https://mitra.stanford.edu/kundaje/oak/projects/neuro-variants/variant_position/credible/roussos_2024/variant_figures/roussos_2024.childhood.GABA/rs9527348_count_position.png",4,220,900)</f>
        <v/>
      </c>
      <c r="T1010">
        <f>IMAGE("https://mitra.stanford.edu/kundaje/oak/projects/neuro-variants/variant_position/credible/roussos_2024/variant_figures/roussos_2024.childhood.GABA/rs9527348_profile_position.png",4,220,900)</f>
        <v/>
      </c>
    </row>
    <row r="1011">
      <c r="A1011" t="inlineStr">
        <is>
          <t>chr13</t>
        </is>
      </c>
      <c r="B1011" t="n">
        <v>55251042</v>
      </c>
      <c r="C1011" t="inlineStr">
        <is>
          <t>T</t>
        </is>
      </c>
      <c r="D1011" t="inlineStr">
        <is>
          <t>G</t>
        </is>
      </c>
      <c r="E1011" t="inlineStr">
        <is>
          <t>rs3124390</t>
        </is>
      </c>
      <c r="F1011" t="n">
        <v>0.0598747503999999</v>
      </c>
      <c r="G1011" t="n">
        <v>0.09774551949244691</v>
      </c>
      <c r="H1011" t="n">
        <v>0.0184658056903374</v>
      </c>
      <c r="I1011" t="n">
        <v>0.1075616669316081</v>
      </c>
      <c r="J1011" t="n">
        <v>0.1610217587066238</v>
      </c>
      <c r="K1011" t="n">
        <v>0.2615657896120545</v>
      </c>
      <c r="L1011" t="b">
        <v>0</v>
      </c>
      <c r="M1011" t="b">
        <v>0</v>
      </c>
      <c r="N1011" t="inlineStr">
        <is>
          <t>alt</t>
        </is>
      </c>
      <c r="O1011" t="n">
        <v>-35</v>
      </c>
      <c r="P1011" t="n">
        <v>0.00232</v>
      </c>
      <c r="Q1011" t="n">
        <v>35</v>
      </c>
      <c r="R1011" t="n">
        <v>0.126</v>
      </c>
      <c r="S1011">
        <f>IMAGE("https://mitra.stanford.edu/kundaje/oak/projects/neuro-variants/variant_position/credible/roussos_2024/variant_figures/roussos_2024.childhood.GABA/rs3124390_count_position.png",4,220,900)</f>
        <v/>
      </c>
      <c r="T1011">
        <f>IMAGE("https://mitra.stanford.edu/kundaje/oak/projects/neuro-variants/variant_position/credible/roussos_2024/variant_figures/roussos_2024.childhood.GABA/rs3124390_profile_position.png",4,220,900)</f>
        <v/>
      </c>
    </row>
    <row r="1012">
      <c r="A1012" t="inlineStr">
        <is>
          <t>chr13</t>
        </is>
      </c>
      <c r="B1012" t="n">
        <v>55261356</v>
      </c>
      <c r="C1012" t="inlineStr">
        <is>
          <t>C</t>
        </is>
      </c>
      <c r="D1012" t="inlineStr">
        <is>
          <t>T</t>
        </is>
      </c>
      <c r="E1012" t="inlineStr">
        <is>
          <t>rs9537039</t>
        </is>
      </c>
      <c r="F1012" t="n">
        <v>-0.0124693055</v>
      </c>
      <c r="G1012" t="n">
        <v>0.5731100436119622</v>
      </c>
      <c r="H1012" t="n">
        <v>0.0141224604135259</v>
      </c>
      <c r="I1012" t="n">
        <v>0.2731728124246828</v>
      </c>
      <c r="J1012" t="n">
        <v>0.0072930409834348</v>
      </c>
      <c r="K1012" t="n">
        <v>0.7770379066688089</v>
      </c>
      <c r="L1012" t="b">
        <v>0</v>
      </c>
      <c r="M1012" t="b">
        <v>0</v>
      </c>
      <c r="N1012" t="inlineStr">
        <is>
          <t>ref</t>
        </is>
      </c>
      <c r="O1012" t="n">
        <v>70</v>
      </c>
      <c r="P1012" t="n">
        <v>0.00838</v>
      </c>
      <c r="Q1012" t="n">
        <v>-85</v>
      </c>
      <c r="R1012" t="n">
        <v>0.0556</v>
      </c>
      <c r="S1012">
        <f>IMAGE("https://mitra.stanford.edu/kundaje/oak/projects/neuro-variants/variant_position/credible/roussos_2024/variant_figures/roussos_2024.childhood.GABA/rs9537039_count_position.png",4,220,900)</f>
        <v/>
      </c>
      <c r="T1012">
        <f>IMAGE("https://mitra.stanford.edu/kundaje/oak/projects/neuro-variants/variant_position/credible/roussos_2024/variant_figures/roussos_2024.childhood.GABA/rs9537039_profile_position.png",4,220,900)</f>
        <v/>
      </c>
    </row>
    <row r="1013">
      <c r="A1013" t="inlineStr">
        <is>
          <t>chr13</t>
        </is>
      </c>
      <c r="B1013" t="n">
        <v>55268998</v>
      </c>
      <c r="C1013" t="inlineStr">
        <is>
          <t>A</t>
        </is>
      </c>
      <c r="D1013" t="inlineStr">
        <is>
          <t>G</t>
        </is>
      </c>
      <c r="E1013" t="inlineStr">
        <is>
          <t>rs3098275</t>
        </is>
      </c>
      <c r="F1013" t="n">
        <v>0.0139447664</v>
      </c>
      <c r="G1013" t="n">
        <v>0.5200099405531672</v>
      </c>
      <c r="H1013" t="n">
        <v>0.0072754314959543</v>
      </c>
      <c r="I1013" t="n">
        <v>0.9121915932233314</v>
      </c>
      <c r="J1013" t="n">
        <v>0.0157054302527695</v>
      </c>
      <c r="K1013" t="n">
        <v>0.6850524443373945</v>
      </c>
      <c r="L1013" t="b">
        <v>0</v>
      </c>
      <c r="M1013" t="b">
        <v>0</v>
      </c>
      <c r="N1013" t="inlineStr">
        <is>
          <t>alt</t>
        </is>
      </c>
      <c r="O1013" t="n">
        <v>-100</v>
      </c>
      <c r="P1013" t="n">
        <v>0.00311</v>
      </c>
      <c r="Q1013" t="n">
        <v>-20</v>
      </c>
      <c r="R1013" t="n">
        <v>0.01878</v>
      </c>
      <c r="S1013">
        <f>IMAGE("https://mitra.stanford.edu/kundaje/oak/projects/neuro-variants/variant_position/credible/roussos_2024/variant_figures/roussos_2024.childhood.GABA/rs3098275_count_position.png",4,220,900)</f>
        <v/>
      </c>
      <c r="T1013">
        <f>IMAGE("https://mitra.stanford.edu/kundaje/oak/projects/neuro-variants/variant_position/credible/roussos_2024/variant_figures/roussos_2024.childhood.GABA/rs3098275_profile_position.png",4,220,900)</f>
        <v/>
      </c>
    </row>
    <row r="1014">
      <c r="A1014" t="inlineStr">
        <is>
          <t>chr13</t>
        </is>
      </c>
      <c r="B1014" t="n">
        <v>55286759</v>
      </c>
      <c r="C1014" t="inlineStr">
        <is>
          <t>T</t>
        </is>
      </c>
      <c r="D1014" t="inlineStr">
        <is>
          <t>C</t>
        </is>
      </c>
      <c r="E1014" t="inlineStr">
        <is>
          <t>rs3098269</t>
        </is>
      </c>
      <c r="F1014" t="n">
        <v>0.0608242422</v>
      </c>
      <c r="G1014" t="n">
        <v>0.0918515311860526</v>
      </c>
      <c r="H1014" t="n">
        <v>0.0155488923045935</v>
      </c>
      <c r="I1014" t="n">
        <v>0.2001553820340048</v>
      </c>
      <c r="J1014" t="n">
        <v>0.0003047056606143</v>
      </c>
      <c r="K1014" t="n">
        <v>0.952022955088439</v>
      </c>
      <c r="L1014" t="b">
        <v>0</v>
      </c>
      <c r="M1014" t="b">
        <v>0</v>
      </c>
      <c r="N1014" t="inlineStr">
        <is>
          <t>alt</t>
        </is>
      </c>
      <c r="O1014" t="n">
        <v>60</v>
      </c>
      <c r="P1014" t="n">
        <v>0.005974</v>
      </c>
      <c r="Q1014" t="n">
        <v>100</v>
      </c>
      <c r="R1014" t="n">
        <v>0.08452999999999999</v>
      </c>
      <c r="S1014">
        <f>IMAGE("https://mitra.stanford.edu/kundaje/oak/projects/neuro-variants/variant_position/credible/roussos_2024/variant_figures/roussos_2024.childhood.GABA/rs3098269_count_position.png",4,220,900)</f>
        <v/>
      </c>
      <c r="T1014">
        <f>IMAGE("https://mitra.stanford.edu/kundaje/oak/projects/neuro-variants/variant_position/credible/roussos_2024/variant_figures/roussos_2024.childhood.GABA/rs3098269_profile_position.png",4,220,900)</f>
        <v/>
      </c>
    </row>
    <row r="1015">
      <c r="A1015" t="inlineStr">
        <is>
          <t>chr13</t>
        </is>
      </c>
      <c r="B1015" t="n">
        <v>55292856</v>
      </c>
      <c r="C1015" t="inlineStr">
        <is>
          <t>T</t>
        </is>
      </c>
      <c r="D1015" t="inlineStr">
        <is>
          <t>C</t>
        </is>
      </c>
      <c r="E1015" t="inlineStr">
        <is>
          <t>rs3098265</t>
        </is>
      </c>
      <c r="F1015" t="n">
        <v>0.0281840354</v>
      </c>
      <c r="G1015" t="n">
        <v>0.2989674270871628</v>
      </c>
      <c r="H1015" t="n">
        <v>0.0321684146281825</v>
      </c>
      <c r="I1015" t="n">
        <v>0.0094184947518161</v>
      </c>
      <c r="J1015" t="n">
        <v>0.0235953173755522</v>
      </c>
      <c r="K1015" t="n">
        <v>0.6236787186901767</v>
      </c>
      <c r="L1015" t="b">
        <v>1</v>
      </c>
      <c r="M1015" t="b">
        <v>0</v>
      </c>
      <c r="N1015" t="inlineStr">
        <is>
          <t>alt</t>
        </is>
      </c>
      <c r="O1015" t="n">
        <v>-100</v>
      </c>
      <c r="P1015" t="n">
        <v>0.00177</v>
      </c>
      <c r="Q1015" t="n">
        <v>-100</v>
      </c>
      <c r="R1015" t="n">
        <v>0.07006999999999999</v>
      </c>
      <c r="S1015">
        <f>IMAGE("https://mitra.stanford.edu/kundaje/oak/projects/neuro-variants/variant_position/credible/roussos_2024/variant_figures/roussos_2024.childhood.GABA/rs3098265_count_position.png",4,220,900)</f>
        <v/>
      </c>
      <c r="T1015">
        <f>IMAGE("https://mitra.stanford.edu/kundaje/oak/projects/neuro-variants/variant_position/credible/roussos_2024/variant_figures/roussos_2024.childhood.GABA/rs3098265_profile_position.png",4,220,900)</f>
        <v/>
      </c>
    </row>
    <row r="1016">
      <c r="A1016" t="inlineStr">
        <is>
          <t>chr13</t>
        </is>
      </c>
      <c r="B1016" t="n">
        <v>55328403</v>
      </c>
      <c r="C1016" t="inlineStr">
        <is>
          <t>G</t>
        </is>
      </c>
      <c r="D1016" t="inlineStr">
        <is>
          <t>A</t>
        </is>
      </c>
      <c r="E1016" t="inlineStr">
        <is>
          <t>rs3098271</t>
        </is>
      </c>
      <c r="F1016" t="n">
        <v>0.00965519156</v>
      </c>
      <c r="G1016" t="n">
        <v>0.5772437627270816</v>
      </c>
      <c r="H1016" t="n">
        <v>0.0264545954529363</v>
      </c>
      <c r="I1016" t="n">
        <v>0.021973441088604</v>
      </c>
      <c r="J1016" t="n">
        <v>0.0001769596448241</v>
      </c>
      <c r="K1016" t="n">
        <v>0.9680200324744928</v>
      </c>
      <c r="L1016" t="b">
        <v>0</v>
      </c>
      <c r="M1016" t="b">
        <v>0</v>
      </c>
      <c r="N1016" t="inlineStr">
        <is>
          <t>alt</t>
        </is>
      </c>
      <c r="O1016" t="n">
        <v>-100</v>
      </c>
      <c r="P1016" t="n">
        <v>0.002167</v>
      </c>
      <c r="Q1016" t="n">
        <v>-15</v>
      </c>
      <c r="R1016" t="n">
        <v>0.0346</v>
      </c>
      <c r="S1016">
        <f>IMAGE("https://mitra.stanford.edu/kundaje/oak/projects/neuro-variants/variant_position/credible/roussos_2024/variant_figures/roussos_2024.childhood.GABA/rs3098271_count_position.png",4,220,900)</f>
        <v/>
      </c>
      <c r="T1016">
        <f>IMAGE("https://mitra.stanford.edu/kundaje/oak/projects/neuro-variants/variant_position/credible/roussos_2024/variant_figures/roussos_2024.childhood.GABA/rs3098271_profile_position.png",4,220,900)</f>
        <v/>
      </c>
    </row>
    <row r="1017">
      <c r="A1017" t="inlineStr">
        <is>
          <t>chr13</t>
        </is>
      </c>
      <c r="B1017" t="n">
        <v>55333351</v>
      </c>
      <c r="C1017" t="inlineStr">
        <is>
          <t>T</t>
        </is>
      </c>
      <c r="D1017" t="inlineStr">
        <is>
          <t>C</t>
        </is>
      </c>
      <c r="E1017" t="inlineStr">
        <is>
          <t>rs1657205</t>
        </is>
      </c>
      <c r="F1017" t="n">
        <v>-0.0402568532</v>
      </c>
      <c r="G1017" t="n">
        <v>0.2056242771610586</v>
      </c>
      <c r="H1017" t="n">
        <v>0.0134769032313329</v>
      </c>
      <c r="I1017" t="n">
        <v>0.3188596954877706</v>
      </c>
      <c r="J1017" t="n">
        <v>0.0573433017109588</v>
      </c>
      <c r="K1017" t="n">
        <v>0.4640482103827234</v>
      </c>
      <c r="L1017" t="b">
        <v>0</v>
      </c>
      <c r="M1017" t="b">
        <v>0</v>
      </c>
      <c r="N1017" t="inlineStr">
        <is>
          <t>ref</t>
        </is>
      </c>
      <c r="O1017" t="n">
        <v>-100</v>
      </c>
      <c r="P1017" t="n">
        <v>0.02061</v>
      </c>
      <c r="Q1017" t="n">
        <v>90</v>
      </c>
      <c r="R1017" t="n">
        <v>0.05258</v>
      </c>
      <c r="S1017">
        <f>IMAGE("https://mitra.stanford.edu/kundaje/oak/projects/neuro-variants/variant_position/credible/roussos_2024/variant_figures/roussos_2024.childhood.GABA/rs1657205_count_position.png",4,220,900)</f>
        <v/>
      </c>
      <c r="T1017">
        <f>IMAGE("https://mitra.stanford.edu/kundaje/oak/projects/neuro-variants/variant_position/credible/roussos_2024/variant_figures/roussos_2024.childhood.GABA/rs1657205_profile_position.png",4,220,900)</f>
        <v/>
      </c>
    </row>
    <row r="1018">
      <c r="A1018" t="inlineStr">
        <is>
          <t>chr13</t>
        </is>
      </c>
      <c r="B1018" t="n">
        <v>55363211</v>
      </c>
      <c r="C1018" t="inlineStr">
        <is>
          <t>C</t>
        </is>
      </c>
      <c r="D1018" t="inlineStr">
        <is>
          <t>T</t>
        </is>
      </c>
      <c r="E1018" t="inlineStr">
        <is>
          <t>rs3124426</t>
        </is>
      </c>
      <c r="F1018" t="n">
        <v>-0.015015838</v>
      </c>
      <c r="G1018" t="n">
        <v>0.5217965026550548</v>
      </c>
      <c r="H1018" t="n">
        <v>0.0233718146127796</v>
      </c>
      <c r="I1018" t="n">
        <v>0.0389422812110242</v>
      </c>
      <c r="J1018" t="n">
        <v>0.009403991539444099</v>
      </c>
      <c r="K1018" t="n">
        <v>0.7489987801611535</v>
      </c>
      <c r="L1018" t="b">
        <v>0</v>
      </c>
      <c r="M1018" t="b">
        <v>0</v>
      </c>
      <c r="N1018" t="inlineStr">
        <is>
          <t>ref</t>
        </is>
      </c>
      <c r="O1018" t="n">
        <v>80</v>
      </c>
      <c r="P1018" t="n">
        <v>0.008644000000000001</v>
      </c>
      <c r="Q1018" t="n">
        <v>-65</v>
      </c>
      <c r="R1018" t="n">
        <v>0.12024</v>
      </c>
      <c r="S1018">
        <f>IMAGE("https://mitra.stanford.edu/kundaje/oak/projects/neuro-variants/variant_position/credible/roussos_2024/variant_figures/roussos_2024.childhood.GABA/rs3124426_count_position.png",4,220,900)</f>
        <v/>
      </c>
      <c r="T1018">
        <f>IMAGE("https://mitra.stanford.edu/kundaje/oak/projects/neuro-variants/variant_position/credible/roussos_2024/variant_figures/roussos_2024.childhood.GABA/rs3124426_profile_position.png",4,220,900)</f>
        <v/>
      </c>
    </row>
    <row r="1019">
      <c r="A1019" t="inlineStr">
        <is>
          <t>chr13</t>
        </is>
      </c>
      <c r="B1019" t="n">
        <v>55372303</v>
      </c>
      <c r="C1019" t="inlineStr">
        <is>
          <t>A</t>
        </is>
      </c>
      <c r="D1019" t="inlineStr">
        <is>
          <t>G</t>
        </is>
      </c>
      <c r="E1019" t="inlineStr">
        <is>
          <t>rs9537096</t>
        </is>
      </c>
      <c r="F1019" t="n">
        <v>-0.003976959517</v>
      </c>
      <c r="G1019" t="n">
        <v>0.8412924220636526</v>
      </c>
      <c r="H1019" t="n">
        <v>0.0223924520701231</v>
      </c>
      <c r="I1019" t="n">
        <v>0.0464382661336232</v>
      </c>
      <c r="J1019" t="n">
        <v>0.0048742434713408</v>
      </c>
      <c r="K1019" t="n">
        <v>0.8162295285795697</v>
      </c>
      <c r="L1019" t="b">
        <v>0</v>
      </c>
      <c r="M1019" t="b">
        <v>0</v>
      </c>
      <c r="N1019" t="inlineStr">
        <is>
          <t>ref</t>
        </is>
      </c>
      <c r="O1019" t="n">
        <v>-85</v>
      </c>
      <c r="P1019" t="n">
        <v>0.00714</v>
      </c>
      <c r="Q1019" t="n">
        <v>-100</v>
      </c>
      <c r="R1019" t="n">
        <v>0.1799</v>
      </c>
      <c r="S1019">
        <f>IMAGE("https://mitra.stanford.edu/kundaje/oak/projects/neuro-variants/variant_position/credible/roussos_2024/variant_figures/roussos_2024.childhood.GABA/rs9537096_count_position.png",4,220,900)</f>
        <v/>
      </c>
      <c r="T1019">
        <f>IMAGE("https://mitra.stanford.edu/kundaje/oak/projects/neuro-variants/variant_position/credible/roussos_2024/variant_figures/roussos_2024.childhood.GABA/rs9537096_profile_position.png",4,220,900)</f>
        <v/>
      </c>
    </row>
    <row r="1020">
      <c r="A1020" t="inlineStr">
        <is>
          <t>chr13</t>
        </is>
      </c>
      <c r="B1020" t="n">
        <v>55377716</v>
      </c>
      <c r="C1020" t="inlineStr">
        <is>
          <t>A</t>
        </is>
      </c>
      <c r="D1020" t="inlineStr">
        <is>
          <t>C</t>
        </is>
      </c>
      <c r="E1020" t="inlineStr">
        <is>
          <t>rs4885824</t>
        </is>
      </c>
      <c r="F1020" t="n">
        <v>-0.0014289233999999</v>
      </c>
      <c r="G1020" t="n">
        <v>0.6478519610848044</v>
      </c>
      <c r="H1020" t="n">
        <v>0.0102323320584049</v>
      </c>
      <c r="I1020" t="n">
        <v>0.6173081309760136</v>
      </c>
      <c r="J1020" t="n">
        <v>0.144564511737974</v>
      </c>
      <c r="K1020" t="n">
        <v>0.2795233546728721</v>
      </c>
      <c r="L1020" t="b">
        <v>0</v>
      </c>
      <c r="M1020" t="b">
        <v>0</v>
      </c>
      <c r="N1020" t="inlineStr">
        <is>
          <t>ref</t>
        </is>
      </c>
      <c r="O1020" t="n">
        <v>-75</v>
      </c>
      <c r="P1020" t="n">
        <v>0.03146</v>
      </c>
      <c r="Q1020" t="n">
        <v>-85</v>
      </c>
      <c r="R1020" t="n">
        <v>0.1407</v>
      </c>
      <c r="S1020">
        <f>IMAGE("https://mitra.stanford.edu/kundaje/oak/projects/neuro-variants/variant_position/credible/roussos_2024/variant_figures/roussos_2024.childhood.GABA/rs4885824_count_position.png",4,220,900)</f>
        <v/>
      </c>
      <c r="T1020">
        <f>IMAGE("https://mitra.stanford.edu/kundaje/oak/projects/neuro-variants/variant_position/credible/roussos_2024/variant_figures/roussos_2024.childhood.GABA/rs4885824_profile_position.png",4,220,900)</f>
        <v/>
      </c>
    </row>
    <row r="1021">
      <c r="A1021" t="inlineStr">
        <is>
          <t>chr13</t>
        </is>
      </c>
      <c r="B1021" t="n">
        <v>55403301</v>
      </c>
      <c r="C1021" t="inlineStr">
        <is>
          <t>C</t>
        </is>
      </c>
      <c r="D1021" t="inlineStr">
        <is>
          <t>G</t>
        </is>
      </c>
      <c r="E1021" t="inlineStr">
        <is>
          <t>rs3124395</t>
        </is>
      </c>
      <c r="F1021" t="n">
        <v>0.1104374016</v>
      </c>
      <c r="G1021" t="n">
        <v>0.0303880421436461</v>
      </c>
      <c r="H1021" t="n">
        <v>0.0167542714069858</v>
      </c>
      <c r="I1021" t="n">
        <v>0.1543114964144359</v>
      </c>
      <c r="J1021" t="n">
        <v>0.0364191325836107</v>
      </c>
      <c r="K1021" t="n">
        <v>0.5468317896000832</v>
      </c>
      <c r="L1021" t="b">
        <v>0</v>
      </c>
      <c r="M1021" t="b">
        <v>0</v>
      </c>
      <c r="N1021" t="inlineStr">
        <is>
          <t>alt</t>
        </is>
      </c>
      <c r="O1021" t="n">
        <v>-5</v>
      </c>
      <c r="P1021" t="n">
        <v>0.001373</v>
      </c>
      <c r="Q1021" t="n">
        <v>30</v>
      </c>
      <c r="R1021" t="n">
        <v>0.02222</v>
      </c>
      <c r="S1021">
        <f>IMAGE("https://mitra.stanford.edu/kundaje/oak/projects/neuro-variants/variant_position/credible/roussos_2024/variant_figures/roussos_2024.childhood.GABA/rs3124395_count_position.png",4,220,900)</f>
        <v/>
      </c>
      <c r="T1021">
        <f>IMAGE("https://mitra.stanford.edu/kundaje/oak/projects/neuro-variants/variant_position/credible/roussos_2024/variant_figures/roussos_2024.childhood.GABA/rs3124395_profile_position.png",4,220,900)</f>
        <v/>
      </c>
    </row>
    <row r="1022">
      <c r="A1022" t="inlineStr">
        <is>
          <t>chr13</t>
        </is>
      </c>
      <c r="B1022" t="n">
        <v>55405727</v>
      </c>
      <c r="C1022" t="inlineStr">
        <is>
          <t>C</t>
        </is>
      </c>
      <c r="D1022" t="inlineStr">
        <is>
          <t>T</t>
        </is>
      </c>
      <c r="E1022" t="inlineStr">
        <is>
          <t>rs3105072</t>
        </is>
      </c>
      <c r="F1022" t="n">
        <v>0.00100101555</v>
      </c>
      <c r="G1022" t="n">
        <v>0.9099093825827936</v>
      </c>
      <c r="H1022" t="n">
        <v>0.0224228935589117</v>
      </c>
      <c r="I1022" t="n">
        <v>0.0460576157387655</v>
      </c>
      <c r="J1022" t="n">
        <v>0.002569579694666</v>
      </c>
      <c r="K1022" t="n">
        <v>0.8653329994846144</v>
      </c>
      <c r="L1022" t="b">
        <v>0</v>
      </c>
      <c r="M1022" t="b">
        <v>0</v>
      </c>
      <c r="N1022" t="inlineStr">
        <is>
          <t>alt</t>
        </is>
      </c>
      <c r="O1022" t="n">
        <v>75</v>
      </c>
      <c r="P1022" t="n">
        <v>0.0065</v>
      </c>
      <c r="Q1022" t="n">
        <v>-30</v>
      </c>
      <c r="R1022" t="n">
        <v>0.01663</v>
      </c>
      <c r="S1022">
        <f>IMAGE("https://mitra.stanford.edu/kundaje/oak/projects/neuro-variants/variant_position/credible/roussos_2024/variant_figures/roussos_2024.childhood.GABA/rs3105072_count_position.png",4,220,900)</f>
        <v/>
      </c>
      <c r="T1022">
        <f>IMAGE("https://mitra.stanford.edu/kundaje/oak/projects/neuro-variants/variant_position/credible/roussos_2024/variant_figures/roussos_2024.childhood.GABA/rs3105072_profile_position.png",4,220,900)</f>
        <v/>
      </c>
    </row>
    <row r="1023">
      <c r="A1023" t="inlineStr">
        <is>
          <t>chr13</t>
        </is>
      </c>
      <c r="B1023" t="n">
        <v>55406060</v>
      </c>
      <c r="C1023" t="inlineStr">
        <is>
          <t>C</t>
        </is>
      </c>
      <c r="D1023" t="inlineStr">
        <is>
          <t>T</t>
        </is>
      </c>
      <c r="E1023" t="inlineStr">
        <is>
          <t>rs4242982</t>
        </is>
      </c>
      <c r="F1023" t="n">
        <v>0.0224842716999999</v>
      </c>
      <c r="G1023" t="n">
        <v>0.3874832694814573</v>
      </c>
      <c r="H1023" t="n">
        <v>0.0309366214999273</v>
      </c>
      <c r="I1023" t="n">
        <v>0.0109040431921559</v>
      </c>
      <c r="J1023" t="n">
        <v>0.000712026973257</v>
      </c>
      <c r="K1023" t="n">
        <v>0.9270896386704832</v>
      </c>
      <c r="L1023" t="b">
        <v>0</v>
      </c>
      <c r="M1023" t="b">
        <v>0</v>
      </c>
      <c r="N1023" t="inlineStr">
        <is>
          <t>alt</t>
        </is>
      </c>
      <c r="O1023" t="n">
        <v>100</v>
      </c>
      <c r="P1023" t="n">
        <v>0.007507</v>
      </c>
      <c r="Q1023" t="n">
        <v>-75</v>
      </c>
      <c r="R1023" t="n">
        <v>0.07335999999999999</v>
      </c>
      <c r="S1023">
        <f>IMAGE("https://mitra.stanford.edu/kundaje/oak/projects/neuro-variants/variant_position/credible/roussos_2024/variant_figures/roussos_2024.childhood.GABA/rs4242982_count_position.png",4,220,900)</f>
        <v/>
      </c>
      <c r="T1023">
        <f>IMAGE("https://mitra.stanford.edu/kundaje/oak/projects/neuro-variants/variant_position/credible/roussos_2024/variant_figures/roussos_2024.childhood.GABA/rs4242982_profile_position.png",4,220,900)</f>
        <v/>
      </c>
    </row>
    <row r="1024">
      <c r="A1024" t="inlineStr">
        <is>
          <t>chr13</t>
        </is>
      </c>
      <c r="B1024" t="n">
        <v>55421579</v>
      </c>
      <c r="C1024" t="inlineStr">
        <is>
          <t>T</t>
        </is>
      </c>
      <c r="D1024" t="inlineStr">
        <is>
          <t>A</t>
        </is>
      </c>
      <c r="E1024" t="inlineStr">
        <is>
          <t>rs3105090</t>
        </is>
      </c>
      <c r="F1024" t="n">
        <v>0.00781105936</v>
      </c>
      <c r="G1024" t="n">
        <v>0.6763283329076191</v>
      </c>
      <c r="H1024" t="n">
        <v>0.0177307237429414</v>
      </c>
      <c r="I1024" t="n">
        <v>0.1209065830715407</v>
      </c>
      <c r="J1024" t="n">
        <v>0.0164530585746895</v>
      </c>
      <c r="K1024" t="n">
        <v>0.6784956755769722</v>
      </c>
      <c r="L1024" t="b">
        <v>0</v>
      </c>
      <c r="M1024" t="b">
        <v>0</v>
      </c>
      <c r="N1024" t="inlineStr">
        <is>
          <t>alt</t>
        </is>
      </c>
      <c r="O1024" t="n">
        <v>75</v>
      </c>
      <c r="P1024" t="n">
        <v>0.003607</v>
      </c>
      <c r="Q1024" t="n">
        <v>-100</v>
      </c>
      <c r="R1024" t="n">
        <v>0.1799</v>
      </c>
      <c r="S1024">
        <f>IMAGE("https://mitra.stanford.edu/kundaje/oak/projects/neuro-variants/variant_position/credible/roussos_2024/variant_figures/roussos_2024.childhood.GABA/rs3105090_count_position.png",4,220,900)</f>
        <v/>
      </c>
      <c r="T1024">
        <f>IMAGE("https://mitra.stanford.edu/kundaje/oak/projects/neuro-variants/variant_position/credible/roussos_2024/variant_figures/roussos_2024.childhood.GABA/rs3105090_profile_position.png",4,220,900)</f>
        <v/>
      </c>
    </row>
    <row r="1025">
      <c r="A1025" t="inlineStr">
        <is>
          <t>chr13</t>
        </is>
      </c>
      <c r="B1025" t="n">
        <v>55503184</v>
      </c>
      <c r="C1025" t="inlineStr">
        <is>
          <t>T</t>
        </is>
      </c>
      <c r="D1025" t="inlineStr">
        <is>
          <t>C</t>
        </is>
      </c>
      <c r="E1025" t="inlineStr">
        <is>
          <t>rs73191591</t>
        </is>
      </c>
      <c r="F1025" t="n">
        <v>0.1337280881999999</v>
      </c>
      <c r="G1025" t="n">
        <v>0.0161444357248175</v>
      </c>
      <c r="H1025" t="n">
        <v>0.0254247052104929</v>
      </c>
      <c r="I1025" t="n">
        <v>0.0282811640359947</v>
      </c>
      <c r="J1025" t="n">
        <v>0.0005539151012543</v>
      </c>
      <c r="K1025" t="n">
        <v>0.9427284330906628</v>
      </c>
      <c r="L1025" t="b">
        <v>1</v>
      </c>
      <c r="M1025" t="b">
        <v>0</v>
      </c>
      <c r="N1025" t="inlineStr">
        <is>
          <t>alt</t>
        </is>
      </c>
      <c r="O1025" t="n">
        <v>-10</v>
      </c>
      <c r="P1025" t="n">
        <v>9.44e-05</v>
      </c>
      <c r="Q1025" t="n">
        <v>-75</v>
      </c>
      <c r="R1025" t="n">
        <v>0.01959</v>
      </c>
      <c r="S1025">
        <f>IMAGE("https://mitra.stanford.edu/kundaje/oak/projects/neuro-variants/variant_position/credible/roussos_2024/variant_figures/roussos_2024.childhood.GABA/rs73191591_count_position.png",4,220,900)</f>
        <v/>
      </c>
      <c r="T1025">
        <f>IMAGE("https://mitra.stanford.edu/kundaje/oak/projects/neuro-variants/variant_position/credible/roussos_2024/variant_figures/roussos_2024.childhood.GABA/rs73191591_profile_position.png",4,220,900)</f>
        <v/>
      </c>
    </row>
    <row r="1026">
      <c r="A1026" t="inlineStr">
        <is>
          <t>chr13</t>
        </is>
      </c>
      <c r="B1026" t="n">
        <v>55551859</v>
      </c>
      <c r="C1026" t="inlineStr">
        <is>
          <t>T</t>
        </is>
      </c>
      <c r="D1026" t="inlineStr">
        <is>
          <t>C</t>
        </is>
      </c>
      <c r="E1026" t="inlineStr">
        <is>
          <t>rs73193533</t>
        </is>
      </c>
      <c r="F1026" t="n">
        <v>0.037911766</v>
      </c>
      <c r="G1026" t="n">
        <v>0.2312499038951546</v>
      </c>
      <c r="H1026" t="n">
        <v>0.0095265641938927</v>
      </c>
      <c r="I1026" t="n">
        <v>0.6307963233212431</v>
      </c>
      <c r="J1026" t="n">
        <v>0.0086752109903457</v>
      </c>
      <c r="K1026" t="n">
        <v>0.7664094427140139</v>
      </c>
      <c r="L1026" t="b">
        <v>0</v>
      </c>
      <c r="M1026" t="b">
        <v>0</v>
      </c>
      <c r="N1026" t="inlineStr">
        <is>
          <t>alt</t>
        </is>
      </c>
      <c r="O1026" t="n">
        <v>-80</v>
      </c>
      <c r="P1026" t="n">
        <v>0.004017</v>
      </c>
      <c r="Q1026" t="n">
        <v>-30</v>
      </c>
      <c r="R1026" t="n">
        <v>0.03558</v>
      </c>
      <c r="S1026">
        <f>IMAGE("https://mitra.stanford.edu/kundaje/oak/projects/neuro-variants/variant_position/credible/roussos_2024/variant_figures/roussos_2024.childhood.GABA/rs73193533_count_position.png",4,220,900)</f>
        <v/>
      </c>
      <c r="T1026">
        <f>IMAGE("https://mitra.stanford.edu/kundaje/oak/projects/neuro-variants/variant_position/credible/roussos_2024/variant_figures/roussos_2024.childhood.GABA/rs73193533_profile_position.png",4,220,900)</f>
        <v/>
      </c>
    </row>
    <row r="1027">
      <c r="A1027" t="inlineStr">
        <is>
          <t>chr13</t>
        </is>
      </c>
      <c r="B1027" t="n">
        <v>55587333</v>
      </c>
      <c r="C1027" t="inlineStr">
        <is>
          <t>G</t>
        </is>
      </c>
      <c r="D1027" t="inlineStr">
        <is>
          <t>A</t>
        </is>
      </c>
      <c r="E1027" t="inlineStr">
        <is>
          <t>rs112311254</t>
        </is>
      </c>
      <c r="F1027" t="n">
        <v>0.0513828563999999</v>
      </c>
      <c r="G1027" t="n">
        <v>0.1258954604527032</v>
      </c>
      <c r="H1027" t="n">
        <v>0.0291875744264854</v>
      </c>
      <c r="I1027" t="n">
        <v>0.0160471020548214</v>
      </c>
      <c r="J1027" t="n">
        <v>0.0512408117107494</v>
      </c>
      <c r="K1027" t="n">
        <v>0.5002983371794182</v>
      </c>
      <c r="L1027" t="b">
        <v>1</v>
      </c>
      <c r="M1027" t="b">
        <v>0</v>
      </c>
      <c r="N1027" t="inlineStr">
        <is>
          <t>alt</t>
        </is>
      </c>
      <c r="O1027" t="n">
        <v>-90</v>
      </c>
      <c r="P1027" t="n">
        <v>0.004406</v>
      </c>
      <c r="Q1027" t="n">
        <v>100</v>
      </c>
      <c r="R1027" t="n">
        <v>0.1115</v>
      </c>
      <c r="S1027">
        <f>IMAGE("https://mitra.stanford.edu/kundaje/oak/projects/neuro-variants/variant_position/credible/roussos_2024/variant_figures/roussos_2024.childhood.GABA/rs112311254_count_position.png",4,220,900)</f>
        <v/>
      </c>
      <c r="T1027">
        <f>IMAGE("https://mitra.stanford.edu/kundaje/oak/projects/neuro-variants/variant_position/credible/roussos_2024/variant_figures/roussos_2024.childhood.GABA/rs112311254_profile_position.png",4,220,900)</f>
        <v/>
      </c>
    </row>
    <row r="1028">
      <c r="A1028" t="inlineStr">
        <is>
          <t>chr13</t>
        </is>
      </c>
      <c r="B1028" t="n">
        <v>55587944</v>
      </c>
      <c r="C1028" t="inlineStr">
        <is>
          <t>G</t>
        </is>
      </c>
      <c r="D1028" t="inlineStr">
        <is>
          <t>A</t>
        </is>
      </c>
      <c r="E1028" t="inlineStr">
        <is>
          <t>rs611686</t>
        </is>
      </c>
      <c r="F1028" t="n">
        <v>-0.0298019551999999</v>
      </c>
      <c r="G1028" t="n">
        <v>0.2990411672821101</v>
      </c>
      <c r="H1028" t="n">
        <v>0.0145754838644753</v>
      </c>
      <c r="I1028" t="n">
        <v>0.2479057340371154</v>
      </c>
      <c r="J1028" t="n">
        <v>0.0656708760025967</v>
      </c>
      <c r="K1028" t="n">
        <v>0.4637834908842898</v>
      </c>
      <c r="L1028" t="b">
        <v>0</v>
      </c>
      <c r="M1028" t="b">
        <v>0</v>
      </c>
      <c r="N1028" t="inlineStr">
        <is>
          <t>ref</t>
        </is>
      </c>
      <c r="O1028" t="n">
        <v>-30</v>
      </c>
      <c r="P1028" t="n">
        <v>0.002375</v>
      </c>
      <c r="Q1028" t="n">
        <v>-85</v>
      </c>
      <c r="R1028" t="n">
        <v>0.11816</v>
      </c>
      <c r="S1028">
        <f>IMAGE("https://mitra.stanford.edu/kundaje/oak/projects/neuro-variants/variant_position/credible/roussos_2024/variant_figures/roussos_2024.childhood.GABA/rs611686_count_position.png",4,220,900)</f>
        <v/>
      </c>
      <c r="T1028">
        <f>IMAGE("https://mitra.stanford.edu/kundaje/oak/projects/neuro-variants/variant_position/credible/roussos_2024/variant_figures/roussos_2024.childhood.GABA/rs611686_profile_position.png",4,220,900)</f>
        <v/>
      </c>
    </row>
    <row r="1029">
      <c r="A1029" t="inlineStr">
        <is>
          <t>chr13</t>
        </is>
      </c>
      <c r="B1029" t="n">
        <v>55607494</v>
      </c>
      <c r="C1029" t="inlineStr">
        <is>
          <t>C</t>
        </is>
      </c>
      <c r="D1029" t="inlineStr">
        <is>
          <t>A</t>
        </is>
      </c>
      <c r="E1029" t="inlineStr">
        <is>
          <t>rs73193578</t>
        </is>
      </c>
      <c r="F1029" t="n">
        <v>0.0065444993199999</v>
      </c>
      <c r="G1029" t="n">
        <v>0.6262531296707576</v>
      </c>
      <c r="H1029" t="n">
        <v>0.0247068836836622</v>
      </c>
      <c r="I1029" t="n">
        <v>0.0299284136114656</v>
      </c>
      <c r="J1029" t="n">
        <v>0.0004062742141525</v>
      </c>
      <c r="K1029" t="n">
        <v>0.9503951702983022</v>
      </c>
      <c r="L1029" t="b">
        <v>0</v>
      </c>
      <c r="M1029" t="b">
        <v>0</v>
      </c>
      <c r="N1029" t="inlineStr">
        <is>
          <t>alt</t>
        </is>
      </c>
      <c r="O1029" t="n">
        <v>85</v>
      </c>
      <c r="P1029" t="n">
        <v>0.002392</v>
      </c>
      <c r="Q1029" t="n">
        <v>55</v>
      </c>
      <c r="R1029" t="n">
        <v>0.02802</v>
      </c>
      <c r="S1029">
        <f>IMAGE("https://mitra.stanford.edu/kundaje/oak/projects/neuro-variants/variant_position/credible/roussos_2024/variant_figures/roussos_2024.childhood.GABA/rs73193578_count_position.png",4,220,900)</f>
        <v/>
      </c>
      <c r="T1029">
        <f>IMAGE("https://mitra.stanford.edu/kundaje/oak/projects/neuro-variants/variant_position/credible/roussos_2024/variant_figures/roussos_2024.childhood.GABA/rs73193578_profile_position.png",4,220,900)</f>
        <v/>
      </c>
    </row>
    <row r="1030">
      <c r="A1030" t="inlineStr">
        <is>
          <t>chr13</t>
        </is>
      </c>
      <c r="B1030" t="n">
        <v>56115935</v>
      </c>
      <c r="C1030" t="inlineStr">
        <is>
          <t>T</t>
        </is>
      </c>
      <c r="D1030" t="inlineStr">
        <is>
          <t>C</t>
        </is>
      </c>
      <c r="E1030" t="inlineStr">
        <is>
          <t>rs517462</t>
        </is>
      </c>
      <c r="F1030" t="n">
        <v>0.116528464</v>
      </c>
      <c r="G1030" t="n">
        <v>0.0217633609292416</v>
      </c>
      <c r="H1030" t="n">
        <v>0.0226798819620177</v>
      </c>
      <c r="I1030" t="n">
        <v>0.0437496479288689</v>
      </c>
      <c r="J1030" t="n">
        <v>0.2371699022010009</v>
      </c>
      <c r="K1030" t="n">
        <v>0.1861158506632665</v>
      </c>
      <c r="L1030" t="b">
        <v>0</v>
      </c>
      <c r="M1030" t="b">
        <v>0</v>
      </c>
      <c r="N1030" t="inlineStr">
        <is>
          <t>alt</t>
        </is>
      </c>
      <c r="O1030" t="n">
        <v>65</v>
      </c>
      <c r="P1030" t="n">
        <v>0.005722</v>
      </c>
      <c r="Q1030" t="n">
        <v>-100</v>
      </c>
      <c r="R1030" t="n">
        <v>0.04895</v>
      </c>
      <c r="S1030">
        <f>IMAGE("https://mitra.stanford.edu/kundaje/oak/projects/neuro-variants/variant_position/credible/roussos_2024/variant_figures/roussos_2024.childhood.GABA/rs517462_count_position.png",4,220,900)</f>
        <v/>
      </c>
      <c r="T1030">
        <f>IMAGE("https://mitra.stanford.edu/kundaje/oak/projects/neuro-variants/variant_position/credible/roussos_2024/variant_figures/roussos_2024.childhood.GABA/rs517462_profile_position.png",4,220,900)</f>
        <v/>
      </c>
    </row>
    <row r="1031">
      <c r="A1031" t="inlineStr">
        <is>
          <t>chr13</t>
        </is>
      </c>
      <c r="B1031" t="n">
        <v>56148317</v>
      </c>
      <c r="C1031" t="inlineStr">
        <is>
          <t>C</t>
        </is>
      </c>
      <c r="D1031" t="inlineStr">
        <is>
          <t>T</t>
        </is>
      </c>
      <c r="E1031" t="inlineStr">
        <is>
          <t>rs3121501</t>
        </is>
      </c>
      <c r="F1031" t="n">
        <v>6.87455999999996e-06</v>
      </c>
      <c r="G1031" t="n">
        <v>0.7659272882157103</v>
      </c>
      <c r="H1031" t="n">
        <v>0.0229466415903797</v>
      </c>
      <c r="I1031" t="n">
        <v>0.0415149956173545</v>
      </c>
      <c r="J1031" t="n">
        <v>2.408326527193148e-05</v>
      </c>
      <c r="K1031" t="n">
        <v>0.9956801224394408</v>
      </c>
      <c r="L1031" t="b">
        <v>0</v>
      </c>
      <c r="M1031" t="b">
        <v>0</v>
      </c>
      <c r="N1031" t="inlineStr">
        <is>
          <t>alt</t>
        </is>
      </c>
      <c r="O1031" t="n">
        <v>-75</v>
      </c>
      <c r="P1031" t="n">
        <v>0.02443</v>
      </c>
      <c r="Q1031" t="n">
        <v>-50</v>
      </c>
      <c r="R1031" t="n">
        <v>0.0475</v>
      </c>
      <c r="S1031">
        <f>IMAGE("https://mitra.stanford.edu/kundaje/oak/projects/neuro-variants/variant_position/credible/roussos_2024/variant_figures/roussos_2024.childhood.GABA/rs3121501_count_position.png",4,220,900)</f>
        <v/>
      </c>
      <c r="T1031">
        <f>IMAGE("https://mitra.stanford.edu/kundaje/oak/projects/neuro-variants/variant_position/credible/roussos_2024/variant_figures/roussos_2024.childhood.GABA/rs3121501_profile_position.png",4,220,900)</f>
        <v/>
      </c>
    </row>
    <row r="1032">
      <c r="A1032" t="inlineStr">
        <is>
          <t>chr13</t>
        </is>
      </c>
      <c r="B1032" t="n">
        <v>56229052</v>
      </c>
      <c r="C1032" t="inlineStr">
        <is>
          <t>T</t>
        </is>
      </c>
      <c r="D1032" t="inlineStr">
        <is>
          <t>G</t>
        </is>
      </c>
      <c r="E1032" t="inlineStr">
        <is>
          <t>rs2137410</t>
        </is>
      </c>
      <c r="F1032" t="n">
        <v>0.0061541807399999</v>
      </c>
      <c r="G1032" t="n">
        <v>0.6765725009349028</v>
      </c>
      <c r="H1032" t="n">
        <v>0.0211518349121184</v>
      </c>
      <c r="I1032" t="n">
        <v>0.0592953644820125</v>
      </c>
      <c r="J1032" t="n">
        <v>0.0009141169818432</v>
      </c>
      <c r="K1032" t="n">
        <v>0.9168675695808728</v>
      </c>
      <c r="L1032" t="b">
        <v>0</v>
      </c>
      <c r="M1032" t="b">
        <v>0</v>
      </c>
      <c r="N1032" t="inlineStr">
        <is>
          <t>alt</t>
        </is>
      </c>
      <c r="O1032" t="n">
        <v>-70</v>
      </c>
      <c r="P1032" t="n">
        <v>0.008484</v>
      </c>
      <c r="Q1032" t="n">
        <v>-75</v>
      </c>
      <c r="R1032" t="n">
        <v>0.0796</v>
      </c>
      <c r="S1032">
        <f>IMAGE("https://mitra.stanford.edu/kundaje/oak/projects/neuro-variants/variant_position/credible/roussos_2024/variant_figures/roussos_2024.childhood.GABA/rs2137410_count_position.png",4,220,900)</f>
        <v/>
      </c>
      <c r="T1032">
        <f>IMAGE("https://mitra.stanford.edu/kundaje/oak/projects/neuro-variants/variant_position/credible/roussos_2024/variant_figures/roussos_2024.childhood.GABA/rs2137410_profile_position.png",4,220,900)</f>
        <v/>
      </c>
    </row>
    <row r="1033">
      <c r="A1033" t="inlineStr">
        <is>
          <t>chr13</t>
        </is>
      </c>
      <c r="B1033" t="n">
        <v>56237999</v>
      </c>
      <c r="C1033" t="inlineStr">
        <is>
          <t>C</t>
        </is>
      </c>
      <c r="D1033" t="inlineStr">
        <is>
          <t>A</t>
        </is>
      </c>
      <c r="E1033" t="inlineStr">
        <is>
          <t>rs9569448</t>
        </is>
      </c>
      <c r="F1033" t="n">
        <v>-0.0136425608799999</v>
      </c>
      <c r="G1033" t="n">
        <v>0.5687548175727388</v>
      </c>
      <c r="H1033" t="n">
        <v>0.028517956750864</v>
      </c>
      <c r="I1033" t="n">
        <v>0.0171931330574071</v>
      </c>
      <c r="J1033" t="n">
        <v>0.1723984838013862</v>
      </c>
      <c r="K1033" t="n">
        <v>0.2415724724961439</v>
      </c>
      <c r="L1033" t="b">
        <v>1</v>
      </c>
      <c r="M1033" t="b">
        <v>0</v>
      </c>
      <c r="N1033" t="inlineStr">
        <is>
          <t>ref</t>
        </is>
      </c>
      <c r="O1033" t="n">
        <v>90</v>
      </c>
      <c r="P1033" t="n">
        <v>0.01596</v>
      </c>
      <c r="Q1033" t="n">
        <v>-5</v>
      </c>
      <c r="R1033" t="n">
        <v>0.01416</v>
      </c>
      <c r="S1033">
        <f>IMAGE("https://mitra.stanford.edu/kundaje/oak/projects/neuro-variants/variant_position/credible/roussos_2024/variant_figures/roussos_2024.childhood.GABA/rs9569448_count_position.png",4,220,900)</f>
        <v/>
      </c>
      <c r="T1033">
        <f>IMAGE("https://mitra.stanford.edu/kundaje/oak/projects/neuro-variants/variant_position/credible/roussos_2024/variant_figures/roussos_2024.childhood.GABA/rs9569448_profile_position.png",4,220,900)</f>
        <v/>
      </c>
    </row>
    <row r="1034">
      <c r="A1034" t="inlineStr">
        <is>
          <t>chr13</t>
        </is>
      </c>
      <c r="B1034" t="n">
        <v>56355578</v>
      </c>
      <c r="C1034" t="inlineStr">
        <is>
          <t>C</t>
        </is>
      </c>
      <c r="D1034" t="inlineStr">
        <is>
          <t>T</t>
        </is>
      </c>
      <c r="E1034" t="inlineStr">
        <is>
          <t>rs9597389</t>
        </is>
      </c>
      <c r="F1034" t="n">
        <v>-0.1184262197999999</v>
      </c>
      <c r="G1034" t="n">
        <v>0.0224112874281295</v>
      </c>
      <c r="H1034" t="n">
        <v>0.0220741484775124</v>
      </c>
      <c r="I1034" t="n">
        <v>0.0499359502160676</v>
      </c>
      <c r="J1034" t="n">
        <v>0.0600238738455738</v>
      </c>
      <c r="K1034" t="n">
        <v>0.4545904687471543</v>
      </c>
      <c r="L1034" t="b">
        <v>0</v>
      </c>
      <c r="M1034" t="b">
        <v>0</v>
      </c>
      <c r="N1034" t="inlineStr">
        <is>
          <t>ref</t>
        </is>
      </c>
      <c r="O1034" t="n">
        <v>25</v>
      </c>
      <c r="P1034" t="n">
        <v>0.004623</v>
      </c>
      <c r="Q1034" t="n">
        <v>-30</v>
      </c>
      <c r="R1034" t="n">
        <v>0.02905</v>
      </c>
      <c r="S1034">
        <f>IMAGE("https://mitra.stanford.edu/kundaje/oak/projects/neuro-variants/variant_position/credible/roussos_2024/variant_figures/roussos_2024.childhood.GABA/rs9597389_count_position.png",4,220,900)</f>
        <v/>
      </c>
      <c r="T1034">
        <f>IMAGE("https://mitra.stanford.edu/kundaje/oak/projects/neuro-variants/variant_position/credible/roussos_2024/variant_figures/roussos_2024.childhood.GABA/rs9597389_profile_position.png",4,220,900)</f>
        <v/>
      </c>
    </row>
    <row r="1035">
      <c r="A1035" t="inlineStr">
        <is>
          <t>chr13</t>
        </is>
      </c>
      <c r="B1035" t="n">
        <v>56365881</v>
      </c>
      <c r="C1035" t="inlineStr">
        <is>
          <t>T</t>
        </is>
      </c>
      <c r="D1035" t="inlineStr">
        <is>
          <t>C</t>
        </is>
      </c>
      <c r="E1035" t="inlineStr">
        <is>
          <t>rs2784002</t>
        </is>
      </c>
      <c r="F1035" t="n">
        <v>0.0448420242</v>
      </c>
      <c r="G1035" t="n">
        <v>0.1763095852110981</v>
      </c>
      <c r="H1035" t="n">
        <v>0.0114628936020166</v>
      </c>
      <c r="I1035" t="n">
        <v>0.4872936385288511</v>
      </c>
      <c r="J1035" t="n">
        <v>7.853238675627569e-05</v>
      </c>
      <c r="K1035" t="n">
        <v>0.982042565163752</v>
      </c>
      <c r="L1035" t="b">
        <v>0</v>
      </c>
      <c r="M1035" t="b">
        <v>0</v>
      </c>
      <c r="N1035" t="inlineStr">
        <is>
          <t>alt</t>
        </is>
      </c>
      <c r="O1035" t="n">
        <v>45</v>
      </c>
      <c r="P1035" t="n">
        <v>0.003387</v>
      </c>
      <c r="Q1035" t="n">
        <v>45</v>
      </c>
      <c r="R1035" t="n">
        <v>0.06555</v>
      </c>
      <c r="S1035">
        <f>IMAGE("https://mitra.stanford.edu/kundaje/oak/projects/neuro-variants/variant_position/credible/roussos_2024/variant_figures/roussos_2024.childhood.GABA/rs2784002_count_position.png",4,220,900)</f>
        <v/>
      </c>
      <c r="T1035">
        <f>IMAGE("https://mitra.stanford.edu/kundaje/oak/projects/neuro-variants/variant_position/credible/roussos_2024/variant_figures/roussos_2024.childhood.GABA/rs2784002_profile_position.png",4,220,900)</f>
        <v/>
      </c>
    </row>
    <row r="1036">
      <c r="A1036" t="inlineStr">
        <is>
          <t>chr13</t>
        </is>
      </c>
      <c r="B1036" t="n">
        <v>56370450</v>
      </c>
      <c r="C1036" t="inlineStr">
        <is>
          <t>C</t>
        </is>
      </c>
      <c r="D1036" t="inlineStr">
        <is>
          <t>A</t>
        </is>
      </c>
      <c r="E1036" t="inlineStr">
        <is>
          <t>rs9591754</t>
        </is>
      </c>
      <c r="F1036" t="n">
        <v>0.0171405702999999</v>
      </c>
      <c r="G1036" t="n">
        <v>0.3888004541971047</v>
      </c>
      <c r="H1036" t="n">
        <v>0.0116958043399848</v>
      </c>
      <c r="I1036" t="n">
        <v>0.4633921925107171</v>
      </c>
      <c r="J1036" t="n">
        <v>0.0483769973403698</v>
      </c>
      <c r="K1036" t="n">
        <v>0.4917308387501607</v>
      </c>
      <c r="L1036" t="b">
        <v>0</v>
      </c>
      <c r="M1036" t="b">
        <v>0</v>
      </c>
      <c r="N1036" t="inlineStr">
        <is>
          <t>alt</t>
        </is>
      </c>
      <c r="O1036" t="n">
        <v>40</v>
      </c>
      <c r="P1036" t="n">
        <v>0.002014</v>
      </c>
      <c r="Q1036" t="n">
        <v>-55</v>
      </c>
      <c r="R1036" t="n">
        <v>0.0221</v>
      </c>
      <c r="S1036">
        <f>IMAGE("https://mitra.stanford.edu/kundaje/oak/projects/neuro-variants/variant_position/credible/roussos_2024/variant_figures/roussos_2024.childhood.GABA/rs9591754_count_position.png",4,220,900)</f>
        <v/>
      </c>
      <c r="T1036">
        <f>IMAGE("https://mitra.stanford.edu/kundaje/oak/projects/neuro-variants/variant_position/credible/roussos_2024/variant_figures/roussos_2024.childhood.GABA/rs9591754_profile_position.png",4,220,900)</f>
        <v/>
      </c>
    </row>
    <row r="1037">
      <c r="A1037" t="inlineStr">
        <is>
          <t>chr13</t>
        </is>
      </c>
      <c r="B1037" t="n">
        <v>56391810</v>
      </c>
      <c r="C1037" t="inlineStr">
        <is>
          <t>A</t>
        </is>
      </c>
      <c r="D1037" t="inlineStr">
        <is>
          <t>T</t>
        </is>
      </c>
      <c r="E1037" t="inlineStr">
        <is>
          <t>rs9316851</t>
        </is>
      </c>
      <c r="F1037" t="n">
        <v>0.00215975683362</v>
      </c>
      <c r="G1037" t="n">
        <v>0.6912793184552614</v>
      </c>
      <c r="H1037" t="n">
        <v>0.0076235654481593</v>
      </c>
      <c r="I1037" t="n">
        <v>0.8713567301375436</v>
      </c>
      <c r="J1037" t="n">
        <v>0.041472429896756</v>
      </c>
      <c r="K1037" t="n">
        <v>0.5397283550276569</v>
      </c>
      <c r="L1037" t="b">
        <v>0</v>
      </c>
      <c r="M1037" t="b">
        <v>0</v>
      </c>
      <c r="N1037" t="inlineStr">
        <is>
          <t>alt</t>
        </is>
      </c>
      <c r="O1037" t="n">
        <v>-50</v>
      </c>
      <c r="P1037" t="n">
        <v>0.00326</v>
      </c>
      <c r="Q1037" t="n">
        <v>25</v>
      </c>
      <c r="R1037" t="n">
        <v>0.00711</v>
      </c>
      <c r="S1037">
        <f>IMAGE("https://mitra.stanford.edu/kundaje/oak/projects/neuro-variants/variant_position/credible/roussos_2024/variant_figures/roussos_2024.childhood.GABA/rs9316851_count_position.png",4,220,900)</f>
        <v/>
      </c>
      <c r="T1037">
        <f>IMAGE("https://mitra.stanford.edu/kundaje/oak/projects/neuro-variants/variant_position/credible/roussos_2024/variant_figures/roussos_2024.childhood.GABA/rs9316851_profile_position.png",4,220,900)</f>
        <v/>
      </c>
    </row>
    <row r="1038">
      <c r="A1038" t="inlineStr">
        <is>
          <t>chr13</t>
        </is>
      </c>
      <c r="B1038" t="n">
        <v>56405802</v>
      </c>
      <c r="C1038" t="inlineStr">
        <is>
          <t>C</t>
        </is>
      </c>
      <c r="D1038" t="inlineStr">
        <is>
          <t>G</t>
        </is>
      </c>
      <c r="E1038" t="inlineStr">
        <is>
          <t>rs59918226</t>
        </is>
      </c>
      <c r="F1038" t="n">
        <v>0.0171720889999999</v>
      </c>
      <c r="G1038" t="n">
        <v>0.4507441830023659</v>
      </c>
      <c r="H1038" t="n">
        <v>0.0088664740916247</v>
      </c>
      <c r="I1038" t="n">
        <v>0.7668747978834249</v>
      </c>
      <c r="J1038" t="n">
        <v>0.0011340076647608</v>
      </c>
      <c r="K1038" t="n">
        <v>0.9118648406373832</v>
      </c>
      <c r="L1038" t="b">
        <v>0</v>
      </c>
      <c r="M1038" t="b">
        <v>0</v>
      </c>
      <c r="N1038" t="inlineStr">
        <is>
          <t>alt</t>
        </is>
      </c>
      <c r="O1038" t="n">
        <v>65</v>
      </c>
      <c r="P1038" t="n">
        <v>0.001701</v>
      </c>
      <c r="Q1038" t="n">
        <v>70</v>
      </c>
      <c r="R1038" t="n">
        <v>0.009889999999999999</v>
      </c>
      <c r="S1038">
        <f>IMAGE("https://mitra.stanford.edu/kundaje/oak/projects/neuro-variants/variant_position/credible/roussos_2024/variant_figures/roussos_2024.childhood.GABA/rs59918226_count_position.png",4,220,900)</f>
        <v/>
      </c>
      <c r="T1038">
        <f>IMAGE("https://mitra.stanford.edu/kundaje/oak/projects/neuro-variants/variant_position/credible/roussos_2024/variant_figures/roussos_2024.childhood.GABA/rs59918226_profile_position.png",4,220,900)</f>
        <v/>
      </c>
    </row>
    <row r="1039">
      <c r="A1039" t="inlineStr">
        <is>
          <t>chr13</t>
        </is>
      </c>
      <c r="B1039" t="n">
        <v>56417466</v>
      </c>
      <c r="C1039" t="inlineStr">
        <is>
          <t>G</t>
        </is>
      </c>
      <c r="D1039" t="inlineStr">
        <is>
          <t>A</t>
        </is>
      </c>
      <c r="E1039" t="inlineStr">
        <is>
          <t>rs9316853</t>
        </is>
      </c>
      <c r="F1039" t="n">
        <v>-0.0066484297999999</v>
      </c>
      <c r="G1039" t="n">
        <v>0.7169926280780072</v>
      </c>
      <c r="H1039" t="n">
        <v>0.011422242938699</v>
      </c>
      <c r="I1039" t="n">
        <v>0.4948516250332898</v>
      </c>
      <c r="J1039" t="n">
        <v>0.0033821281229712</v>
      </c>
      <c r="K1039" t="n">
        <v>0.8444614975933113</v>
      </c>
      <c r="L1039" t="b">
        <v>0</v>
      </c>
      <c r="M1039" t="b">
        <v>0</v>
      </c>
      <c r="N1039" t="inlineStr">
        <is>
          <t>ref</t>
        </is>
      </c>
      <c r="O1039" t="n">
        <v>-15</v>
      </c>
      <c r="P1039" t="n">
        <v>0.0012245</v>
      </c>
      <c r="Q1039" t="n">
        <v>65</v>
      </c>
      <c r="R1039" t="n">
        <v>0.0847</v>
      </c>
      <c r="S1039">
        <f>IMAGE("https://mitra.stanford.edu/kundaje/oak/projects/neuro-variants/variant_position/credible/roussos_2024/variant_figures/roussos_2024.childhood.GABA/rs9316853_count_position.png",4,220,900)</f>
        <v/>
      </c>
      <c r="T1039">
        <f>IMAGE("https://mitra.stanford.edu/kundaje/oak/projects/neuro-variants/variant_position/credible/roussos_2024/variant_figures/roussos_2024.childhood.GABA/rs9316853_profile_position.png",4,220,900)</f>
        <v/>
      </c>
    </row>
    <row r="1040">
      <c r="A1040" t="inlineStr">
        <is>
          <t>chr13</t>
        </is>
      </c>
      <c r="B1040" t="n">
        <v>56420701</v>
      </c>
      <c r="C1040" t="inlineStr">
        <is>
          <t>G</t>
        </is>
      </c>
      <c r="D1040" t="inlineStr">
        <is>
          <t>C</t>
        </is>
      </c>
      <c r="E1040" t="inlineStr">
        <is>
          <t>rs12872193</t>
        </is>
      </c>
      <c r="F1040" t="n">
        <v>0.042940602</v>
      </c>
      <c r="G1040" t="n">
        <v>0.1771331082123536</v>
      </c>
      <c r="H1040" t="n">
        <v>0.0111329419112878</v>
      </c>
      <c r="I1040" t="n">
        <v>0.5070402474030341</v>
      </c>
      <c r="J1040" t="n">
        <v>0.0078050721450859</v>
      </c>
      <c r="K1040" t="n">
        <v>0.7715759322044737</v>
      </c>
      <c r="L1040" t="b">
        <v>0</v>
      </c>
      <c r="M1040" t="b">
        <v>0</v>
      </c>
      <c r="N1040" t="inlineStr">
        <is>
          <t>alt</t>
        </is>
      </c>
      <c r="O1040" t="n">
        <v>-100</v>
      </c>
      <c r="P1040" t="n">
        <v>0.005447</v>
      </c>
      <c r="Q1040" t="n">
        <v>-40</v>
      </c>
      <c r="R1040" t="n">
        <v>0.0343</v>
      </c>
      <c r="S1040">
        <f>IMAGE("https://mitra.stanford.edu/kundaje/oak/projects/neuro-variants/variant_position/credible/roussos_2024/variant_figures/roussos_2024.childhood.GABA/rs12872193_count_position.png",4,220,900)</f>
        <v/>
      </c>
      <c r="T1040">
        <f>IMAGE("https://mitra.stanford.edu/kundaje/oak/projects/neuro-variants/variant_position/credible/roussos_2024/variant_figures/roussos_2024.childhood.GABA/rs12872193_profile_position.png",4,220,900)</f>
        <v/>
      </c>
    </row>
    <row r="1041">
      <c r="A1041" t="inlineStr">
        <is>
          <t>chr13</t>
        </is>
      </c>
      <c r="B1041" t="n">
        <v>56424533</v>
      </c>
      <c r="C1041" t="inlineStr">
        <is>
          <t>C</t>
        </is>
      </c>
      <c r="D1041" t="inlineStr">
        <is>
          <t>T</t>
        </is>
      </c>
      <c r="E1041" t="inlineStr">
        <is>
          <t>rs9597405</t>
        </is>
      </c>
      <c r="F1041" t="n">
        <v>-0.0964277986</v>
      </c>
      <c r="G1041" t="n">
        <v>0.0401745689578982</v>
      </c>
      <c r="H1041" t="n">
        <v>0.0180386634150316</v>
      </c>
      <c r="I1041" t="n">
        <v>0.1129499058630593</v>
      </c>
      <c r="J1041" t="n">
        <v>0.0585966786035894</v>
      </c>
      <c r="K1041" t="n">
        <v>0.4727699698838765</v>
      </c>
      <c r="L1041" t="b">
        <v>0</v>
      </c>
      <c r="M1041" t="b">
        <v>0</v>
      </c>
      <c r="N1041" t="inlineStr">
        <is>
          <t>ref</t>
        </is>
      </c>
      <c r="O1041" t="n">
        <v>60</v>
      </c>
      <c r="P1041" t="n">
        <v>0.00278</v>
      </c>
      <c r="Q1041" t="n">
        <v>-35</v>
      </c>
      <c r="R1041" t="n">
        <v>0.1305</v>
      </c>
      <c r="S1041">
        <f>IMAGE("https://mitra.stanford.edu/kundaje/oak/projects/neuro-variants/variant_position/credible/roussos_2024/variant_figures/roussos_2024.childhood.GABA/rs9597405_count_position.png",4,220,900)</f>
        <v/>
      </c>
      <c r="T1041">
        <f>IMAGE("https://mitra.stanford.edu/kundaje/oak/projects/neuro-variants/variant_position/credible/roussos_2024/variant_figures/roussos_2024.childhood.GABA/rs9597405_profile_position.png",4,220,900)</f>
        <v/>
      </c>
    </row>
    <row r="1042">
      <c r="A1042" t="inlineStr">
        <is>
          <t>chr13</t>
        </is>
      </c>
      <c r="B1042" t="n">
        <v>56429773</v>
      </c>
      <c r="C1042" t="inlineStr">
        <is>
          <t>C</t>
        </is>
      </c>
      <c r="D1042" t="inlineStr">
        <is>
          <t>G</t>
        </is>
      </c>
      <c r="E1042" t="inlineStr">
        <is>
          <t>rs4885970</t>
        </is>
      </c>
      <c r="F1042" t="n">
        <v>-0.103892953</v>
      </c>
      <c r="G1042" t="n">
        <v>0.0321036018766725</v>
      </c>
      <c r="H1042" t="n">
        <v>0.0260204483610349</v>
      </c>
      <c r="I1042" t="n">
        <v>0.0252710779898466</v>
      </c>
      <c r="J1042" t="n">
        <v>0.0445477581621326</v>
      </c>
      <c r="K1042" t="n">
        <v>0.506508405981975</v>
      </c>
      <c r="L1042" t="b">
        <v>0</v>
      </c>
      <c r="M1042" t="b">
        <v>0</v>
      </c>
      <c r="N1042" t="inlineStr">
        <is>
          <t>ref</t>
        </is>
      </c>
      <c r="O1042" t="n">
        <v>75</v>
      </c>
      <c r="P1042" t="n">
        <v>0.001457</v>
      </c>
      <c r="Q1042" t="n">
        <v>-50</v>
      </c>
      <c r="R1042" t="n">
        <v>0.05988</v>
      </c>
      <c r="S1042">
        <f>IMAGE("https://mitra.stanford.edu/kundaje/oak/projects/neuro-variants/variant_position/credible/roussos_2024/variant_figures/roussos_2024.childhood.GABA/rs4885970_count_position.png",4,220,900)</f>
        <v/>
      </c>
      <c r="T1042">
        <f>IMAGE("https://mitra.stanford.edu/kundaje/oak/projects/neuro-variants/variant_position/credible/roussos_2024/variant_figures/roussos_2024.childhood.GABA/rs4885970_profile_position.png",4,220,900)</f>
        <v/>
      </c>
    </row>
    <row r="1043">
      <c r="A1043" t="inlineStr">
        <is>
          <t>chr13</t>
        </is>
      </c>
      <c r="B1043" t="n">
        <v>56437181</v>
      </c>
      <c r="C1043" t="inlineStr">
        <is>
          <t>C</t>
        </is>
      </c>
      <c r="D1043" t="inlineStr">
        <is>
          <t>A</t>
        </is>
      </c>
      <c r="E1043" t="inlineStr">
        <is>
          <t>rs71428219</t>
        </is>
      </c>
      <c r="F1043" t="n">
        <v>-0.00549181232</v>
      </c>
      <c r="G1043" t="n">
        <v>0.7271355963320527</v>
      </c>
      <c r="H1043" t="n">
        <v>0.0319258507081929</v>
      </c>
      <c r="I1043" t="n">
        <v>0.009513771201080301</v>
      </c>
      <c r="J1043" t="n">
        <v>2.931875772235136e-05</v>
      </c>
      <c r="K1043" t="n">
        <v>0.9971379457503966</v>
      </c>
      <c r="L1043" t="b">
        <v>0</v>
      </c>
      <c r="M1043" t="b">
        <v>0</v>
      </c>
      <c r="N1043" t="inlineStr">
        <is>
          <t>ref</t>
        </is>
      </c>
      <c r="O1043" t="n">
        <v>60</v>
      </c>
      <c r="P1043" t="n">
        <v>0.01323</v>
      </c>
      <c r="Q1043" t="n">
        <v>50</v>
      </c>
      <c r="R1043" t="n">
        <v>0.03412</v>
      </c>
      <c r="S1043">
        <f>IMAGE("https://mitra.stanford.edu/kundaje/oak/projects/neuro-variants/variant_position/credible/roussos_2024/variant_figures/roussos_2024.childhood.GABA/rs71428219_count_position.png",4,220,900)</f>
        <v/>
      </c>
      <c r="T1043">
        <f>IMAGE("https://mitra.stanford.edu/kundaje/oak/projects/neuro-variants/variant_position/credible/roussos_2024/variant_figures/roussos_2024.childhood.GABA/rs71428219_profile_position.png",4,220,900)</f>
        <v/>
      </c>
    </row>
    <row r="1044">
      <c r="A1044" t="inlineStr">
        <is>
          <t>chr13</t>
        </is>
      </c>
      <c r="B1044" t="n">
        <v>56439331</v>
      </c>
      <c r="C1044" t="inlineStr">
        <is>
          <t>C</t>
        </is>
      </c>
      <c r="D1044" t="inlineStr">
        <is>
          <t>T</t>
        </is>
      </c>
      <c r="E1044" t="inlineStr">
        <is>
          <t>rs9597412</t>
        </is>
      </c>
      <c r="F1044" t="n">
        <v>0.00466988272</v>
      </c>
      <c r="G1044" t="n">
        <v>0.7813209635989284</v>
      </c>
      <c r="H1044" t="n">
        <v>0.0233329642732776</v>
      </c>
      <c r="I1044" t="n">
        <v>0.0391270632240698</v>
      </c>
      <c r="J1044" t="n">
        <v>0.0002544449330903</v>
      </c>
      <c r="K1044" t="n">
        <v>0.9574726960937112</v>
      </c>
      <c r="L1044" t="b">
        <v>0</v>
      </c>
      <c r="M1044" t="b">
        <v>0</v>
      </c>
      <c r="N1044" t="inlineStr">
        <is>
          <t>alt</t>
        </is>
      </c>
      <c r="O1044" t="n">
        <v>90</v>
      </c>
      <c r="P1044" t="n">
        <v>0.001968</v>
      </c>
      <c r="Q1044" t="n">
        <v>-70</v>
      </c>
      <c r="R1044" t="n">
        <v>0.04132</v>
      </c>
      <c r="S1044">
        <f>IMAGE("https://mitra.stanford.edu/kundaje/oak/projects/neuro-variants/variant_position/credible/roussos_2024/variant_figures/roussos_2024.childhood.GABA/rs9597412_count_position.png",4,220,900)</f>
        <v/>
      </c>
      <c r="T1044">
        <f>IMAGE("https://mitra.stanford.edu/kundaje/oak/projects/neuro-variants/variant_position/credible/roussos_2024/variant_figures/roussos_2024.childhood.GABA/rs9597412_profile_position.png",4,220,900)</f>
        <v/>
      </c>
    </row>
    <row r="1045">
      <c r="A1045" t="inlineStr">
        <is>
          <t>chr13</t>
        </is>
      </c>
      <c r="B1045" t="n">
        <v>56461901</v>
      </c>
      <c r="C1045" t="inlineStr">
        <is>
          <t>G</t>
        </is>
      </c>
      <c r="D1045" t="inlineStr">
        <is>
          <t>T</t>
        </is>
      </c>
      <c r="E1045" t="inlineStr">
        <is>
          <t>rs12853934</t>
        </is>
      </c>
      <c r="F1045" t="n">
        <v>-0.00370879296</v>
      </c>
      <c r="G1045" t="n">
        <v>0.8451272419448933</v>
      </c>
      <c r="H1045" t="n">
        <v>0.0258846580506988</v>
      </c>
      <c r="I1045" t="n">
        <v>0.0248009928545092</v>
      </c>
      <c r="J1045" t="n">
        <v>0.0001298402127703</v>
      </c>
      <c r="K1045" t="n">
        <v>0.978905702626217</v>
      </c>
      <c r="L1045" t="b">
        <v>0</v>
      </c>
      <c r="M1045" t="b">
        <v>0</v>
      </c>
      <c r="N1045" t="inlineStr">
        <is>
          <t>ref</t>
        </is>
      </c>
      <c r="O1045" t="n">
        <v>-100</v>
      </c>
      <c r="P1045" t="n">
        <v>0.01117</v>
      </c>
      <c r="Q1045" t="n">
        <v>-90</v>
      </c>
      <c r="R1045" t="n">
        <v>0.0185</v>
      </c>
      <c r="S1045">
        <f>IMAGE("https://mitra.stanford.edu/kundaje/oak/projects/neuro-variants/variant_position/credible/roussos_2024/variant_figures/roussos_2024.childhood.GABA/rs12853934_count_position.png",4,220,900)</f>
        <v/>
      </c>
      <c r="T1045">
        <f>IMAGE("https://mitra.stanford.edu/kundaje/oak/projects/neuro-variants/variant_position/credible/roussos_2024/variant_figures/roussos_2024.childhood.GABA/rs12853934_profile_position.png",4,220,900)</f>
        <v/>
      </c>
    </row>
    <row r="1046">
      <c r="A1046" t="inlineStr">
        <is>
          <t>chr13</t>
        </is>
      </c>
      <c r="B1046" t="n">
        <v>56497855</v>
      </c>
      <c r="C1046" t="inlineStr">
        <is>
          <t>T</t>
        </is>
      </c>
      <c r="D1046" t="inlineStr">
        <is>
          <t>C</t>
        </is>
      </c>
      <c r="E1046" t="inlineStr">
        <is>
          <t>rs13378557</t>
        </is>
      </c>
      <c r="F1046" t="n">
        <v>-0.0447159965999999</v>
      </c>
      <c r="G1046" t="n">
        <v>0.1736579082284974</v>
      </c>
      <c r="H1046" t="n">
        <v>0.0201489826907911</v>
      </c>
      <c r="I1046" t="n">
        <v>0.0730085626462709</v>
      </c>
      <c r="J1046" t="n">
        <v>0.0146614730581558</v>
      </c>
      <c r="K1046" t="n">
        <v>0.7095930573224186</v>
      </c>
      <c r="L1046" t="b">
        <v>0</v>
      </c>
      <c r="M1046" t="b">
        <v>0</v>
      </c>
      <c r="N1046" t="inlineStr">
        <is>
          <t>ref</t>
        </is>
      </c>
      <c r="O1046" t="n">
        <v>-65</v>
      </c>
      <c r="P1046" t="n">
        <v>0.001377</v>
      </c>
      <c r="Q1046" t="n">
        <v>-65</v>
      </c>
      <c r="R1046" t="n">
        <v>0.0696</v>
      </c>
      <c r="S1046">
        <f>IMAGE("https://mitra.stanford.edu/kundaje/oak/projects/neuro-variants/variant_position/credible/roussos_2024/variant_figures/roussos_2024.childhood.GABA/rs13378557_count_position.png",4,220,900)</f>
        <v/>
      </c>
      <c r="T1046">
        <f>IMAGE("https://mitra.stanford.edu/kundaje/oak/projects/neuro-variants/variant_position/credible/roussos_2024/variant_figures/roussos_2024.childhood.GABA/rs13378557_profile_position.png",4,220,900)</f>
        <v/>
      </c>
    </row>
    <row r="1047">
      <c r="A1047" t="inlineStr">
        <is>
          <t>chr13</t>
        </is>
      </c>
      <c r="B1047" t="n">
        <v>56500393</v>
      </c>
      <c r="C1047" t="inlineStr">
        <is>
          <t>A</t>
        </is>
      </c>
      <c r="D1047" t="inlineStr">
        <is>
          <t>T</t>
        </is>
      </c>
      <c r="E1047" t="inlineStr">
        <is>
          <t>rs12874445</t>
        </is>
      </c>
      <c r="F1047" t="n">
        <v>-0.0007660136539999999</v>
      </c>
      <c r="G1047" t="n">
        <v>0.8532083641219415</v>
      </c>
      <c r="H1047" t="n">
        <v>0.0253456794858106</v>
      </c>
      <c r="I1047" t="n">
        <v>0.0276315562360772</v>
      </c>
      <c r="J1047" t="n">
        <v>0.0131965822705283</v>
      </c>
      <c r="K1047" t="n">
        <v>0.7103552418702136</v>
      </c>
      <c r="L1047" t="b">
        <v>0</v>
      </c>
      <c r="M1047" t="b">
        <v>0</v>
      </c>
      <c r="N1047" t="inlineStr">
        <is>
          <t>ref</t>
        </is>
      </c>
      <c r="O1047" t="n">
        <v>-100</v>
      </c>
      <c r="P1047" t="n">
        <v>0.002289</v>
      </c>
      <c r="Q1047" t="n">
        <v>10</v>
      </c>
      <c r="R1047" t="n">
        <v>0.01752</v>
      </c>
      <c r="S1047">
        <f>IMAGE("https://mitra.stanford.edu/kundaje/oak/projects/neuro-variants/variant_position/credible/roussos_2024/variant_figures/roussos_2024.childhood.GABA/rs12874445_count_position.png",4,220,900)</f>
        <v/>
      </c>
      <c r="T1047">
        <f>IMAGE("https://mitra.stanford.edu/kundaje/oak/projects/neuro-variants/variant_position/credible/roussos_2024/variant_figures/roussos_2024.childhood.GABA/rs12874445_profile_position.png",4,220,900)</f>
        <v/>
      </c>
    </row>
    <row r="1048">
      <c r="A1048" t="inlineStr">
        <is>
          <t>chr13</t>
        </is>
      </c>
      <c r="B1048" t="n">
        <v>56514323</v>
      </c>
      <c r="C1048" t="inlineStr">
        <is>
          <t>A</t>
        </is>
      </c>
      <c r="D1048" t="inlineStr">
        <is>
          <t>C</t>
        </is>
      </c>
      <c r="E1048" t="inlineStr">
        <is>
          <t>rs1341548</t>
        </is>
      </c>
      <c r="F1048" t="n">
        <v>-0.008142917079999999</v>
      </c>
      <c r="G1048" t="n">
        <v>0.6653131052012624</v>
      </c>
      <c r="H1048" t="n">
        <v>0.0281111154437702</v>
      </c>
      <c r="I1048" t="n">
        <v>0.0167462928095818</v>
      </c>
      <c r="J1048" t="n">
        <v>0.0066804883667357</v>
      </c>
      <c r="K1048" t="n">
        <v>0.7996960395557096</v>
      </c>
      <c r="L1048" t="b">
        <v>0</v>
      </c>
      <c r="M1048" t="b">
        <v>0</v>
      </c>
      <c r="N1048" t="inlineStr">
        <is>
          <t>ref</t>
        </is>
      </c>
      <c r="O1048" t="n">
        <v>10</v>
      </c>
      <c r="P1048" t="n">
        <v>0.00058</v>
      </c>
      <c r="Q1048" t="n">
        <v>100</v>
      </c>
      <c r="R1048" t="n">
        <v>0.06383999999999999</v>
      </c>
      <c r="S1048">
        <f>IMAGE("https://mitra.stanford.edu/kundaje/oak/projects/neuro-variants/variant_position/credible/roussos_2024/variant_figures/roussos_2024.childhood.GABA/rs1341548_count_position.png",4,220,900)</f>
        <v/>
      </c>
      <c r="T1048">
        <f>IMAGE("https://mitra.stanford.edu/kundaje/oak/projects/neuro-variants/variant_position/credible/roussos_2024/variant_figures/roussos_2024.childhood.GABA/rs1341548_profile_position.png",4,220,900)</f>
        <v/>
      </c>
    </row>
    <row r="1049">
      <c r="A1049" t="inlineStr">
        <is>
          <t>chr13</t>
        </is>
      </c>
      <c r="B1049" t="n">
        <v>57898128</v>
      </c>
      <c r="C1049" t="inlineStr">
        <is>
          <t>A</t>
        </is>
      </c>
      <c r="D1049" t="inlineStr">
        <is>
          <t>C</t>
        </is>
      </c>
      <c r="E1049" t="inlineStr">
        <is>
          <t>rs34927497</t>
        </is>
      </c>
      <c r="F1049" t="n">
        <v>-0.0018233778719999</v>
      </c>
      <c r="G1049" t="n">
        <v>0.8958299575079659</v>
      </c>
      <c r="H1049" t="n">
        <v>0.0193216099300445</v>
      </c>
      <c r="I1049" t="n">
        <v>0.08560497574228181</v>
      </c>
      <c r="J1049" t="n">
        <v>0.0044857699315197</v>
      </c>
      <c r="K1049" t="n">
        <v>0.8354314775060143</v>
      </c>
      <c r="L1049" t="b">
        <v>0</v>
      </c>
      <c r="M1049" t="b">
        <v>0</v>
      </c>
      <c r="N1049" t="inlineStr">
        <is>
          <t>ref</t>
        </is>
      </c>
      <c r="O1049" t="n">
        <v>-70</v>
      </c>
      <c r="P1049" t="n">
        <v>0.0493</v>
      </c>
      <c r="Q1049" t="n">
        <v>95</v>
      </c>
      <c r="R1049" t="n">
        <v>0.1698</v>
      </c>
      <c r="S1049">
        <f>IMAGE("https://mitra.stanford.edu/kundaje/oak/projects/neuro-variants/variant_position/credible/roussos_2024/variant_figures/roussos_2024.childhood.GABA/rs34927497_count_position.png",4,220,900)</f>
        <v/>
      </c>
      <c r="T1049">
        <f>IMAGE("https://mitra.stanford.edu/kundaje/oak/projects/neuro-variants/variant_position/credible/roussos_2024/variant_figures/roussos_2024.childhood.GABA/rs34927497_profile_position.png",4,220,900)</f>
        <v/>
      </c>
    </row>
    <row r="1050">
      <c r="A1050" t="inlineStr">
        <is>
          <t>chr13</t>
        </is>
      </c>
      <c r="B1050" t="n">
        <v>57972643</v>
      </c>
      <c r="C1050" t="inlineStr">
        <is>
          <t>A</t>
        </is>
      </c>
      <c r="D1050" t="inlineStr">
        <is>
          <t>G</t>
        </is>
      </c>
      <c r="E1050" t="inlineStr">
        <is>
          <t>rs9563564</t>
        </is>
      </c>
      <c r="F1050" t="n">
        <v>-0.0282181087999999</v>
      </c>
      <c r="G1050" t="n">
        <v>0.3242773078437644</v>
      </c>
      <c r="H1050" t="n">
        <v>0.0282861785898044</v>
      </c>
      <c r="I1050" t="n">
        <v>0.0163588673272078</v>
      </c>
      <c r="J1050" t="n">
        <v>0.0393698561286674</v>
      </c>
      <c r="K1050" t="n">
        <v>0.5593615212104227</v>
      </c>
      <c r="L1050" t="b">
        <v>1</v>
      </c>
      <c r="M1050" t="b">
        <v>0</v>
      </c>
      <c r="N1050" t="inlineStr">
        <is>
          <t>ref</t>
        </is>
      </c>
      <c r="O1050" t="n">
        <v>-55</v>
      </c>
      <c r="P1050" t="n">
        <v>0.001854</v>
      </c>
      <c r="Q1050" t="n">
        <v>-90</v>
      </c>
      <c r="R1050" t="n">
        <v>0.1345</v>
      </c>
      <c r="S1050">
        <f>IMAGE("https://mitra.stanford.edu/kundaje/oak/projects/neuro-variants/variant_position/credible/roussos_2024/variant_figures/roussos_2024.childhood.GABA/rs9563564_count_position.png",4,220,900)</f>
        <v/>
      </c>
      <c r="T1050">
        <f>IMAGE("https://mitra.stanford.edu/kundaje/oak/projects/neuro-variants/variant_position/credible/roussos_2024/variant_figures/roussos_2024.childhood.GABA/rs9563564_profile_position.png",4,220,900)</f>
        <v/>
      </c>
    </row>
    <row r="1051">
      <c r="A1051" t="inlineStr">
        <is>
          <t>chr13</t>
        </is>
      </c>
      <c r="B1051" t="n">
        <v>57978174</v>
      </c>
      <c r="C1051" t="inlineStr">
        <is>
          <t>A</t>
        </is>
      </c>
      <c r="D1051" t="inlineStr">
        <is>
          <t>G</t>
        </is>
      </c>
      <c r="E1051" t="inlineStr">
        <is>
          <t>rs9569791</t>
        </is>
      </c>
      <c r="F1051" t="n">
        <v>0.0196466526</v>
      </c>
      <c r="G1051" t="n">
        <v>0.4406017359434535</v>
      </c>
      <c r="H1051" t="n">
        <v>0.0113871768484271</v>
      </c>
      <c r="I1051" t="n">
        <v>0.5003055900471071</v>
      </c>
      <c r="J1051" t="n">
        <v>0.0051360180938618</v>
      </c>
      <c r="K1051" t="n">
        <v>0.8232522061715858</v>
      </c>
      <c r="L1051" t="b">
        <v>0</v>
      </c>
      <c r="M1051" t="b">
        <v>0</v>
      </c>
      <c r="N1051" t="inlineStr">
        <is>
          <t>alt</t>
        </is>
      </c>
      <c r="O1051" t="n">
        <v>75</v>
      </c>
      <c r="P1051" t="n">
        <v>0.003521</v>
      </c>
      <c r="Q1051" t="n">
        <v>45</v>
      </c>
      <c r="R1051" t="n">
        <v>0.058</v>
      </c>
      <c r="S1051">
        <f>IMAGE("https://mitra.stanford.edu/kundaje/oak/projects/neuro-variants/variant_position/credible/roussos_2024/variant_figures/roussos_2024.childhood.GABA/rs9569791_count_position.png",4,220,900)</f>
        <v/>
      </c>
      <c r="T1051">
        <f>IMAGE("https://mitra.stanford.edu/kundaje/oak/projects/neuro-variants/variant_position/credible/roussos_2024/variant_figures/roussos_2024.childhood.GABA/rs9569791_profile_position.png",4,220,900)</f>
        <v/>
      </c>
    </row>
    <row r="1052">
      <c r="A1052" t="inlineStr">
        <is>
          <t>chr13</t>
        </is>
      </c>
      <c r="B1052" t="n">
        <v>57983580</v>
      </c>
      <c r="C1052" t="inlineStr">
        <is>
          <t>G</t>
        </is>
      </c>
      <c r="D1052" t="inlineStr">
        <is>
          <t>A</t>
        </is>
      </c>
      <c r="E1052" t="inlineStr">
        <is>
          <t>rs9569794</t>
        </is>
      </c>
      <c r="F1052" t="n">
        <v>-0.135376612</v>
      </c>
      <c r="G1052" t="n">
        <v>0.013313228580195</v>
      </c>
      <c r="H1052" t="n">
        <v>0.0176372551273078</v>
      </c>
      <c r="I1052" t="n">
        <v>0.1235106137669072</v>
      </c>
      <c r="J1052" t="n">
        <v>0.000512031161651</v>
      </c>
      <c r="K1052" t="n">
        <v>0.9359976110545022</v>
      </c>
      <c r="L1052" t="b">
        <v>1</v>
      </c>
      <c r="M1052" t="b">
        <v>0</v>
      </c>
      <c r="N1052" t="inlineStr">
        <is>
          <t>ref</t>
        </is>
      </c>
      <c r="O1052" t="n">
        <v>100</v>
      </c>
      <c r="P1052" t="n">
        <v>0.02386</v>
      </c>
      <c r="Q1052" t="n">
        <v>-20</v>
      </c>
      <c r="R1052" t="n">
        <v>0.015076</v>
      </c>
      <c r="S1052">
        <f>IMAGE("https://mitra.stanford.edu/kundaje/oak/projects/neuro-variants/variant_position/credible/roussos_2024/variant_figures/roussos_2024.childhood.GABA/rs9569794_count_position.png",4,220,900)</f>
        <v/>
      </c>
      <c r="T1052">
        <f>IMAGE("https://mitra.stanford.edu/kundaje/oak/projects/neuro-variants/variant_position/credible/roussos_2024/variant_figures/roussos_2024.childhood.GABA/rs9569794_profile_position.png",4,220,900)</f>
        <v/>
      </c>
    </row>
    <row r="1053">
      <c r="A1053" t="inlineStr">
        <is>
          <t>chr13</t>
        </is>
      </c>
      <c r="B1053" t="n">
        <v>58011963</v>
      </c>
      <c r="C1053" t="inlineStr">
        <is>
          <t>G</t>
        </is>
      </c>
      <c r="D1053" t="inlineStr">
        <is>
          <t>T</t>
        </is>
      </c>
      <c r="E1053" t="inlineStr">
        <is>
          <t>rs9316967</t>
        </is>
      </c>
      <c r="F1053" t="n">
        <v>0.0068821073799999</v>
      </c>
      <c r="G1053" t="n">
        <v>0.5351697356610785</v>
      </c>
      <c r="H1053" t="n">
        <v>0.0110212913573958</v>
      </c>
      <c r="I1053" t="n">
        <v>0.5355401411141346</v>
      </c>
      <c r="J1053" t="n">
        <v>0.0351018826830851</v>
      </c>
      <c r="K1053" t="n">
        <v>0.554719608160533</v>
      </c>
      <c r="L1053" t="b">
        <v>0</v>
      </c>
      <c r="M1053" t="b">
        <v>0</v>
      </c>
      <c r="N1053" t="inlineStr">
        <is>
          <t>alt</t>
        </is>
      </c>
      <c r="O1053" t="n">
        <v>50</v>
      </c>
      <c r="P1053" t="n">
        <v>0.00711</v>
      </c>
      <c r="Q1053" t="n">
        <v>-75</v>
      </c>
      <c r="R1053" t="n">
        <v>0.1057</v>
      </c>
      <c r="S1053">
        <f>IMAGE("https://mitra.stanford.edu/kundaje/oak/projects/neuro-variants/variant_position/credible/roussos_2024/variant_figures/roussos_2024.childhood.GABA/rs9316967_count_position.png",4,220,900)</f>
        <v/>
      </c>
      <c r="T1053">
        <f>IMAGE("https://mitra.stanford.edu/kundaje/oak/projects/neuro-variants/variant_position/credible/roussos_2024/variant_figures/roussos_2024.childhood.GABA/rs9316967_profile_position.png",4,220,900)</f>
        <v/>
      </c>
    </row>
    <row r="1054">
      <c r="A1054" t="inlineStr">
        <is>
          <t>chr13</t>
        </is>
      </c>
      <c r="B1054" t="n">
        <v>58042891</v>
      </c>
      <c r="C1054" t="inlineStr">
        <is>
          <t>A</t>
        </is>
      </c>
      <c r="D1054" t="inlineStr">
        <is>
          <t>G</t>
        </is>
      </c>
      <c r="E1054" t="inlineStr">
        <is>
          <t>rs9634882</t>
        </is>
      </c>
      <c r="F1054" t="n">
        <v>0.1042854242</v>
      </c>
      <c r="G1054" t="n">
        <v>0.0269168324266976</v>
      </c>
      <c r="H1054" t="n">
        <v>0.0173558470520181</v>
      </c>
      <c r="I1054" t="n">
        <v>0.1310391400131067</v>
      </c>
      <c r="J1054" t="n">
        <v>0.008659504512994401</v>
      </c>
      <c r="K1054" t="n">
        <v>0.7722400254069396</v>
      </c>
      <c r="L1054" t="b">
        <v>0</v>
      </c>
      <c r="M1054" t="b">
        <v>0</v>
      </c>
      <c r="N1054" t="inlineStr">
        <is>
          <t>alt</t>
        </is>
      </c>
      <c r="O1054" t="n">
        <v>-25</v>
      </c>
      <c r="P1054" t="n">
        <v>0.003738</v>
      </c>
      <c r="Q1054" t="n">
        <v>35</v>
      </c>
      <c r="R1054" t="n">
        <v>0.00708</v>
      </c>
      <c r="S1054">
        <f>IMAGE("https://mitra.stanford.edu/kundaje/oak/projects/neuro-variants/variant_position/credible/roussos_2024/variant_figures/roussos_2024.childhood.GABA/rs9634882_count_position.png",4,220,900)</f>
        <v/>
      </c>
      <c r="T1054">
        <f>IMAGE("https://mitra.stanford.edu/kundaje/oak/projects/neuro-variants/variant_position/credible/roussos_2024/variant_figures/roussos_2024.childhood.GABA/rs9634882_profile_position.png",4,220,900)</f>
        <v/>
      </c>
    </row>
    <row r="1055">
      <c r="A1055" t="inlineStr">
        <is>
          <t>chr13</t>
        </is>
      </c>
      <c r="B1055" t="n">
        <v>58052335</v>
      </c>
      <c r="C1055" t="inlineStr">
        <is>
          <t>A</t>
        </is>
      </c>
      <c r="D1055" t="inlineStr">
        <is>
          <t>G</t>
        </is>
      </c>
      <c r="E1055" t="inlineStr">
        <is>
          <t>rs11148423</t>
        </is>
      </c>
      <c r="F1055" t="n">
        <v>0.120396167</v>
      </c>
      <c r="G1055" t="n">
        <v>0.0186017146913063</v>
      </c>
      <c r="H1055" t="n">
        <v>0.0175865887165081</v>
      </c>
      <c r="I1055" t="n">
        <v>0.1244130871675798</v>
      </c>
      <c r="J1055" t="n">
        <v>0.1234361584050595</v>
      </c>
      <c r="K1055" t="n">
        <v>0.3233992886686156</v>
      </c>
      <c r="L1055" t="b">
        <v>1</v>
      </c>
      <c r="M1055" t="b">
        <v>0</v>
      </c>
      <c r="N1055" t="inlineStr">
        <is>
          <t>alt</t>
        </is>
      </c>
      <c r="O1055" t="n">
        <v>75</v>
      </c>
      <c r="P1055" t="n">
        <v>0.006653</v>
      </c>
      <c r="Q1055" t="n">
        <v>100</v>
      </c>
      <c r="R1055" t="n">
        <v>0.01135</v>
      </c>
      <c r="S1055">
        <f>IMAGE("https://mitra.stanford.edu/kundaje/oak/projects/neuro-variants/variant_position/credible/roussos_2024/variant_figures/roussos_2024.childhood.GABA/rs11148423_count_position.png",4,220,900)</f>
        <v/>
      </c>
      <c r="T1055">
        <f>IMAGE("https://mitra.stanford.edu/kundaje/oak/projects/neuro-variants/variant_position/credible/roussos_2024/variant_figures/roussos_2024.childhood.GABA/rs11148423_profile_position.png",4,220,900)</f>
        <v/>
      </c>
    </row>
    <row r="1056">
      <c r="A1056" t="inlineStr">
        <is>
          <t>chr13</t>
        </is>
      </c>
      <c r="B1056" t="n">
        <v>58057801</v>
      </c>
      <c r="C1056" t="inlineStr">
        <is>
          <t>T</t>
        </is>
      </c>
      <c r="D1056" t="inlineStr">
        <is>
          <t>C</t>
        </is>
      </c>
      <c r="E1056" t="inlineStr">
        <is>
          <t>rs7998206</t>
        </is>
      </c>
      <c r="F1056" t="n">
        <v>-0.092304733</v>
      </c>
      <c r="G1056" t="n">
        <v>0.051573742343681</v>
      </c>
      <c r="H1056" t="n">
        <v>0.0300007710571019</v>
      </c>
      <c r="I1056" t="n">
        <v>0.0132782748639964</v>
      </c>
      <c r="J1056" t="n">
        <v>0.0021685409729638</v>
      </c>
      <c r="K1056" t="n">
        <v>0.8884582498722348</v>
      </c>
      <c r="L1056" t="b">
        <v>0</v>
      </c>
      <c r="M1056" t="b">
        <v>0</v>
      </c>
      <c r="N1056" t="inlineStr">
        <is>
          <t>ref</t>
        </is>
      </c>
      <c r="O1056" t="n">
        <v>-45</v>
      </c>
      <c r="P1056" t="n">
        <v>0.002396</v>
      </c>
      <c r="Q1056" t="n">
        <v>70</v>
      </c>
      <c r="R1056" t="n">
        <v>0.05402</v>
      </c>
      <c r="S1056">
        <f>IMAGE("https://mitra.stanford.edu/kundaje/oak/projects/neuro-variants/variant_position/credible/roussos_2024/variant_figures/roussos_2024.childhood.GABA/rs7998206_count_position.png",4,220,900)</f>
        <v/>
      </c>
      <c r="T1056">
        <f>IMAGE("https://mitra.stanford.edu/kundaje/oak/projects/neuro-variants/variant_position/credible/roussos_2024/variant_figures/roussos_2024.childhood.GABA/rs7998206_profile_position.png",4,220,900)</f>
        <v/>
      </c>
    </row>
    <row r="1057">
      <c r="A1057" t="inlineStr">
        <is>
          <t>chr13</t>
        </is>
      </c>
      <c r="B1057" t="n">
        <v>58082465</v>
      </c>
      <c r="C1057" t="inlineStr">
        <is>
          <t>T</t>
        </is>
      </c>
      <c r="D1057" t="inlineStr">
        <is>
          <t>C</t>
        </is>
      </c>
      <c r="E1057" t="inlineStr">
        <is>
          <t>rs9563574</t>
        </is>
      </c>
      <c r="F1057" t="n">
        <v>0.0427485539999999</v>
      </c>
      <c r="G1057" t="n">
        <v>0.1743372225184917</v>
      </c>
      <c r="H1057" t="n">
        <v>0.0109736710951015</v>
      </c>
      <c r="I1057" t="n">
        <v>0.5373894059464642</v>
      </c>
      <c r="J1057" t="n">
        <v>0.0019622625704173</v>
      </c>
      <c r="K1057" t="n">
        <v>0.8784783520191586</v>
      </c>
      <c r="L1057" t="b">
        <v>0</v>
      </c>
      <c r="M1057" t="b">
        <v>0</v>
      </c>
      <c r="N1057" t="inlineStr">
        <is>
          <t>alt</t>
        </is>
      </c>
      <c r="O1057" t="n">
        <v>-80</v>
      </c>
      <c r="P1057" t="n">
        <v>0.003021</v>
      </c>
      <c r="Q1057" t="n">
        <v>-10</v>
      </c>
      <c r="R1057" t="n">
        <v>0.003021</v>
      </c>
      <c r="S1057">
        <f>IMAGE("https://mitra.stanford.edu/kundaje/oak/projects/neuro-variants/variant_position/credible/roussos_2024/variant_figures/roussos_2024.childhood.GABA/rs9563574_count_position.png",4,220,900)</f>
        <v/>
      </c>
      <c r="T1057">
        <f>IMAGE("https://mitra.stanford.edu/kundaje/oak/projects/neuro-variants/variant_position/credible/roussos_2024/variant_figures/roussos_2024.childhood.GABA/rs9563574_profile_position.png",4,220,900)</f>
        <v/>
      </c>
    </row>
    <row r="1058">
      <c r="A1058" t="inlineStr">
        <is>
          <t>chr13</t>
        </is>
      </c>
      <c r="B1058" t="n">
        <v>58092895</v>
      </c>
      <c r="C1058" t="inlineStr">
        <is>
          <t>A</t>
        </is>
      </c>
      <c r="D1058" t="inlineStr">
        <is>
          <t>C</t>
        </is>
      </c>
      <c r="E1058" t="inlineStr">
        <is>
          <t>rs9569815</t>
        </is>
      </c>
      <c r="F1058" t="n">
        <v>-0.01245587968</v>
      </c>
      <c r="G1058" t="n">
        <v>0.5996284968979111</v>
      </c>
      <c r="H1058" t="n">
        <v>0.0360898677183042</v>
      </c>
      <c r="I1058" t="n">
        <v>0.0056893239659322</v>
      </c>
      <c r="J1058" t="n">
        <v>0.0046229398337207</v>
      </c>
      <c r="K1058" t="n">
        <v>0.8196097240536958</v>
      </c>
      <c r="L1058" t="b">
        <v>0</v>
      </c>
      <c r="M1058" t="b">
        <v>0</v>
      </c>
      <c r="N1058" t="inlineStr">
        <is>
          <t>ref</t>
        </is>
      </c>
      <c r="O1058" t="n">
        <v>100</v>
      </c>
      <c r="P1058" t="n">
        <v>0.003584</v>
      </c>
      <c r="Q1058" t="n">
        <v>-35</v>
      </c>
      <c r="R1058" t="n">
        <v>0.05505</v>
      </c>
      <c r="S1058">
        <f>IMAGE("https://mitra.stanford.edu/kundaje/oak/projects/neuro-variants/variant_position/credible/roussos_2024/variant_figures/roussos_2024.childhood.GABA/rs9569815_count_position.png",4,220,900)</f>
        <v/>
      </c>
      <c r="T1058">
        <f>IMAGE("https://mitra.stanford.edu/kundaje/oak/projects/neuro-variants/variant_position/credible/roussos_2024/variant_figures/roussos_2024.childhood.GABA/rs9569815_profile_position.png",4,220,900)</f>
        <v/>
      </c>
    </row>
    <row r="1059">
      <c r="A1059" t="inlineStr">
        <is>
          <t>chr13</t>
        </is>
      </c>
      <c r="B1059" t="n">
        <v>58103245</v>
      </c>
      <c r="C1059" t="inlineStr">
        <is>
          <t>T</t>
        </is>
      </c>
      <c r="D1059" t="inlineStr">
        <is>
          <t>C</t>
        </is>
      </c>
      <c r="E1059" t="inlineStr">
        <is>
          <t>rs34723208</t>
        </is>
      </c>
      <c r="F1059" t="n">
        <v>-0.0008009275399999</v>
      </c>
      <c r="G1059" t="n">
        <v>0.8673030248464624</v>
      </c>
      <c r="H1059" t="n">
        <v>0.0232264162992787</v>
      </c>
      <c r="I1059" t="n">
        <v>0.0392173919531253</v>
      </c>
      <c r="J1059" t="n">
        <v>0.0033255848045066</v>
      </c>
      <c r="K1059" t="n">
        <v>0.8493860657220134</v>
      </c>
      <c r="L1059" t="b">
        <v>0</v>
      </c>
      <c r="M1059" t="b">
        <v>0</v>
      </c>
      <c r="N1059" t="inlineStr">
        <is>
          <t>ref</t>
        </is>
      </c>
      <c r="O1059" t="n">
        <v>85</v>
      </c>
      <c r="P1059" t="n">
        <v>0.008189999999999999</v>
      </c>
      <c r="Q1059" t="n">
        <v>85</v>
      </c>
      <c r="R1059" t="n">
        <v>0.09093999999999999</v>
      </c>
      <c r="S1059">
        <f>IMAGE("https://mitra.stanford.edu/kundaje/oak/projects/neuro-variants/variant_position/credible/roussos_2024/variant_figures/roussos_2024.childhood.GABA/rs34723208_count_position.png",4,220,900)</f>
        <v/>
      </c>
      <c r="T1059">
        <f>IMAGE("https://mitra.stanford.edu/kundaje/oak/projects/neuro-variants/variant_position/credible/roussos_2024/variant_figures/roussos_2024.childhood.GABA/rs34723208_profile_position.png",4,220,900)</f>
        <v/>
      </c>
    </row>
    <row r="1060">
      <c r="A1060" t="inlineStr">
        <is>
          <t>chr13</t>
        </is>
      </c>
      <c r="B1060" t="n">
        <v>58108334</v>
      </c>
      <c r="C1060" t="inlineStr">
        <is>
          <t>A</t>
        </is>
      </c>
      <c r="D1060" t="inlineStr">
        <is>
          <t>C</t>
        </is>
      </c>
      <c r="E1060" t="inlineStr">
        <is>
          <t>rs7989885</t>
        </is>
      </c>
      <c r="F1060" t="n">
        <v>0.00259927086</v>
      </c>
      <c r="G1060" t="n">
        <v>0.7738228095766038</v>
      </c>
      <c r="H1060" t="n">
        <v>0.0239105874056872</v>
      </c>
      <c r="I1060" t="n">
        <v>0.0357319970448165</v>
      </c>
      <c r="J1060" t="n">
        <v>0.0556302485811815</v>
      </c>
      <c r="K1060" t="n">
        <v>0.467065232745305</v>
      </c>
      <c r="L1060" t="b">
        <v>0</v>
      </c>
      <c r="M1060" t="b">
        <v>0</v>
      </c>
      <c r="N1060" t="inlineStr">
        <is>
          <t>alt</t>
        </is>
      </c>
      <c r="O1060" t="n">
        <v>-20</v>
      </c>
      <c r="P1060" t="n">
        <v>0.00264</v>
      </c>
      <c r="Q1060" t="n">
        <v>-95</v>
      </c>
      <c r="R1060" t="n">
        <v>0.1691</v>
      </c>
      <c r="S1060">
        <f>IMAGE("https://mitra.stanford.edu/kundaje/oak/projects/neuro-variants/variant_position/credible/roussos_2024/variant_figures/roussos_2024.childhood.GABA/rs7989885_count_position.png",4,220,900)</f>
        <v/>
      </c>
      <c r="T1060">
        <f>IMAGE("https://mitra.stanford.edu/kundaje/oak/projects/neuro-variants/variant_position/credible/roussos_2024/variant_figures/roussos_2024.childhood.GABA/rs7989885_profile_position.png",4,220,900)</f>
        <v/>
      </c>
    </row>
    <row r="1061">
      <c r="A1061" t="inlineStr">
        <is>
          <t>chr13</t>
        </is>
      </c>
      <c r="B1061" t="n">
        <v>58166221</v>
      </c>
      <c r="C1061" t="inlineStr">
        <is>
          <t>A</t>
        </is>
      </c>
      <c r="D1061" t="inlineStr">
        <is>
          <t>C</t>
        </is>
      </c>
      <c r="E1061" t="inlineStr">
        <is>
          <t>rs4886061</t>
        </is>
      </c>
      <c r="F1061" t="n">
        <v>-0.00548604694</v>
      </c>
      <c r="G1061" t="n">
        <v>0.765239591470805</v>
      </c>
      <c r="H1061" t="n">
        <v>0.0255233227495852</v>
      </c>
      <c r="I1061" t="n">
        <v>0.0263311541030581</v>
      </c>
      <c r="J1061" t="n">
        <v>0.2902180059056354</v>
      </c>
      <c r="K1061" t="n">
        <v>0.1405670212310339</v>
      </c>
      <c r="L1061" t="b">
        <v>0</v>
      </c>
      <c r="M1061" t="b">
        <v>0</v>
      </c>
      <c r="N1061" t="inlineStr">
        <is>
          <t>ref</t>
        </is>
      </c>
      <c r="O1061" t="n">
        <v>-100</v>
      </c>
      <c r="P1061" t="n">
        <v>0.011215</v>
      </c>
      <c r="Q1061" t="n">
        <v>5</v>
      </c>
      <c r="R1061" t="n">
        <v>0.009766</v>
      </c>
      <c r="S1061">
        <f>IMAGE("https://mitra.stanford.edu/kundaje/oak/projects/neuro-variants/variant_position/credible/roussos_2024/variant_figures/roussos_2024.childhood.GABA/rs4886061_count_position.png",4,220,900)</f>
        <v/>
      </c>
      <c r="T1061">
        <f>IMAGE("https://mitra.stanford.edu/kundaje/oak/projects/neuro-variants/variant_position/credible/roussos_2024/variant_figures/roussos_2024.childhood.GABA/rs4886061_profile_position.png",4,220,900)</f>
        <v/>
      </c>
    </row>
    <row r="1062">
      <c r="A1062" t="inlineStr">
        <is>
          <t>chr13</t>
        </is>
      </c>
      <c r="B1062" t="n">
        <v>58166222</v>
      </c>
      <c r="C1062" t="inlineStr">
        <is>
          <t>A</t>
        </is>
      </c>
      <c r="D1062" t="inlineStr">
        <is>
          <t>C</t>
        </is>
      </c>
      <c r="E1062" t="inlineStr">
        <is>
          <t>rs66514580</t>
        </is>
      </c>
      <c r="F1062" t="n">
        <v>0.00114793372</v>
      </c>
      <c r="G1062" t="n">
        <v>0.6845813031878806</v>
      </c>
      <c r="H1062" t="n">
        <v>0.0216953228621309</v>
      </c>
      <c r="I1062" t="n">
        <v>0.0539899930209835</v>
      </c>
      <c r="J1062" t="n">
        <v>0.2917478167996482</v>
      </c>
      <c r="K1062" t="n">
        <v>0.1396920508118661</v>
      </c>
      <c r="L1062" t="b">
        <v>0</v>
      </c>
      <c r="M1062" t="b">
        <v>0</v>
      </c>
      <c r="N1062" t="inlineStr">
        <is>
          <t>alt</t>
        </is>
      </c>
      <c r="O1062" t="n">
        <v>-100</v>
      </c>
      <c r="P1062" t="n">
        <v>0.01541</v>
      </c>
      <c r="Q1062" t="n">
        <v>-10</v>
      </c>
      <c r="R1062" t="n">
        <v>0.006104</v>
      </c>
      <c r="S1062">
        <f>IMAGE("https://mitra.stanford.edu/kundaje/oak/projects/neuro-variants/variant_position/credible/roussos_2024/variant_figures/roussos_2024.childhood.GABA/rs66514580_count_position.png",4,220,900)</f>
        <v/>
      </c>
      <c r="T1062">
        <f>IMAGE("https://mitra.stanford.edu/kundaje/oak/projects/neuro-variants/variant_position/credible/roussos_2024/variant_figures/roussos_2024.childhood.GABA/rs66514580_profile_position.png",4,220,900)</f>
        <v/>
      </c>
    </row>
    <row r="1063">
      <c r="A1063" t="inlineStr">
        <is>
          <t>chr13</t>
        </is>
      </c>
      <c r="B1063" t="n">
        <v>58246923</v>
      </c>
      <c r="C1063" t="inlineStr">
        <is>
          <t>T</t>
        </is>
      </c>
      <c r="D1063" t="inlineStr">
        <is>
          <t>G</t>
        </is>
      </c>
      <c r="E1063" t="inlineStr">
        <is>
          <t>rs4884299</t>
        </is>
      </c>
      <c r="F1063" t="n">
        <v>0.0430812149999999</v>
      </c>
      <c r="G1063" t="n">
        <v>0.1941749911213114</v>
      </c>
      <c r="H1063" t="n">
        <v>0.0164167953184451</v>
      </c>
      <c r="I1063" t="n">
        <v>0.1639824339753324</v>
      </c>
      <c r="J1063" t="n">
        <v>0.007978890494439801</v>
      </c>
      <c r="K1063" t="n">
        <v>0.7665121013424138</v>
      </c>
      <c r="L1063" t="b">
        <v>0</v>
      </c>
      <c r="M1063" t="b">
        <v>0</v>
      </c>
      <c r="N1063" t="inlineStr">
        <is>
          <t>alt</t>
        </is>
      </c>
      <c r="O1063" t="n">
        <v>40</v>
      </c>
      <c r="P1063" t="n">
        <v>0.001596</v>
      </c>
      <c r="Q1063" t="n">
        <v>100</v>
      </c>
      <c r="R1063" t="n">
        <v>0.08210000000000001</v>
      </c>
      <c r="S1063">
        <f>IMAGE("https://mitra.stanford.edu/kundaje/oak/projects/neuro-variants/variant_position/credible/roussos_2024/variant_figures/roussos_2024.childhood.GABA/rs4884299_count_position.png",4,220,900)</f>
        <v/>
      </c>
      <c r="T1063">
        <f>IMAGE("https://mitra.stanford.edu/kundaje/oak/projects/neuro-variants/variant_position/credible/roussos_2024/variant_figures/roussos_2024.childhood.GABA/rs4884299_profile_position.png",4,220,900)</f>
        <v/>
      </c>
    </row>
    <row r="1064">
      <c r="A1064" t="inlineStr">
        <is>
          <t>chr13</t>
        </is>
      </c>
      <c r="B1064" t="n">
        <v>58277448</v>
      </c>
      <c r="C1064" t="inlineStr">
        <is>
          <t>C</t>
        </is>
      </c>
      <c r="D1064" t="inlineStr">
        <is>
          <t>T</t>
        </is>
      </c>
      <c r="E1064" t="inlineStr">
        <is>
          <t>rs56313517</t>
        </is>
      </c>
      <c r="F1064" t="n">
        <v>-0.0385127322</v>
      </c>
      <c r="G1064" t="n">
        <v>0.2172356604604126</v>
      </c>
      <c r="H1064" t="n">
        <v>0.0155623640439923</v>
      </c>
      <c r="I1064" t="n">
        <v>0.2023409764431593</v>
      </c>
      <c r="J1064" t="n">
        <v>0.0201409394567652</v>
      </c>
      <c r="K1064" t="n">
        <v>0.6665528977718174</v>
      </c>
      <c r="L1064" t="b">
        <v>0</v>
      </c>
      <c r="M1064" t="b">
        <v>0</v>
      </c>
      <c r="N1064" t="inlineStr">
        <is>
          <t>ref</t>
        </is>
      </c>
      <c r="O1064" t="n">
        <v>15</v>
      </c>
      <c r="P1064" t="n">
        <v>0.0006504</v>
      </c>
      <c r="Q1064" t="n">
        <v>20</v>
      </c>
      <c r="R1064" t="n">
        <v>0.02281</v>
      </c>
      <c r="S1064">
        <f>IMAGE("https://mitra.stanford.edu/kundaje/oak/projects/neuro-variants/variant_position/credible/roussos_2024/variant_figures/roussos_2024.childhood.GABA/rs56313517_count_position.png",4,220,900)</f>
        <v/>
      </c>
      <c r="T1064">
        <f>IMAGE("https://mitra.stanford.edu/kundaje/oak/projects/neuro-variants/variant_position/credible/roussos_2024/variant_figures/roussos_2024.childhood.GABA/rs56313517_profile_position.png",4,220,900)</f>
        <v/>
      </c>
    </row>
    <row r="1065">
      <c r="A1065" t="inlineStr">
        <is>
          <t>chr13</t>
        </is>
      </c>
      <c r="B1065" t="n">
        <v>65885897</v>
      </c>
      <c r="C1065" t="inlineStr">
        <is>
          <t>C</t>
        </is>
      </c>
      <c r="D1065" t="inlineStr">
        <is>
          <t>T</t>
        </is>
      </c>
      <c r="E1065" t="inlineStr">
        <is>
          <t>rs9571511</t>
        </is>
      </c>
      <c r="F1065" t="n">
        <v>0.0578028514</v>
      </c>
      <c r="G1065" t="n">
        <v>0.1049796961920707</v>
      </c>
      <c r="H1065" t="n">
        <v>0.0209604004675425</v>
      </c>
      <c r="I1065" t="n">
        <v>0.0641370894050505</v>
      </c>
      <c r="J1065" t="n">
        <v>0.0036658918137839</v>
      </c>
      <c r="K1065" t="n">
        <v>0.842461757912476</v>
      </c>
      <c r="L1065" t="b">
        <v>0</v>
      </c>
      <c r="M1065" t="b">
        <v>0</v>
      </c>
      <c r="N1065" t="inlineStr">
        <is>
          <t>alt</t>
        </is>
      </c>
      <c r="O1065" t="n">
        <v>80</v>
      </c>
      <c r="P1065" t="n">
        <v>0.001549</v>
      </c>
      <c r="Q1065" t="n">
        <v>95</v>
      </c>
      <c r="R1065" t="n">
        <v>0.06494</v>
      </c>
      <c r="S1065">
        <f>IMAGE("https://mitra.stanford.edu/kundaje/oak/projects/neuro-variants/variant_position/credible/roussos_2024/variant_figures/roussos_2024.childhood.GABA/rs9571511_count_position.png",4,220,900)</f>
        <v/>
      </c>
      <c r="T1065">
        <f>IMAGE("https://mitra.stanford.edu/kundaje/oak/projects/neuro-variants/variant_position/credible/roussos_2024/variant_figures/roussos_2024.childhood.GABA/rs9571511_profile_position.png",4,220,900)</f>
        <v/>
      </c>
    </row>
    <row r="1066">
      <c r="A1066" t="inlineStr">
        <is>
          <t>chr13</t>
        </is>
      </c>
      <c r="B1066" t="n">
        <v>79285321</v>
      </c>
      <c r="C1066" t="inlineStr">
        <is>
          <t>A</t>
        </is>
      </c>
      <c r="D1066" t="inlineStr">
        <is>
          <t>C</t>
        </is>
      </c>
      <c r="E1066" t="inlineStr">
        <is>
          <t>rs9545047</t>
        </is>
      </c>
      <c r="F1066" t="n">
        <v>0.0200011353</v>
      </c>
      <c r="G1066" t="n">
        <v>0.4262484877386127</v>
      </c>
      <c r="H1066" t="n">
        <v>0.0099248853984819</v>
      </c>
      <c r="I1066" t="n">
        <v>0.6459568074827661</v>
      </c>
      <c r="J1066" t="n">
        <v>0.0202226131389918</v>
      </c>
      <c r="K1066" t="n">
        <v>0.6854098110166905</v>
      </c>
      <c r="L1066" t="b">
        <v>0</v>
      </c>
      <c r="M1066" t="b">
        <v>0</v>
      </c>
      <c r="N1066" t="inlineStr">
        <is>
          <t>alt</t>
        </is>
      </c>
      <c r="O1066" t="n">
        <v>-45</v>
      </c>
      <c r="P1066" t="n">
        <v>0.002213</v>
      </c>
      <c r="Q1066" t="n">
        <v>-85</v>
      </c>
      <c r="R1066" t="n">
        <v>0.1313</v>
      </c>
      <c r="S1066">
        <f>IMAGE("https://mitra.stanford.edu/kundaje/oak/projects/neuro-variants/variant_position/credible/roussos_2024/variant_figures/roussos_2024.childhood.GABA/rs9545047_count_position.png",4,220,900)</f>
        <v/>
      </c>
      <c r="T1066">
        <f>IMAGE("https://mitra.stanford.edu/kundaje/oak/projects/neuro-variants/variant_position/credible/roussos_2024/variant_figures/roussos_2024.childhood.GABA/rs9545047_profile_position.png",4,220,900)</f>
        <v/>
      </c>
    </row>
    <row r="1067">
      <c r="A1067" t="inlineStr">
        <is>
          <t>chr13</t>
        </is>
      </c>
      <c r="B1067" t="n">
        <v>79364440</v>
      </c>
      <c r="C1067" t="inlineStr">
        <is>
          <t>T</t>
        </is>
      </c>
      <c r="D1067" t="inlineStr">
        <is>
          <t>C</t>
        </is>
      </c>
      <c r="E1067" t="inlineStr">
        <is>
          <t>rs9545087</t>
        </is>
      </c>
      <c r="F1067" t="n">
        <v>-0.0205482372</v>
      </c>
      <c r="G1067" t="n">
        <v>0.4269176838859189</v>
      </c>
      <c r="H1067" t="n">
        <v>0.023576361341498</v>
      </c>
      <c r="I1067" t="n">
        <v>0.036996107233124</v>
      </c>
      <c r="J1067" t="n">
        <v>0.0002397855542291</v>
      </c>
      <c r="K1067" t="n">
        <v>0.9632302262509808</v>
      </c>
      <c r="L1067" t="b">
        <v>0</v>
      </c>
      <c r="M1067" t="b">
        <v>0</v>
      </c>
      <c r="N1067" t="inlineStr">
        <is>
          <t>ref</t>
        </is>
      </c>
      <c r="O1067" t="n">
        <v>5</v>
      </c>
      <c r="P1067" t="n">
        <v>0.000908</v>
      </c>
      <c r="Q1067" t="n">
        <v>55</v>
      </c>
      <c r="R1067" t="n">
        <v>0.01889</v>
      </c>
      <c r="S1067">
        <f>IMAGE("https://mitra.stanford.edu/kundaje/oak/projects/neuro-variants/variant_position/credible/roussos_2024/variant_figures/roussos_2024.childhood.GABA/rs9545087_count_position.png",4,220,900)</f>
        <v/>
      </c>
      <c r="T1067">
        <f>IMAGE("https://mitra.stanford.edu/kundaje/oak/projects/neuro-variants/variant_position/credible/roussos_2024/variant_figures/roussos_2024.childhood.GABA/rs9545087_profile_position.png",4,220,900)</f>
        <v/>
      </c>
    </row>
    <row r="1068">
      <c r="A1068" t="inlineStr">
        <is>
          <t>chr13</t>
        </is>
      </c>
      <c r="B1068" t="n">
        <v>79370157</v>
      </c>
      <c r="C1068" t="inlineStr">
        <is>
          <t>A</t>
        </is>
      </c>
      <c r="D1068" t="inlineStr">
        <is>
          <t>G</t>
        </is>
      </c>
      <c r="E1068" t="inlineStr">
        <is>
          <t>rs9530904</t>
        </is>
      </c>
      <c r="F1068" t="n">
        <v>-0.002001984814</v>
      </c>
      <c r="G1068" t="n">
        <v>0.7491216989006463</v>
      </c>
      <c r="H1068" t="n">
        <v>0.0240002273098506</v>
      </c>
      <c r="I1068" t="n">
        <v>0.0346031658391802</v>
      </c>
      <c r="J1068" t="n">
        <v>0.0056878389981361</v>
      </c>
      <c r="K1068" t="n">
        <v>0.802197853217381</v>
      </c>
      <c r="L1068" t="b">
        <v>0</v>
      </c>
      <c r="M1068" t="b">
        <v>0</v>
      </c>
      <c r="N1068" t="inlineStr">
        <is>
          <t>ref</t>
        </is>
      </c>
      <c r="O1068" t="n">
        <v>55</v>
      </c>
      <c r="P1068" t="n">
        <v>0.02196</v>
      </c>
      <c r="Q1068" t="n">
        <v>-100</v>
      </c>
      <c r="R1068" t="n">
        <v>0.06064</v>
      </c>
      <c r="S1068">
        <f>IMAGE("https://mitra.stanford.edu/kundaje/oak/projects/neuro-variants/variant_position/credible/roussos_2024/variant_figures/roussos_2024.childhood.GABA/rs9530904_count_position.png",4,220,900)</f>
        <v/>
      </c>
      <c r="T1068">
        <f>IMAGE("https://mitra.stanford.edu/kundaje/oak/projects/neuro-variants/variant_position/credible/roussos_2024/variant_figures/roussos_2024.childhood.GABA/rs9530904_profile_position.png",4,220,900)</f>
        <v/>
      </c>
    </row>
    <row r="1069">
      <c r="A1069" t="inlineStr">
        <is>
          <t>chr13</t>
        </is>
      </c>
      <c r="B1069" t="n">
        <v>79411175</v>
      </c>
      <c r="C1069" t="inlineStr">
        <is>
          <t>T</t>
        </is>
      </c>
      <c r="D1069" t="inlineStr">
        <is>
          <t>A</t>
        </is>
      </c>
      <c r="E1069" t="inlineStr">
        <is>
          <t>rs9545108</t>
        </is>
      </c>
      <c r="F1069" t="n">
        <v>0.011546250588</v>
      </c>
      <c r="G1069" t="n">
        <v>0.6157630985445713</v>
      </c>
      <c r="H1069" t="n">
        <v>0.0231281149273178</v>
      </c>
      <c r="I1069" t="n">
        <v>0.0403023771788457</v>
      </c>
      <c r="J1069" t="n">
        <v>0.0147913132709262</v>
      </c>
      <c r="K1069" t="n">
        <v>0.6919997285910557</v>
      </c>
      <c r="L1069" t="b">
        <v>0</v>
      </c>
      <c r="M1069" t="b">
        <v>0</v>
      </c>
      <c r="N1069" t="inlineStr">
        <is>
          <t>alt</t>
        </is>
      </c>
      <c r="O1069" t="n">
        <v>45</v>
      </c>
      <c r="P1069" t="n">
        <v>0.002182</v>
      </c>
      <c r="Q1069" t="n">
        <v>-85</v>
      </c>
      <c r="R1069" t="n">
        <v>0.08069999999999999</v>
      </c>
      <c r="S1069">
        <f>IMAGE("https://mitra.stanford.edu/kundaje/oak/projects/neuro-variants/variant_position/credible/roussos_2024/variant_figures/roussos_2024.childhood.GABA/rs9545108_count_position.png",4,220,900)</f>
        <v/>
      </c>
      <c r="T1069">
        <f>IMAGE("https://mitra.stanford.edu/kundaje/oak/projects/neuro-variants/variant_position/credible/roussos_2024/variant_figures/roussos_2024.childhood.GABA/rs9545108_profile_position.png",4,220,900)</f>
        <v/>
      </c>
    </row>
    <row r="1070">
      <c r="A1070" t="inlineStr">
        <is>
          <t>chr13</t>
        </is>
      </c>
      <c r="B1070" t="n">
        <v>79415246</v>
      </c>
      <c r="C1070" t="inlineStr">
        <is>
          <t>C</t>
        </is>
      </c>
      <c r="D1070" t="inlineStr">
        <is>
          <t>T</t>
        </is>
      </c>
      <c r="E1070" t="inlineStr">
        <is>
          <t>rs9574422</t>
        </is>
      </c>
      <c r="F1070" t="n">
        <v>-0.00688041432</v>
      </c>
      <c r="G1070" t="n">
        <v>0.7256656997553687</v>
      </c>
      <c r="H1070" t="n">
        <v>0.0073189483176209</v>
      </c>
      <c r="I1070" t="n">
        <v>0.9046002194144226</v>
      </c>
      <c r="J1070" t="n">
        <v>0.042233670499047</v>
      </c>
      <c r="K1070" t="n">
        <v>0.5576768412867863</v>
      </c>
      <c r="L1070" t="b">
        <v>0</v>
      </c>
      <c r="M1070" t="b">
        <v>0</v>
      </c>
      <c r="N1070" t="inlineStr">
        <is>
          <t>ref</t>
        </is>
      </c>
      <c r="O1070" t="n">
        <v>-40</v>
      </c>
      <c r="P1070" t="n">
        <v>0.00157</v>
      </c>
      <c r="Q1070" t="n">
        <v>-20</v>
      </c>
      <c r="R1070" t="n">
        <v>0.013855</v>
      </c>
      <c r="S1070">
        <f>IMAGE("https://mitra.stanford.edu/kundaje/oak/projects/neuro-variants/variant_position/credible/roussos_2024/variant_figures/roussos_2024.childhood.GABA/rs9574422_count_position.png",4,220,900)</f>
        <v/>
      </c>
      <c r="T1070">
        <f>IMAGE("https://mitra.stanford.edu/kundaje/oak/projects/neuro-variants/variant_position/credible/roussos_2024/variant_figures/roussos_2024.childhood.GABA/rs9574422_profile_position.png",4,220,900)</f>
        <v/>
      </c>
    </row>
    <row r="1071">
      <c r="A1071" t="inlineStr">
        <is>
          <t>chr13</t>
        </is>
      </c>
      <c r="B1071" t="n">
        <v>88392660</v>
      </c>
      <c r="C1071" t="inlineStr">
        <is>
          <t>A</t>
        </is>
      </c>
      <c r="D1071" t="inlineStr">
        <is>
          <t>G</t>
        </is>
      </c>
      <c r="E1071" t="inlineStr">
        <is>
          <t>rs1840492</t>
        </is>
      </c>
      <c r="F1071" t="n">
        <v>0.00532476936</v>
      </c>
      <c r="G1071" t="n">
        <v>0.7646783317783182</v>
      </c>
      <c r="H1071" t="n">
        <v>0.0224870410683786</v>
      </c>
      <c r="I1071" t="n">
        <v>0.0457654838068481</v>
      </c>
      <c r="J1071" t="n">
        <v>0.0583579401478502</v>
      </c>
      <c r="K1071" t="n">
        <v>0.4564626999069429</v>
      </c>
      <c r="L1071" t="b">
        <v>0</v>
      </c>
      <c r="M1071" t="b">
        <v>0</v>
      </c>
      <c r="N1071" t="inlineStr">
        <is>
          <t>alt</t>
        </is>
      </c>
      <c r="O1071" t="n">
        <v>-100</v>
      </c>
      <c r="P1071" t="n">
        <v>0.04117</v>
      </c>
      <c r="Q1071" t="n">
        <v>-100</v>
      </c>
      <c r="R1071" t="n">
        <v>0.3687</v>
      </c>
      <c r="S1071">
        <f>IMAGE("https://mitra.stanford.edu/kundaje/oak/projects/neuro-variants/variant_position/credible/roussos_2024/variant_figures/roussos_2024.childhood.GABA/rs1840492_count_position.png",4,220,900)</f>
        <v/>
      </c>
      <c r="T1071">
        <f>IMAGE("https://mitra.stanford.edu/kundaje/oak/projects/neuro-variants/variant_position/credible/roussos_2024/variant_figures/roussos_2024.childhood.GABA/rs1840492_profile_position.png",4,220,900)</f>
        <v/>
      </c>
    </row>
    <row r="1072">
      <c r="A1072" t="inlineStr">
        <is>
          <t>chr13</t>
        </is>
      </c>
      <c r="B1072" t="n">
        <v>88392920</v>
      </c>
      <c r="C1072" t="inlineStr">
        <is>
          <t>C</t>
        </is>
      </c>
      <c r="D1072" t="inlineStr">
        <is>
          <t>A</t>
        </is>
      </c>
      <c r="E1072" t="inlineStr">
        <is>
          <t>rs2347140</t>
        </is>
      </c>
      <c r="F1072" t="n">
        <v>-0.07521015519999991</v>
      </c>
      <c r="G1072" t="n">
        <v>0.0598398441939969</v>
      </c>
      <c r="H1072" t="n">
        <v>0.0124577795963875</v>
      </c>
      <c r="I1072" t="n">
        <v>0.400505541485874</v>
      </c>
      <c r="J1072" t="n">
        <v>0.0136395049318338</v>
      </c>
      <c r="K1072" t="n">
        <v>0.6993500785678727</v>
      </c>
      <c r="L1072" t="b">
        <v>0</v>
      </c>
      <c r="M1072" t="b">
        <v>0</v>
      </c>
      <c r="N1072" t="inlineStr">
        <is>
          <t>ref</t>
        </is>
      </c>
      <c r="O1072" t="n">
        <v>-25</v>
      </c>
      <c r="P1072" t="n">
        <v>0.002777</v>
      </c>
      <c r="Q1072" t="n">
        <v>95</v>
      </c>
      <c r="R1072" t="n">
        <v>0.061</v>
      </c>
      <c r="S1072">
        <f>IMAGE("https://mitra.stanford.edu/kundaje/oak/projects/neuro-variants/variant_position/credible/roussos_2024/variant_figures/roussos_2024.childhood.GABA/rs2347140_count_position.png",4,220,900)</f>
        <v/>
      </c>
      <c r="T1072">
        <f>IMAGE("https://mitra.stanford.edu/kundaje/oak/projects/neuro-variants/variant_position/credible/roussos_2024/variant_figures/roussos_2024.childhood.GABA/rs2347140_profile_position.png",4,220,900)</f>
        <v/>
      </c>
    </row>
    <row r="1073">
      <c r="A1073" t="inlineStr">
        <is>
          <t>chr13</t>
        </is>
      </c>
      <c r="B1073" t="n">
        <v>88408293</v>
      </c>
      <c r="C1073" t="inlineStr">
        <is>
          <t>G</t>
        </is>
      </c>
      <c r="D1073" t="inlineStr">
        <is>
          <t>A</t>
        </is>
      </c>
      <c r="E1073" t="inlineStr">
        <is>
          <t>rs396977</t>
        </is>
      </c>
      <c r="F1073" t="n">
        <v>-0.294108678</v>
      </c>
      <c r="G1073" t="n">
        <v>0.0020657866289347</v>
      </c>
      <c r="H1073" t="n">
        <v>0.0332959765651292</v>
      </c>
      <c r="I1073" t="n">
        <v>0.0116375278062089</v>
      </c>
      <c r="J1073" t="n">
        <v>0.1097442985487214</v>
      </c>
      <c r="K1073" t="n">
        <v>0.3440125963622873</v>
      </c>
      <c r="L1073" t="b">
        <v>1</v>
      </c>
      <c r="M1073" t="b">
        <v>1</v>
      </c>
      <c r="N1073" t="inlineStr">
        <is>
          <t>ref</t>
        </is>
      </c>
      <c r="O1073" t="n">
        <v>10</v>
      </c>
      <c r="P1073" t="n">
        <v>0.0004292</v>
      </c>
      <c r="Q1073" t="n">
        <v>-100</v>
      </c>
      <c r="R1073" t="n">
        <v>0.0733</v>
      </c>
      <c r="S1073">
        <f>IMAGE("https://mitra.stanford.edu/kundaje/oak/projects/neuro-variants/variant_position/credible/roussos_2024/variant_figures/roussos_2024.childhood.GABA/rs396977_count_position.png",4,220,900)</f>
        <v/>
      </c>
      <c r="T1073">
        <f>IMAGE("https://mitra.stanford.edu/kundaje/oak/projects/neuro-variants/variant_position/credible/roussos_2024/variant_figures/roussos_2024.childhood.GABA/rs396977_profile_position.png",4,220,900)</f>
        <v/>
      </c>
    </row>
    <row r="1074">
      <c r="A1074" t="inlineStr">
        <is>
          <t>chr13</t>
        </is>
      </c>
      <c r="B1074" t="n">
        <v>88414156</v>
      </c>
      <c r="C1074" t="inlineStr">
        <is>
          <t>G</t>
        </is>
      </c>
      <c r="D1074" t="inlineStr">
        <is>
          <t>A</t>
        </is>
      </c>
      <c r="E1074" t="inlineStr">
        <is>
          <t>rs430275</t>
        </is>
      </c>
      <c r="F1074" t="n">
        <v>-0.00214447934</v>
      </c>
      <c r="G1074" t="n">
        <v>0.8211493245910512</v>
      </c>
      <c r="H1074" t="n">
        <v>0.0153013770262447</v>
      </c>
      <c r="I1074" t="n">
        <v>0.2107471609646437</v>
      </c>
      <c r="J1074" t="n">
        <v>0.0004900420933592</v>
      </c>
      <c r="K1074" t="n">
        <v>0.945137909894164</v>
      </c>
      <c r="L1074" t="b">
        <v>0</v>
      </c>
      <c r="M1074" t="b">
        <v>0</v>
      </c>
      <c r="N1074" t="inlineStr">
        <is>
          <t>ref</t>
        </is>
      </c>
      <c r="O1074" t="n">
        <v>45</v>
      </c>
      <c r="P1074" t="n">
        <v>0.01462</v>
      </c>
      <c r="Q1074" t="n">
        <v>40</v>
      </c>
      <c r="R1074" t="n">
        <v>0.0249</v>
      </c>
      <c r="S1074">
        <f>IMAGE("https://mitra.stanford.edu/kundaje/oak/projects/neuro-variants/variant_position/credible/roussos_2024/variant_figures/roussos_2024.childhood.GABA/rs430275_count_position.png",4,220,900)</f>
        <v/>
      </c>
      <c r="T1074">
        <f>IMAGE("https://mitra.stanford.edu/kundaje/oak/projects/neuro-variants/variant_position/credible/roussos_2024/variant_figures/roussos_2024.childhood.GABA/rs430275_profile_position.png",4,220,900)</f>
        <v/>
      </c>
    </row>
    <row r="1075">
      <c r="A1075" t="inlineStr">
        <is>
          <t>chr13</t>
        </is>
      </c>
      <c r="B1075" t="n">
        <v>88435587</v>
      </c>
      <c r="C1075" t="inlineStr">
        <is>
          <t>T</t>
        </is>
      </c>
      <c r="D1075" t="inlineStr">
        <is>
          <t>C</t>
        </is>
      </c>
      <c r="E1075" t="inlineStr">
        <is>
          <t>rs338708</t>
        </is>
      </c>
      <c r="F1075" t="n">
        <v>0.0759256512</v>
      </c>
      <c r="G1075" t="n">
        <v>0.0552032508813352</v>
      </c>
      <c r="H1075" t="n">
        <v>0.0123804087232463</v>
      </c>
      <c r="I1075" t="n">
        <v>0.401208868904668</v>
      </c>
      <c r="J1075" t="n">
        <v>0.1127390002303616</v>
      </c>
      <c r="K1075" t="n">
        <v>0.3372146962221952</v>
      </c>
      <c r="L1075" t="b">
        <v>0</v>
      </c>
      <c r="M1075" t="b">
        <v>0</v>
      </c>
      <c r="N1075" t="inlineStr">
        <is>
          <t>alt</t>
        </is>
      </c>
      <c r="O1075" t="n">
        <v>85</v>
      </c>
      <c r="P1075" t="n">
        <v>0.025</v>
      </c>
      <c r="Q1075" t="n">
        <v>-100</v>
      </c>
      <c r="R1075" t="n">
        <v>0.1039</v>
      </c>
      <c r="S1075">
        <f>IMAGE("https://mitra.stanford.edu/kundaje/oak/projects/neuro-variants/variant_position/credible/roussos_2024/variant_figures/roussos_2024.childhood.GABA/rs338708_count_position.png",4,220,900)</f>
        <v/>
      </c>
      <c r="T1075">
        <f>IMAGE("https://mitra.stanford.edu/kundaje/oak/projects/neuro-variants/variant_position/credible/roussos_2024/variant_figures/roussos_2024.childhood.GABA/rs338708_profile_position.png",4,220,900)</f>
        <v/>
      </c>
    </row>
    <row r="1076">
      <c r="A1076" t="inlineStr">
        <is>
          <t>chr13</t>
        </is>
      </c>
      <c r="B1076" t="n">
        <v>88450905</v>
      </c>
      <c r="C1076" t="inlineStr">
        <is>
          <t>T</t>
        </is>
      </c>
      <c r="D1076" t="inlineStr">
        <is>
          <t>C</t>
        </is>
      </c>
      <c r="E1076" t="inlineStr">
        <is>
          <t>rs447791</t>
        </is>
      </c>
      <c r="F1076" t="n">
        <v>-0.0430386162</v>
      </c>
      <c r="G1076" t="n">
        <v>0.1940360573438137</v>
      </c>
      <c r="H1076" t="n">
        <v>0.0279974916823697</v>
      </c>
      <c r="I1076" t="n">
        <v>0.0173356225485545</v>
      </c>
      <c r="J1076" t="n">
        <v>0.040748884840108</v>
      </c>
      <c r="K1076" t="n">
        <v>0.5415620082000233</v>
      </c>
      <c r="L1076" t="b">
        <v>1</v>
      </c>
      <c r="M1076" t="b">
        <v>0</v>
      </c>
      <c r="N1076" t="inlineStr">
        <is>
          <t>ref</t>
        </is>
      </c>
      <c r="O1076" t="n">
        <v>100</v>
      </c>
      <c r="P1076" t="n">
        <v>0.00582</v>
      </c>
      <c r="Q1076" t="n">
        <v>-100</v>
      </c>
      <c r="R1076" t="n">
        <v>0.10693</v>
      </c>
      <c r="S1076">
        <f>IMAGE("https://mitra.stanford.edu/kundaje/oak/projects/neuro-variants/variant_position/credible/roussos_2024/variant_figures/roussos_2024.childhood.GABA/rs447791_count_position.png",4,220,900)</f>
        <v/>
      </c>
      <c r="T1076">
        <f>IMAGE("https://mitra.stanford.edu/kundaje/oak/projects/neuro-variants/variant_position/credible/roussos_2024/variant_figures/roussos_2024.childhood.GABA/rs447791_profile_position.png",4,220,900)</f>
        <v/>
      </c>
    </row>
    <row r="1077">
      <c r="A1077" t="inlineStr">
        <is>
          <t>chr13</t>
        </is>
      </c>
      <c r="B1077" t="n">
        <v>88461603</v>
      </c>
      <c r="C1077" t="inlineStr">
        <is>
          <t>A</t>
        </is>
      </c>
      <c r="D1077" t="inlineStr">
        <is>
          <t>G</t>
        </is>
      </c>
      <c r="E1077" t="inlineStr">
        <is>
          <t>rs338704</t>
        </is>
      </c>
      <c r="F1077" t="n">
        <v>1.640706000000016e-05</v>
      </c>
      <c r="G1077" t="n">
        <v>0.7909519360633691</v>
      </c>
      <c r="H1077" t="n">
        <v>0.0251866553259589</v>
      </c>
      <c r="I1077" t="n">
        <v>0.0280376492745956</v>
      </c>
      <c r="J1077" t="n">
        <v>0.0334872568113756</v>
      </c>
      <c r="K1077" t="n">
        <v>0.5690603762490649</v>
      </c>
      <c r="L1077" t="b">
        <v>0</v>
      </c>
      <c r="M1077" t="b">
        <v>0</v>
      </c>
      <c r="N1077" t="inlineStr">
        <is>
          <t>alt</t>
        </is>
      </c>
      <c r="O1077" t="n">
        <v>-25</v>
      </c>
      <c r="P1077" t="n">
        <v>0.001038</v>
      </c>
      <c r="Q1077" t="n">
        <v>-25</v>
      </c>
      <c r="R1077" t="n">
        <v>0.02164</v>
      </c>
      <c r="S1077">
        <f>IMAGE("https://mitra.stanford.edu/kundaje/oak/projects/neuro-variants/variant_position/credible/roussos_2024/variant_figures/roussos_2024.childhood.GABA/rs338704_count_position.png",4,220,900)</f>
        <v/>
      </c>
      <c r="T1077">
        <f>IMAGE("https://mitra.stanford.edu/kundaje/oak/projects/neuro-variants/variant_position/credible/roussos_2024/variant_figures/roussos_2024.childhood.GABA/rs338704_profile_position.png",4,220,900)</f>
        <v/>
      </c>
    </row>
    <row r="1078">
      <c r="A1078" t="inlineStr">
        <is>
          <t>chr13</t>
        </is>
      </c>
      <c r="B1078" t="n">
        <v>92670299</v>
      </c>
      <c r="C1078" t="inlineStr">
        <is>
          <t>T</t>
        </is>
      </c>
      <c r="D1078" t="inlineStr">
        <is>
          <t>C</t>
        </is>
      </c>
      <c r="E1078" t="inlineStr">
        <is>
          <t>rs9516115</t>
        </is>
      </c>
      <c r="F1078" t="n">
        <v>4.122667999999982e-05</v>
      </c>
      <c r="G1078" t="n">
        <v>0.4985512020033306</v>
      </c>
      <c r="H1078" t="n">
        <v>0.0098859554849626</v>
      </c>
      <c r="I1078" t="n">
        <v>0.6315229780248741</v>
      </c>
      <c r="J1078" t="n">
        <v>0.2958241712215451</v>
      </c>
      <c r="K1078" t="n">
        <v>0.1389205882618502</v>
      </c>
      <c r="L1078" t="b">
        <v>0</v>
      </c>
      <c r="M1078" t="b">
        <v>0</v>
      </c>
      <c r="N1078" t="inlineStr">
        <is>
          <t>alt</t>
        </is>
      </c>
      <c r="O1078" t="n">
        <v>-95</v>
      </c>
      <c r="P1078" t="n">
        <v>0.009639999999999999</v>
      </c>
      <c r="Q1078" t="n">
        <v>-100</v>
      </c>
      <c r="R1078" t="n">
        <v>0.1716</v>
      </c>
      <c r="S1078">
        <f>IMAGE("https://mitra.stanford.edu/kundaje/oak/projects/neuro-variants/variant_position/credible/roussos_2024/variant_figures/roussos_2024.childhood.GABA/rs9516115_count_position.png",4,220,900)</f>
        <v/>
      </c>
      <c r="T1078">
        <f>IMAGE("https://mitra.stanford.edu/kundaje/oak/projects/neuro-variants/variant_position/credible/roussos_2024/variant_figures/roussos_2024.childhood.GABA/rs9516115_profile_position.png",4,220,900)</f>
        <v/>
      </c>
    </row>
    <row r="1079">
      <c r="A1079" t="inlineStr">
        <is>
          <t>chr13</t>
        </is>
      </c>
      <c r="B1079" t="n">
        <v>92709036</v>
      </c>
      <c r="C1079" t="inlineStr">
        <is>
          <t>C</t>
        </is>
      </c>
      <c r="D1079" t="inlineStr">
        <is>
          <t>T</t>
        </is>
      </c>
      <c r="E1079" t="inlineStr">
        <is>
          <t>rs9523786</t>
        </is>
      </c>
      <c r="F1079" t="n">
        <v>-0.0184087938</v>
      </c>
      <c r="G1079" t="n">
        <v>0.4545661747335059</v>
      </c>
      <c r="H1079" t="n">
        <v>0.0075764016927713</v>
      </c>
      <c r="I1079" t="n">
        <v>0.8824950499111756</v>
      </c>
      <c r="J1079" t="n">
        <v>0.0241188666205942</v>
      </c>
      <c r="K1079" t="n">
        <v>0.6219134769944034</v>
      </c>
      <c r="L1079" t="b">
        <v>0</v>
      </c>
      <c r="M1079" t="b">
        <v>0</v>
      </c>
      <c r="N1079" t="inlineStr">
        <is>
          <t>ref</t>
        </is>
      </c>
      <c r="O1079" t="n">
        <v>-90</v>
      </c>
      <c r="P1079" t="n">
        <v>0.2462</v>
      </c>
      <c r="Q1079" t="n">
        <v>-90</v>
      </c>
      <c r="R1079" t="n">
        <v>0.1669</v>
      </c>
      <c r="S1079">
        <f>IMAGE("https://mitra.stanford.edu/kundaje/oak/projects/neuro-variants/variant_position/credible/roussos_2024/variant_figures/roussos_2024.childhood.GABA/rs9523786_count_position.png",4,220,900)</f>
        <v/>
      </c>
      <c r="T1079">
        <f>IMAGE("https://mitra.stanford.edu/kundaje/oak/projects/neuro-variants/variant_position/credible/roussos_2024/variant_figures/roussos_2024.childhood.GABA/rs9523786_profile_position.png",4,220,900)</f>
        <v/>
      </c>
    </row>
    <row r="1080">
      <c r="A1080" t="inlineStr">
        <is>
          <t>chr13</t>
        </is>
      </c>
      <c r="B1080" t="n">
        <v>92754331</v>
      </c>
      <c r="C1080" t="inlineStr">
        <is>
          <t>G</t>
        </is>
      </c>
      <c r="D1080" t="inlineStr">
        <is>
          <t>A</t>
        </is>
      </c>
      <c r="E1080" t="inlineStr">
        <is>
          <t>rs138907830</t>
        </is>
      </c>
      <c r="F1080" t="n">
        <v>-0.109587871</v>
      </c>
      <c r="G1080" t="n">
        <v>0.025761261018912</v>
      </c>
      <c r="H1080" t="n">
        <v>0.0128891422457912</v>
      </c>
      <c r="I1080" t="n">
        <v>0.3552232108109706</v>
      </c>
      <c r="J1080" t="n">
        <v>0.0369667650939246</v>
      </c>
      <c r="K1080" t="n">
        <v>0.5784945529785686</v>
      </c>
      <c r="L1080" t="b">
        <v>0</v>
      </c>
      <c r="M1080" t="b">
        <v>0</v>
      </c>
      <c r="N1080" t="inlineStr">
        <is>
          <t>ref</t>
        </is>
      </c>
      <c r="O1080" t="n">
        <v>-20</v>
      </c>
      <c r="P1080" t="n">
        <v>0.001926</v>
      </c>
      <c r="Q1080" t="n">
        <v>-90</v>
      </c>
      <c r="R1080" t="n">
        <v>0.07806</v>
      </c>
      <c r="S1080">
        <f>IMAGE("https://mitra.stanford.edu/kundaje/oak/projects/neuro-variants/variant_position/credible/roussos_2024/variant_figures/roussos_2024.childhood.GABA/rs138907830_count_position.png",4,220,900)</f>
        <v/>
      </c>
      <c r="T1080">
        <f>IMAGE("https://mitra.stanford.edu/kundaje/oak/projects/neuro-variants/variant_position/credible/roussos_2024/variant_figures/roussos_2024.childhood.GABA/rs138907830_profile_position.png",4,220,900)</f>
        <v/>
      </c>
    </row>
    <row r="1081">
      <c r="A1081" t="inlineStr">
        <is>
          <t>chr13</t>
        </is>
      </c>
      <c r="B1081" t="n">
        <v>95836047</v>
      </c>
      <c r="C1081" t="inlineStr">
        <is>
          <t>T</t>
        </is>
      </c>
      <c r="D1081" t="inlineStr">
        <is>
          <t>G</t>
        </is>
      </c>
      <c r="E1081" t="inlineStr">
        <is>
          <t>rs11839843</t>
        </is>
      </c>
      <c r="F1081" t="n">
        <v>-0.00921383192</v>
      </c>
      <c r="G1081" t="n">
        <v>0.6524015912072983</v>
      </c>
      <c r="H1081" t="n">
        <v>0.0223220347270168</v>
      </c>
      <c r="I1081" t="n">
        <v>0.0468839981937141</v>
      </c>
      <c r="J1081" t="n">
        <v>0.0173315742078699</v>
      </c>
      <c r="K1081" t="n">
        <v>0.6665969477727031</v>
      </c>
      <c r="L1081" t="b">
        <v>0</v>
      </c>
      <c r="M1081" t="b">
        <v>0</v>
      </c>
      <c r="N1081" t="inlineStr">
        <is>
          <t>ref</t>
        </is>
      </c>
      <c r="O1081" t="n">
        <v>-100</v>
      </c>
      <c r="P1081" t="n">
        <v>0.01511</v>
      </c>
      <c r="Q1081" t="n">
        <v>95</v>
      </c>
      <c r="R1081" t="n">
        <v>0.04785</v>
      </c>
      <c r="S1081">
        <f>IMAGE("https://mitra.stanford.edu/kundaje/oak/projects/neuro-variants/variant_position/credible/roussos_2024/variant_figures/roussos_2024.childhood.GABA/rs11839843_count_position.png",4,220,900)</f>
        <v/>
      </c>
      <c r="T1081">
        <f>IMAGE("https://mitra.stanford.edu/kundaje/oak/projects/neuro-variants/variant_position/credible/roussos_2024/variant_figures/roussos_2024.childhood.GABA/rs11839843_profile_position.png",4,220,900)</f>
        <v/>
      </c>
    </row>
    <row r="1082">
      <c r="A1082" t="inlineStr">
        <is>
          <t>chr13</t>
        </is>
      </c>
      <c r="B1082" t="n">
        <v>95849839</v>
      </c>
      <c r="C1082" t="inlineStr">
        <is>
          <t>T</t>
        </is>
      </c>
      <c r="D1082" t="inlineStr">
        <is>
          <t>C</t>
        </is>
      </c>
      <c r="E1082" t="inlineStr">
        <is>
          <t>rs8000849</t>
        </is>
      </c>
      <c r="F1082" t="n">
        <v>-0.01005179504</v>
      </c>
      <c r="G1082" t="n">
        <v>0.6410858481077844</v>
      </c>
      <c r="H1082" t="n">
        <v>0.0342144116432567</v>
      </c>
      <c r="I1082" t="n">
        <v>0.0070930265174684</v>
      </c>
      <c r="J1082" t="n">
        <v>0.0002869049862829</v>
      </c>
      <c r="K1082" t="n">
        <v>0.955172702976759</v>
      </c>
      <c r="L1082" t="b">
        <v>0</v>
      </c>
      <c r="M1082" t="b">
        <v>0</v>
      </c>
      <c r="N1082" t="inlineStr">
        <is>
          <t>ref</t>
        </is>
      </c>
      <c r="O1082" t="n">
        <v>85</v>
      </c>
      <c r="P1082" t="n">
        <v>0.003208</v>
      </c>
      <c r="Q1082" t="n">
        <v>-75</v>
      </c>
      <c r="R1082" t="n">
        <v>0.01862</v>
      </c>
      <c r="S1082">
        <f>IMAGE("https://mitra.stanford.edu/kundaje/oak/projects/neuro-variants/variant_position/credible/roussos_2024/variant_figures/roussos_2024.childhood.GABA/rs8000849_count_position.png",4,220,900)</f>
        <v/>
      </c>
      <c r="T1082">
        <f>IMAGE("https://mitra.stanford.edu/kundaje/oak/projects/neuro-variants/variant_position/credible/roussos_2024/variant_figures/roussos_2024.childhood.GABA/rs8000849_profile_position.png",4,220,900)</f>
        <v/>
      </c>
    </row>
    <row r="1083">
      <c r="A1083" t="inlineStr">
        <is>
          <t>chr13</t>
        </is>
      </c>
      <c r="B1083" t="n">
        <v>95862624</v>
      </c>
      <c r="C1083" t="inlineStr">
        <is>
          <t>A</t>
        </is>
      </c>
      <c r="D1083" t="inlineStr">
        <is>
          <t>C</t>
        </is>
      </c>
      <c r="E1083" t="inlineStr">
        <is>
          <t>rs4773928</t>
        </is>
      </c>
      <c r="F1083" t="n">
        <v>-0.0137174672</v>
      </c>
      <c r="G1083" t="n">
        <v>0.3665504748030253</v>
      </c>
      <c r="H1083" t="n">
        <v>0.0166514029465293</v>
      </c>
      <c r="I1083" t="n">
        <v>0.1533990830686751</v>
      </c>
      <c r="J1083" t="n">
        <v>0.0072396389604405</v>
      </c>
      <c r="K1083" t="n">
        <v>0.7789968207996338</v>
      </c>
      <c r="L1083" t="b">
        <v>0</v>
      </c>
      <c r="M1083" t="b">
        <v>0</v>
      </c>
      <c r="N1083" t="inlineStr">
        <is>
          <t>ref</t>
        </is>
      </c>
      <c r="O1083" t="n">
        <v>80</v>
      </c>
      <c r="P1083" t="n">
        <v>0.00164</v>
      </c>
      <c r="Q1083" t="n">
        <v>-75</v>
      </c>
      <c r="R1083" t="n">
        <v>0.0232</v>
      </c>
      <c r="S1083">
        <f>IMAGE("https://mitra.stanford.edu/kundaje/oak/projects/neuro-variants/variant_position/credible/roussos_2024/variant_figures/roussos_2024.childhood.GABA/rs4773928_count_position.png",4,220,900)</f>
        <v/>
      </c>
      <c r="T1083">
        <f>IMAGE("https://mitra.stanford.edu/kundaje/oak/projects/neuro-variants/variant_position/credible/roussos_2024/variant_figures/roussos_2024.childhood.GABA/rs4773928_profile_position.png",4,220,900)</f>
        <v/>
      </c>
    </row>
    <row r="1084">
      <c r="A1084" t="inlineStr">
        <is>
          <t>chr13</t>
        </is>
      </c>
      <c r="B1084" t="n">
        <v>95870573</v>
      </c>
      <c r="C1084" t="inlineStr">
        <is>
          <t>T</t>
        </is>
      </c>
      <c r="D1084" t="inlineStr">
        <is>
          <t>C</t>
        </is>
      </c>
      <c r="E1084" t="inlineStr">
        <is>
          <t>rs6492824</t>
        </is>
      </c>
      <c r="F1084" t="n">
        <v>0.100551122</v>
      </c>
      <c r="G1084" t="n">
        <v>0.0351449592174809</v>
      </c>
      <c r="H1084" t="n">
        <v>0.0138747064263655</v>
      </c>
      <c r="I1084" t="n">
        <v>0.2859493460427186</v>
      </c>
      <c r="J1084" t="n">
        <v>0.1170551402064878</v>
      </c>
      <c r="K1084" t="n">
        <v>0.3257623878543102</v>
      </c>
      <c r="L1084" t="b">
        <v>0</v>
      </c>
      <c r="M1084" t="b">
        <v>0</v>
      </c>
      <c r="N1084" t="inlineStr">
        <is>
          <t>alt</t>
        </is>
      </c>
      <c r="O1084" t="n">
        <v>-100</v>
      </c>
      <c r="P1084" t="n">
        <v>0.007904</v>
      </c>
      <c r="Q1084" t="n">
        <v>45</v>
      </c>
      <c r="R1084" t="n">
        <v>0.05737</v>
      </c>
      <c r="S1084">
        <f>IMAGE("https://mitra.stanford.edu/kundaje/oak/projects/neuro-variants/variant_position/credible/roussos_2024/variant_figures/roussos_2024.childhood.GABA/rs6492824_count_position.png",4,220,900)</f>
        <v/>
      </c>
      <c r="T1084">
        <f>IMAGE("https://mitra.stanford.edu/kundaje/oak/projects/neuro-variants/variant_position/credible/roussos_2024/variant_figures/roussos_2024.childhood.GABA/rs6492824_profile_position.png",4,220,900)</f>
        <v/>
      </c>
    </row>
    <row r="1085">
      <c r="A1085" t="inlineStr">
        <is>
          <t>chr13</t>
        </is>
      </c>
      <c r="B1085" t="n">
        <v>95873066</v>
      </c>
      <c r="C1085" t="inlineStr">
        <is>
          <t>C</t>
        </is>
      </c>
      <c r="D1085" t="inlineStr">
        <is>
          <t>A</t>
        </is>
      </c>
      <c r="E1085" t="inlineStr">
        <is>
          <t>rs9561967</t>
        </is>
      </c>
      <c r="F1085" t="n">
        <v>0.015243787294</v>
      </c>
      <c r="G1085" t="n">
        <v>0.4549149598296907</v>
      </c>
      <c r="H1085" t="n">
        <v>0.0112967756777279</v>
      </c>
      <c r="I1085" t="n">
        <v>0.4959688122029834</v>
      </c>
      <c r="J1085" t="n">
        <v>0.0193482858997716</v>
      </c>
      <c r="K1085" t="n">
        <v>0.6514177171076475</v>
      </c>
      <c r="L1085" t="b">
        <v>0</v>
      </c>
      <c r="M1085" t="b">
        <v>0</v>
      </c>
      <c r="N1085" t="inlineStr">
        <is>
          <t>alt</t>
        </is>
      </c>
      <c r="O1085" t="n">
        <v>20</v>
      </c>
      <c r="P1085" t="n">
        <v>0.003418</v>
      </c>
      <c r="Q1085" t="n">
        <v>0</v>
      </c>
      <c r="R1085" t="n">
        <v>0</v>
      </c>
      <c r="S1085">
        <f>IMAGE("https://mitra.stanford.edu/kundaje/oak/projects/neuro-variants/variant_position/credible/roussos_2024/variant_figures/roussos_2024.childhood.GABA/rs9561967_count_position.png",4,220,900)</f>
        <v/>
      </c>
      <c r="T1085">
        <f>IMAGE("https://mitra.stanford.edu/kundaje/oak/projects/neuro-variants/variant_position/credible/roussos_2024/variant_figures/roussos_2024.childhood.GABA/rs9561967_profile_position.png",4,220,900)</f>
        <v/>
      </c>
    </row>
    <row r="1086">
      <c r="A1086" t="inlineStr">
        <is>
          <t>chr13</t>
        </is>
      </c>
      <c r="B1086" t="n">
        <v>95873890</v>
      </c>
      <c r="C1086" t="inlineStr">
        <is>
          <t>T</t>
        </is>
      </c>
      <c r="D1086" t="inlineStr">
        <is>
          <t>C</t>
        </is>
      </c>
      <c r="E1086" t="inlineStr">
        <is>
          <t>rs11616658</t>
        </is>
      </c>
      <c r="F1086" t="n">
        <v>0.0083109186</v>
      </c>
      <c r="G1086" t="n">
        <v>0.6296887548126922</v>
      </c>
      <c r="H1086" t="n">
        <v>0.0160658527996493</v>
      </c>
      <c r="I1086" t="n">
        <v>0.1730284530882074</v>
      </c>
      <c r="J1086" t="n">
        <v>0.0356065841553056</v>
      </c>
      <c r="K1086" t="n">
        <v>0.5776055874678745</v>
      </c>
      <c r="L1086" t="b">
        <v>0</v>
      </c>
      <c r="M1086" t="b">
        <v>0</v>
      </c>
      <c r="N1086" t="inlineStr">
        <is>
          <t>alt</t>
        </is>
      </c>
      <c r="O1086" t="n">
        <v>-85</v>
      </c>
      <c r="P1086" t="n">
        <v>0.007336</v>
      </c>
      <c r="Q1086" t="n">
        <v>-25</v>
      </c>
      <c r="R1086" t="n">
        <v>0.01196</v>
      </c>
      <c r="S1086">
        <f>IMAGE("https://mitra.stanford.edu/kundaje/oak/projects/neuro-variants/variant_position/credible/roussos_2024/variant_figures/roussos_2024.childhood.GABA/rs11616658_count_position.png",4,220,900)</f>
        <v/>
      </c>
      <c r="T1086">
        <f>IMAGE("https://mitra.stanford.edu/kundaje/oak/projects/neuro-variants/variant_position/credible/roussos_2024/variant_figures/roussos_2024.childhood.GABA/rs11616658_profile_position.png",4,220,900)</f>
        <v/>
      </c>
    </row>
    <row r="1087">
      <c r="A1087" t="inlineStr">
        <is>
          <t>chr13</t>
        </is>
      </c>
      <c r="B1087" t="n">
        <v>95876601</v>
      </c>
      <c r="C1087" t="inlineStr">
        <is>
          <t>A</t>
        </is>
      </c>
      <c r="D1087" t="inlineStr">
        <is>
          <t>C</t>
        </is>
      </c>
      <c r="E1087" t="inlineStr">
        <is>
          <t>rs9556505</t>
        </is>
      </c>
      <c r="F1087" t="n">
        <v>0.0037920371599999</v>
      </c>
      <c r="G1087" t="n">
        <v>0.6565698807392623</v>
      </c>
      <c r="H1087" t="n">
        <v>0.010342674803959</v>
      </c>
      <c r="I1087" t="n">
        <v>0.6078652345906277</v>
      </c>
      <c r="J1087" t="n">
        <v>0.0580113505476324</v>
      </c>
      <c r="K1087" t="n">
        <v>0.4649287387696589</v>
      </c>
      <c r="L1087" t="b">
        <v>0</v>
      </c>
      <c r="M1087" t="b">
        <v>0</v>
      </c>
      <c r="N1087" t="inlineStr">
        <is>
          <t>alt</t>
        </is>
      </c>
      <c r="O1087" t="n">
        <v>40</v>
      </c>
      <c r="P1087" t="n">
        <v>0.00365</v>
      </c>
      <c r="Q1087" t="n">
        <v>-100</v>
      </c>
      <c r="R1087" t="n">
        <v>0.02045</v>
      </c>
      <c r="S1087">
        <f>IMAGE("https://mitra.stanford.edu/kundaje/oak/projects/neuro-variants/variant_position/credible/roussos_2024/variant_figures/roussos_2024.childhood.GABA/rs9556505_count_position.png",4,220,900)</f>
        <v/>
      </c>
      <c r="T1087">
        <f>IMAGE("https://mitra.stanford.edu/kundaje/oak/projects/neuro-variants/variant_position/credible/roussos_2024/variant_figures/roussos_2024.childhood.GABA/rs9556505_profile_position.png",4,220,900)</f>
        <v/>
      </c>
    </row>
    <row r="1088">
      <c r="A1088" t="inlineStr">
        <is>
          <t>chr13</t>
        </is>
      </c>
      <c r="B1088" t="n">
        <v>95893035</v>
      </c>
      <c r="C1088" t="inlineStr">
        <is>
          <t>A</t>
        </is>
      </c>
      <c r="D1088" t="inlineStr">
        <is>
          <t>G</t>
        </is>
      </c>
      <c r="E1088" t="inlineStr">
        <is>
          <t>rs1537030</t>
        </is>
      </c>
      <c r="F1088" t="n">
        <v>0.0197387672</v>
      </c>
      <c r="G1088" t="n">
        <v>0.4163535815370496</v>
      </c>
      <c r="H1088" t="n">
        <v>0.0102857838139895</v>
      </c>
      <c r="I1088" t="n">
        <v>0.6087483031889585</v>
      </c>
      <c r="J1088" t="n">
        <v>0.0111568344118447</v>
      </c>
      <c r="K1088" t="n">
        <v>0.7339832980506407</v>
      </c>
      <c r="L1088" t="b">
        <v>0</v>
      </c>
      <c r="M1088" t="b">
        <v>0</v>
      </c>
      <c r="N1088" t="inlineStr">
        <is>
          <t>alt</t>
        </is>
      </c>
      <c r="O1088" t="n">
        <v>65</v>
      </c>
      <c r="P1088" t="n">
        <v>0.03586</v>
      </c>
      <c r="Q1088" t="n">
        <v>-95</v>
      </c>
      <c r="R1088" t="n">
        <v>0.04156</v>
      </c>
      <c r="S1088">
        <f>IMAGE("https://mitra.stanford.edu/kundaje/oak/projects/neuro-variants/variant_position/credible/roussos_2024/variant_figures/roussos_2024.childhood.GABA/rs1537030_count_position.png",4,220,900)</f>
        <v/>
      </c>
      <c r="T1088">
        <f>IMAGE("https://mitra.stanford.edu/kundaje/oak/projects/neuro-variants/variant_position/credible/roussos_2024/variant_figures/roussos_2024.childhood.GABA/rs1537030_profile_position.png",4,220,900)</f>
        <v/>
      </c>
    </row>
    <row r="1089">
      <c r="A1089" t="inlineStr">
        <is>
          <t>chr13</t>
        </is>
      </c>
      <c r="B1089" t="n">
        <v>95906598</v>
      </c>
      <c r="C1089" t="inlineStr">
        <is>
          <t>G</t>
        </is>
      </c>
      <c r="D1089" t="inlineStr">
        <is>
          <t>A</t>
        </is>
      </c>
      <c r="E1089" t="inlineStr">
        <is>
          <t>rs35836619</t>
        </is>
      </c>
      <c r="F1089" t="n">
        <v>0.00105689948</v>
      </c>
      <c r="G1089" t="n">
        <v>0.8507045805786708</v>
      </c>
      <c r="H1089" t="n">
        <v>0.0219142450773064</v>
      </c>
      <c r="I1089" t="n">
        <v>0.0512635198129924</v>
      </c>
      <c r="J1089" t="n">
        <v>0.1139609641682896</v>
      </c>
      <c r="K1089" t="n">
        <v>0.3345535525094789</v>
      </c>
      <c r="L1089" t="b">
        <v>0</v>
      </c>
      <c r="M1089" t="b">
        <v>0</v>
      </c>
      <c r="N1089" t="inlineStr">
        <is>
          <t>alt</t>
        </is>
      </c>
      <c r="O1089" t="n">
        <v>85</v>
      </c>
      <c r="P1089" t="n">
        <v>0.00755</v>
      </c>
      <c r="Q1089" t="n">
        <v>100</v>
      </c>
      <c r="R1089" t="n">
        <v>0.1609</v>
      </c>
      <c r="S1089">
        <f>IMAGE("https://mitra.stanford.edu/kundaje/oak/projects/neuro-variants/variant_position/credible/roussos_2024/variant_figures/roussos_2024.childhood.GABA/rs35836619_count_position.png",4,220,900)</f>
        <v/>
      </c>
      <c r="T1089">
        <f>IMAGE("https://mitra.stanford.edu/kundaje/oak/projects/neuro-variants/variant_position/credible/roussos_2024/variant_figures/roussos_2024.childhood.GABA/rs35836619_profile_position.png",4,220,900)</f>
        <v/>
      </c>
    </row>
    <row r="1090">
      <c r="A1090" t="inlineStr">
        <is>
          <t>chr13</t>
        </is>
      </c>
      <c r="B1090" t="n">
        <v>95928601</v>
      </c>
      <c r="C1090" t="inlineStr">
        <is>
          <t>G</t>
        </is>
      </c>
      <c r="D1090" t="inlineStr">
        <is>
          <t>A</t>
        </is>
      </c>
      <c r="E1090" t="inlineStr">
        <is>
          <t>rs9556506</t>
        </is>
      </c>
      <c r="F1090" t="n">
        <v>-0.016075461</v>
      </c>
      <c r="G1090" t="n">
        <v>0.4839431124924123</v>
      </c>
      <c r="H1090" t="n">
        <v>0.0140384421772173</v>
      </c>
      <c r="I1090" t="n">
        <v>0.2754135683131519</v>
      </c>
      <c r="J1090" t="n">
        <v>0.4778255952754915</v>
      </c>
      <c r="K1090" t="n">
        <v>0.0557304900672364</v>
      </c>
      <c r="L1090" t="b">
        <v>0</v>
      </c>
      <c r="M1090" t="b">
        <v>0</v>
      </c>
      <c r="N1090" t="inlineStr">
        <is>
          <t>ref</t>
        </is>
      </c>
      <c r="O1090" t="n">
        <v>-100</v>
      </c>
      <c r="P1090" t="n">
        <v>0.02745</v>
      </c>
      <c r="Q1090" t="n">
        <v>-100</v>
      </c>
      <c r="R1090" t="n">
        <v>0.05334</v>
      </c>
      <c r="S1090">
        <f>IMAGE("https://mitra.stanford.edu/kundaje/oak/projects/neuro-variants/variant_position/credible/roussos_2024/variant_figures/roussos_2024.childhood.GABA/rs9556506_count_position.png",4,220,900)</f>
        <v/>
      </c>
      <c r="T1090">
        <f>IMAGE("https://mitra.stanford.edu/kundaje/oak/projects/neuro-variants/variant_position/credible/roussos_2024/variant_figures/roussos_2024.childhood.GABA/rs9556506_profile_position.png",4,220,900)</f>
        <v/>
      </c>
    </row>
    <row r="1091">
      <c r="A1091" t="inlineStr">
        <is>
          <t>chr13</t>
        </is>
      </c>
      <c r="B1091" t="n">
        <v>95931789</v>
      </c>
      <c r="C1091" t="inlineStr">
        <is>
          <t>G</t>
        </is>
      </c>
      <c r="D1091" t="inlineStr">
        <is>
          <t>A</t>
        </is>
      </c>
      <c r="E1091" t="inlineStr">
        <is>
          <t>rs9556508</t>
        </is>
      </c>
      <c r="F1091" t="n">
        <v>-0.0490263832</v>
      </c>
      <c r="G1091" t="n">
        <v>0.1469628798390232</v>
      </c>
      <c r="H1091" t="n">
        <v>0.014295572411338</v>
      </c>
      <c r="I1091" t="n">
        <v>0.2678687391193666</v>
      </c>
      <c r="J1091" t="n">
        <v>0.561246884881992</v>
      </c>
      <c r="K1091" t="n">
        <v>0.0363290133724495</v>
      </c>
      <c r="L1091" t="b">
        <v>0</v>
      </c>
      <c r="M1091" t="b">
        <v>0</v>
      </c>
      <c r="N1091" t="inlineStr">
        <is>
          <t>ref</t>
        </is>
      </c>
      <c r="O1091" t="n">
        <v>35</v>
      </c>
      <c r="P1091" t="n">
        <v>0.001751</v>
      </c>
      <c r="Q1091" t="n">
        <v>-55</v>
      </c>
      <c r="R1091" t="n">
        <v>0.03442</v>
      </c>
      <c r="S1091">
        <f>IMAGE("https://mitra.stanford.edu/kundaje/oak/projects/neuro-variants/variant_position/credible/roussos_2024/variant_figures/roussos_2024.childhood.GABA/rs9556508_count_position.png",4,220,900)</f>
        <v/>
      </c>
      <c r="T1091">
        <f>IMAGE("https://mitra.stanford.edu/kundaje/oak/projects/neuro-variants/variant_position/credible/roussos_2024/variant_figures/roussos_2024.childhood.GABA/rs9556508_profile_position.png",4,220,900)</f>
        <v/>
      </c>
    </row>
    <row r="1092">
      <c r="A1092" t="inlineStr">
        <is>
          <t>chr13</t>
        </is>
      </c>
      <c r="B1092" t="n">
        <v>95937483</v>
      </c>
      <c r="C1092" t="inlineStr">
        <is>
          <t>C</t>
        </is>
      </c>
      <c r="D1092" t="inlineStr">
        <is>
          <t>A</t>
        </is>
      </c>
      <c r="E1092" t="inlineStr">
        <is>
          <t>rs1411557</t>
        </is>
      </c>
      <c r="F1092" t="n">
        <v>0.005884335548</v>
      </c>
      <c r="G1092" t="n">
        <v>0.7425359434557247</v>
      </c>
      <c r="H1092" t="n">
        <v>0.0290581921743192</v>
      </c>
      <c r="I1092" t="n">
        <v>0.0147706888000738</v>
      </c>
      <c r="J1092" t="n">
        <v>0.0126091600175912</v>
      </c>
      <c r="K1092" t="n">
        <v>0.7193806743114074</v>
      </c>
      <c r="L1092" t="b">
        <v>1</v>
      </c>
      <c r="M1092" t="b">
        <v>0</v>
      </c>
      <c r="N1092" t="inlineStr">
        <is>
          <t>alt</t>
        </is>
      </c>
      <c r="O1092" t="n">
        <v>60</v>
      </c>
      <c r="P1092" t="n">
        <v>0.004173</v>
      </c>
      <c r="Q1092" t="n">
        <v>-20</v>
      </c>
      <c r="R1092" t="n">
        <v>0.00907</v>
      </c>
      <c r="S1092">
        <f>IMAGE("https://mitra.stanford.edu/kundaje/oak/projects/neuro-variants/variant_position/credible/roussos_2024/variant_figures/roussos_2024.childhood.GABA/rs1411557_count_position.png",4,220,900)</f>
        <v/>
      </c>
      <c r="T1092">
        <f>IMAGE("https://mitra.stanford.edu/kundaje/oak/projects/neuro-variants/variant_position/credible/roussos_2024/variant_figures/roussos_2024.childhood.GABA/rs1411557_profile_position.png",4,220,900)</f>
        <v/>
      </c>
    </row>
    <row r="1093">
      <c r="A1093" t="inlineStr">
        <is>
          <t>chr13</t>
        </is>
      </c>
      <c r="B1093" t="n">
        <v>95968179</v>
      </c>
      <c r="C1093" t="inlineStr">
        <is>
          <t>T</t>
        </is>
      </c>
      <c r="D1093" t="inlineStr">
        <is>
          <t>A</t>
        </is>
      </c>
      <c r="E1093" t="inlineStr">
        <is>
          <t>rs11619333</t>
        </is>
      </c>
      <c r="F1093" t="n">
        <v>-0.008052563780000001</v>
      </c>
      <c r="G1093" t="n">
        <v>0.6568341880222788</v>
      </c>
      <c r="H1093" t="n">
        <v>0.022836469047491</v>
      </c>
      <c r="I1093" t="n">
        <v>0.042719284550412</v>
      </c>
      <c r="J1093" t="n">
        <v>0.0020701137148959</v>
      </c>
      <c r="K1093" t="n">
        <v>0.8781950969587708</v>
      </c>
      <c r="L1093" t="b">
        <v>0</v>
      </c>
      <c r="M1093" t="b">
        <v>0</v>
      </c>
      <c r="N1093" t="inlineStr">
        <is>
          <t>ref</t>
        </is>
      </c>
      <c r="O1093" t="n">
        <v>45</v>
      </c>
      <c r="P1093" t="n">
        <v>0.002838</v>
      </c>
      <c r="Q1093" t="n">
        <v>100</v>
      </c>
      <c r="R1093" t="n">
        <v>0.06836</v>
      </c>
      <c r="S1093">
        <f>IMAGE("https://mitra.stanford.edu/kundaje/oak/projects/neuro-variants/variant_position/credible/roussos_2024/variant_figures/roussos_2024.childhood.GABA/rs11619333_count_position.png",4,220,900)</f>
        <v/>
      </c>
      <c r="T1093">
        <f>IMAGE("https://mitra.stanford.edu/kundaje/oak/projects/neuro-variants/variant_position/credible/roussos_2024/variant_figures/roussos_2024.childhood.GABA/rs11619333_profile_position.png",4,220,900)</f>
        <v/>
      </c>
    </row>
    <row r="1094">
      <c r="A1094" t="inlineStr">
        <is>
          <t>chr13</t>
        </is>
      </c>
      <c r="B1094" t="n">
        <v>95971316</v>
      </c>
      <c r="C1094" t="inlineStr">
        <is>
          <t>C</t>
        </is>
      </c>
      <c r="D1094" t="inlineStr">
        <is>
          <t>A</t>
        </is>
      </c>
      <c r="E1094" t="inlineStr">
        <is>
          <t>rs7324957</t>
        </is>
      </c>
      <c r="F1094" t="n">
        <v>0.0232138776</v>
      </c>
      <c r="G1094" t="n">
        <v>0.3772282759910587</v>
      </c>
      <c r="H1094" t="n">
        <v>0.0116416514792743</v>
      </c>
      <c r="I1094" t="n">
        <v>0.4675735557803848</v>
      </c>
      <c r="J1094" t="n">
        <v>0.0227890515381876</v>
      </c>
      <c r="K1094" t="n">
        <v>0.6265511195936283</v>
      </c>
      <c r="L1094" t="b">
        <v>0</v>
      </c>
      <c r="M1094" t="b">
        <v>0</v>
      </c>
      <c r="N1094" t="inlineStr">
        <is>
          <t>alt</t>
        </is>
      </c>
      <c r="O1094" t="n">
        <v>40</v>
      </c>
      <c r="P1094" t="n">
        <v>0.001541</v>
      </c>
      <c r="Q1094" t="n">
        <v>-90</v>
      </c>
      <c r="R1094" t="n">
        <v>0.03027</v>
      </c>
      <c r="S1094">
        <f>IMAGE("https://mitra.stanford.edu/kundaje/oak/projects/neuro-variants/variant_position/credible/roussos_2024/variant_figures/roussos_2024.childhood.GABA/rs7324957_count_position.png",4,220,900)</f>
        <v/>
      </c>
      <c r="T1094">
        <f>IMAGE("https://mitra.stanford.edu/kundaje/oak/projects/neuro-variants/variant_position/credible/roussos_2024/variant_figures/roussos_2024.childhood.GABA/rs7324957_profile_position.png",4,220,900)</f>
        <v/>
      </c>
    </row>
    <row r="1095">
      <c r="A1095" t="inlineStr">
        <is>
          <t>chr13</t>
        </is>
      </c>
      <c r="B1095" t="n">
        <v>95979670</v>
      </c>
      <c r="C1095" t="inlineStr">
        <is>
          <t>G</t>
        </is>
      </c>
      <c r="D1095" t="inlineStr">
        <is>
          <t>A</t>
        </is>
      </c>
      <c r="E1095" t="inlineStr">
        <is>
          <t>rs9562005</t>
        </is>
      </c>
      <c r="F1095" t="n">
        <v>-0.02236924198</v>
      </c>
      <c r="G1095" t="n">
        <v>0.409118399531859</v>
      </c>
      <c r="H1095" t="n">
        <v>0.0105188541543408</v>
      </c>
      <c r="I1095" t="n">
        <v>0.5815286788379882</v>
      </c>
      <c r="J1095" t="n">
        <v>0.0208822851877447</v>
      </c>
      <c r="K1095" t="n">
        <v>0.6364444392617806</v>
      </c>
      <c r="L1095" t="b">
        <v>0</v>
      </c>
      <c r="M1095" t="b">
        <v>0</v>
      </c>
      <c r="N1095" t="inlineStr">
        <is>
          <t>ref</t>
        </is>
      </c>
      <c r="O1095" t="n">
        <v>15</v>
      </c>
      <c r="P1095" t="n">
        <v>0.0074</v>
      </c>
      <c r="Q1095" t="n">
        <v>-5</v>
      </c>
      <c r="R1095" t="n">
        <v>0.002075</v>
      </c>
      <c r="S1095">
        <f>IMAGE("https://mitra.stanford.edu/kundaje/oak/projects/neuro-variants/variant_position/credible/roussos_2024/variant_figures/roussos_2024.childhood.GABA/rs9562005_count_position.png",4,220,900)</f>
        <v/>
      </c>
      <c r="T1095">
        <f>IMAGE("https://mitra.stanford.edu/kundaje/oak/projects/neuro-variants/variant_position/credible/roussos_2024/variant_figures/roussos_2024.childhood.GABA/rs9562005_profile_position.png",4,220,900)</f>
        <v/>
      </c>
    </row>
    <row r="1096">
      <c r="A1096" t="inlineStr">
        <is>
          <t>chr13</t>
        </is>
      </c>
      <c r="B1096" t="n">
        <v>95985541</v>
      </c>
      <c r="C1096" t="inlineStr">
        <is>
          <t>T</t>
        </is>
      </c>
      <c r="D1096" t="inlineStr">
        <is>
          <t>C</t>
        </is>
      </c>
      <c r="E1096" t="inlineStr">
        <is>
          <t>rs117227967</t>
        </is>
      </c>
      <c r="F1096" t="n">
        <v>0.105033662</v>
      </c>
      <c r="G1096" t="n">
        <v>0.0279624164253033</v>
      </c>
      <c r="H1096" t="n">
        <v>0.0269254776069277</v>
      </c>
      <c r="I1096" t="n">
        <v>0.0208759018763716</v>
      </c>
      <c r="J1096" t="n">
        <v>0.0033318673954471</v>
      </c>
      <c r="K1096" t="n">
        <v>0.8439042115200285</v>
      </c>
      <c r="L1096" t="b">
        <v>0</v>
      </c>
      <c r="M1096" t="b">
        <v>0</v>
      </c>
      <c r="N1096" t="inlineStr">
        <is>
          <t>alt</t>
        </is>
      </c>
      <c r="O1096" t="n">
        <v>-90</v>
      </c>
      <c r="P1096" t="n">
        <v>0.001579</v>
      </c>
      <c r="Q1096" t="n">
        <v>100</v>
      </c>
      <c r="R1096" t="n">
        <v>0.0833</v>
      </c>
      <c r="S1096">
        <f>IMAGE("https://mitra.stanford.edu/kundaje/oak/projects/neuro-variants/variant_position/credible/roussos_2024/variant_figures/roussos_2024.childhood.GABA/rs117227967_count_position.png",4,220,900)</f>
        <v/>
      </c>
      <c r="T1096">
        <f>IMAGE("https://mitra.stanford.edu/kundaje/oak/projects/neuro-variants/variant_position/credible/roussos_2024/variant_figures/roussos_2024.childhood.GABA/rs117227967_profile_position.png",4,220,900)</f>
        <v/>
      </c>
    </row>
    <row r="1097">
      <c r="A1097" t="inlineStr">
        <is>
          <t>chr13</t>
        </is>
      </c>
      <c r="B1097" t="n">
        <v>96003118</v>
      </c>
      <c r="C1097" t="inlineStr">
        <is>
          <t>T</t>
        </is>
      </c>
      <c r="D1097" t="inlineStr">
        <is>
          <t>C</t>
        </is>
      </c>
      <c r="E1097" t="inlineStr">
        <is>
          <t>rs2026819</t>
        </is>
      </c>
      <c r="F1097" t="n">
        <v>0.0155477874899999</v>
      </c>
      <c r="G1097" t="n">
        <v>0.4928947829613189</v>
      </c>
      <c r="H1097" t="n">
        <v>0.008854648325529599</v>
      </c>
      <c r="I1097" t="n">
        <v>0.7705412330078955</v>
      </c>
      <c r="J1097" t="n">
        <v>0.0751701535046386</v>
      </c>
      <c r="K1097" t="n">
        <v>0.4303048042915341</v>
      </c>
      <c r="L1097" t="b">
        <v>0</v>
      </c>
      <c r="M1097" t="b">
        <v>0</v>
      </c>
      <c r="N1097" t="inlineStr">
        <is>
          <t>alt</t>
        </is>
      </c>
      <c r="O1097" t="n">
        <v>75</v>
      </c>
      <c r="P1097" t="n">
        <v>0.01365</v>
      </c>
      <c r="Q1097" t="n">
        <v>-95</v>
      </c>
      <c r="R1097" t="n">
        <v>0.1153</v>
      </c>
      <c r="S1097">
        <f>IMAGE("https://mitra.stanford.edu/kundaje/oak/projects/neuro-variants/variant_position/credible/roussos_2024/variant_figures/roussos_2024.childhood.GABA/rs2026819_count_position.png",4,220,900)</f>
        <v/>
      </c>
      <c r="T1097">
        <f>IMAGE("https://mitra.stanford.edu/kundaje/oak/projects/neuro-variants/variant_position/credible/roussos_2024/variant_figures/roussos_2024.childhood.GABA/rs2026819_profile_position.png",4,220,900)</f>
        <v/>
      </c>
    </row>
    <row r="1098">
      <c r="A1098" t="inlineStr">
        <is>
          <t>chr13</t>
        </is>
      </c>
      <c r="B1098" t="n">
        <v>96029297</v>
      </c>
      <c r="C1098" t="inlineStr">
        <is>
          <t>A</t>
        </is>
      </c>
      <c r="D1098" t="inlineStr">
        <is>
          <t>T</t>
        </is>
      </c>
      <c r="E1098" t="inlineStr">
        <is>
          <t>rs3782990</t>
        </is>
      </c>
      <c r="F1098" t="n">
        <v>0.0097926642</v>
      </c>
      <c r="G1098" t="n">
        <v>0.6211415656676329</v>
      </c>
      <c r="H1098" t="n">
        <v>0.0293277904579976</v>
      </c>
      <c r="I1098" t="n">
        <v>0.0138898363393865</v>
      </c>
      <c r="J1098" t="n">
        <v>0.0127348118364012</v>
      </c>
      <c r="K1098" t="n">
        <v>0.7186247764315957</v>
      </c>
      <c r="L1098" t="b">
        <v>1</v>
      </c>
      <c r="M1098" t="b">
        <v>0</v>
      </c>
      <c r="N1098" t="inlineStr">
        <is>
          <t>alt</t>
        </is>
      </c>
      <c r="O1098" t="n">
        <v>-85</v>
      </c>
      <c r="P1098" t="n">
        <v>0.01409</v>
      </c>
      <c r="Q1098" t="n">
        <v>-85</v>
      </c>
      <c r="R1098" t="n">
        <v>0.0887</v>
      </c>
      <c r="S1098">
        <f>IMAGE("https://mitra.stanford.edu/kundaje/oak/projects/neuro-variants/variant_position/credible/roussos_2024/variant_figures/roussos_2024.childhood.GABA/rs3782990_count_position.png",4,220,900)</f>
        <v/>
      </c>
      <c r="T1098">
        <f>IMAGE("https://mitra.stanford.edu/kundaje/oak/projects/neuro-variants/variant_position/credible/roussos_2024/variant_figures/roussos_2024.childhood.GABA/rs3782990_profile_position.png",4,220,900)</f>
        <v/>
      </c>
    </row>
    <row r="1099">
      <c r="A1099" t="inlineStr">
        <is>
          <t>chr13</t>
        </is>
      </c>
      <c r="B1099" t="n">
        <v>96053485</v>
      </c>
      <c r="C1099" t="inlineStr">
        <is>
          <t>T</t>
        </is>
      </c>
      <c r="D1099" t="inlineStr">
        <is>
          <t>C</t>
        </is>
      </c>
      <c r="E1099" t="inlineStr">
        <is>
          <t>rs2277419</t>
        </is>
      </c>
      <c r="F1099" t="n">
        <v>-0.0357820722</v>
      </c>
      <c r="G1099" t="n">
        <v>0.2446898754041191</v>
      </c>
      <c r="H1099" t="n">
        <v>0.027518815352088</v>
      </c>
      <c r="I1099" t="n">
        <v>0.01899778599673</v>
      </c>
      <c r="J1099" t="n">
        <v>0.9430954325563864</v>
      </c>
      <c r="K1099" t="n">
        <v>0.0004689301416676</v>
      </c>
      <c r="L1099" t="b">
        <v>1</v>
      </c>
      <c r="M1099" t="b">
        <v>0</v>
      </c>
      <c r="N1099" t="inlineStr">
        <is>
          <t>ref</t>
        </is>
      </c>
      <c r="O1099" t="n">
        <v>-45</v>
      </c>
      <c r="P1099" t="n">
        <v>0.0105</v>
      </c>
      <c r="Q1099" t="n">
        <v>-25</v>
      </c>
      <c r="R1099" t="n">
        <v>0.02441</v>
      </c>
      <c r="S1099">
        <f>IMAGE("https://mitra.stanford.edu/kundaje/oak/projects/neuro-variants/variant_position/credible/roussos_2024/variant_figures/roussos_2024.childhood.GABA/rs2277419_count_position.png",4,220,900)</f>
        <v/>
      </c>
      <c r="T1099">
        <f>IMAGE("https://mitra.stanford.edu/kundaje/oak/projects/neuro-variants/variant_position/credible/roussos_2024/variant_figures/roussos_2024.childhood.GABA/rs2277419_profile_position.png",4,220,900)</f>
        <v/>
      </c>
    </row>
    <row r="1100">
      <c r="A1100" t="inlineStr">
        <is>
          <t>chr13</t>
        </is>
      </c>
      <c r="B1100" t="n">
        <v>96068177</v>
      </c>
      <c r="C1100" t="inlineStr">
        <is>
          <t>C</t>
        </is>
      </c>
      <c r="D1100" t="inlineStr">
        <is>
          <t>A</t>
        </is>
      </c>
      <c r="E1100" t="inlineStr">
        <is>
          <t>rs1854173</t>
        </is>
      </c>
      <c r="F1100" t="n">
        <v>-0.03455913468</v>
      </c>
      <c r="G1100" t="n">
        <v>0.2671061125180169</v>
      </c>
      <c r="H1100" t="n">
        <v>0.0130036126106352</v>
      </c>
      <c r="I1100" t="n">
        <v>0.3557770827270069</v>
      </c>
      <c r="J1100" t="n">
        <v>0.0519046721534627</v>
      </c>
      <c r="K1100" t="n">
        <v>0.5004220787992563</v>
      </c>
      <c r="L1100" t="b">
        <v>0</v>
      </c>
      <c r="M1100" t="b">
        <v>0</v>
      </c>
      <c r="N1100" t="inlineStr">
        <is>
          <t>ref</t>
        </is>
      </c>
      <c r="O1100" t="n">
        <v>-20</v>
      </c>
      <c r="P1100" t="n">
        <v>0.0004349</v>
      </c>
      <c r="Q1100" t="n">
        <v>70</v>
      </c>
      <c r="R1100" t="n">
        <v>0.0906</v>
      </c>
      <c r="S1100">
        <f>IMAGE("https://mitra.stanford.edu/kundaje/oak/projects/neuro-variants/variant_position/credible/roussos_2024/variant_figures/roussos_2024.childhood.GABA/rs1854173_count_position.png",4,220,900)</f>
        <v/>
      </c>
      <c r="T1100">
        <f>IMAGE("https://mitra.stanford.edu/kundaje/oak/projects/neuro-variants/variant_position/credible/roussos_2024/variant_figures/roussos_2024.childhood.GABA/rs1854173_profile_position.png",4,220,900)</f>
        <v/>
      </c>
    </row>
    <row r="1101">
      <c r="A1101" t="inlineStr">
        <is>
          <t>chr13</t>
        </is>
      </c>
      <c r="B1101" t="n">
        <v>96089608</v>
      </c>
      <c r="C1101" t="inlineStr">
        <is>
          <t>T</t>
        </is>
      </c>
      <c r="D1101" t="inlineStr">
        <is>
          <t>G</t>
        </is>
      </c>
      <c r="E1101" t="inlineStr">
        <is>
          <t>rs11618108</t>
        </is>
      </c>
      <c r="F1101" t="n">
        <v>0.0138072587</v>
      </c>
      <c r="G1101" t="n">
        <v>0.5200265673890828</v>
      </c>
      <c r="H1101" t="n">
        <v>0.0116818051726096</v>
      </c>
      <c r="I1101" t="n">
        <v>0.4692221085295168</v>
      </c>
      <c r="J1101" t="n">
        <v>0.569226822474922</v>
      </c>
      <c r="K1101" t="n">
        <v>0.0355297534083119</v>
      </c>
      <c r="L1101" t="b">
        <v>0</v>
      </c>
      <c r="M1101" t="b">
        <v>0</v>
      </c>
      <c r="N1101" t="inlineStr">
        <is>
          <t>alt</t>
        </is>
      </c>
      <c r="O1101" t="n">
        <v>-70</v>
      </c>
      <c r="P1101" t="n">
        <v>0.008803999999999999</v>
      </c>
      <c r="Q1101" t="n">
        <v>100</v>
      </c>
      <c r="R1101" t="n">
        <v>0.1216</v>
      </c>
      <c r="S1101">
        <f>IMAGE("https://mitra.stanford.edu/kundaje/oak/projects/neuro-variants/variant_position/credible/roussos_2024/variant_figures/roussos_2024.childhood.GABA/rs11618108_count_position.png",4,220,900)</f>
        <v/>
      </c>
      <c r="T1101">
        <f>IMAGE("https://mitra.stanford.edu/kundaje/oak/projects/neuro-variants/variant_position/credible/roussos_2024/variant_figures/roussos_2024.childhood.GABA/rs11618108_profile_position.png",4,220,900)</f>
        <v/>
      </c>
    </row>
    <row r="1102">
      <c r="A1102" t="inlineStr">
        <is>
          <t>chr13</t>
        </is>
      </c>
      <c r="B1102" t="n">
        <v>96103960</v>
      </c>
      <c r="C1102" t="inlineStr">
        <is>
          <t>T</t>
        </is>
      </c>
      <c r="D1102" t="inlineStr">
        <is>
          <t>G</t>
        </is>
      </c>
      <c r="E1102" t="inlineStr">
        <is>
          <t>rs200086486</t>
        </is>
      </c>
      <c r="F1102" t="n">
        <v>-0.0113144808999999</v>
      </c>
      <c r="G1102" t="n">
        <v>0.5904860770266208</v>
      </c>
      <c r="H1102" t="n">
        <v>0.0362653168116836</v>
      </c>
      <c r="I1102" t="n">
        <v>0.0056690781427502</v>
      </c>
      <c r="J1102" t="n">
        <v>0.060424912567276</v>
      </c>
      <c r="K1102" t="n">
        <v>0.4485760124261154</v>
      </c>
      <c r="L1102" t="b">
        <v>1</v>
      </c>
      <c r="M1102" t="b">
        <v>1</v>
      </c>
      <c r="N1102" t="inlineStr">
        <is>
          <t>ref</t>
        </is>
      </c>
      <c r="O1102" t="n">
        <v>40</v>
      </c>
      <c r="P1102" t="n">
        <v>0.00937</v>
      </c>
      <c r="Q1102" t="n">
        <v>-100</v>
      </c>
      <c r="R1102" t="n">
        <v>0.1376</v>
      </c>
      <c r="S1102">
        <f>IMAGE("https://mitra.stanford.edu/kundaje/oak/projects/neuro-variants/variant_position/credible/roussos_2024/variant_figures/roussos_2024.childhood.GABA/rs200086486_count_position.png",4,220,900)</f>
        <v/>
      </c>
      <c r="T1102">
        <f>IMAGE("https://mitra.stanford.edu/kundaje/oak/projects/neuro-variants/variant_position/credible/roussos_2024/variant_figures/roussos_2024.childhood.GABA/rs200086486_profile_position.png",4,220,900)</f>
        <v/>
      </c>
    </row>
    <row r="1103">
      <c r="A1103" t="inlineStr">
        <is>
          <t>chr13</t>
        </is>
      </c>
      <c r="B1103" t="n">
        <v>96117228</v>
      </c>
      <c r="C1103" t="inlineStr">
        <is>
          <t>A</t>
        </is>
      </c>
      <c r="D1103" t="inlineStr">
        <is>
          <t>C</t>
        </is>
      </c>
      <c r="E1103" t="inlineStr">
        <is>
          <t>rs493423</t>
        </is>
      </c>
      <c r="F1103" t="n">
        <v>0.0588131138</v>
      </c>
      <c r="G1103" t="n">
        <v>0.1114296262982387</v>
      </c>
      <c r="H1103" t="n">
        <v>0.0148577682073591</v>
      </c>
      <c r="I1103" t="n">
        <v>0.2309811791458119</v>
      </c>
      <c r="J1103" t="n">
        <v>0.0120426797344557</v>
      </c>
      <c r="K1103" t="n">
        <v>0.7154772211629556</v>
      </c>
      <c r="L1103" t="b">
        <v>0</v>
      </c>
      <c r="M1103" t="b">
        <v>0</v>
      </c>
      <c r="N1103" t="inlineStr">
        <is>
          <t>alt</t>
        </is>
      </c>
      <c r="O1103" t="n">
        <v>95</v>
      </c>
      <c r="P1103" t="n">
        <v>0.01466</v>
      </c>
      <c r="Q1103" t="n">
        <v>80</v>
      </c>
      <c r="R1103" t="n">
        <v>0.03192</v>
      </c>
      <c r="S1103">
        <f>IMAGE("https://mitra.stanford.edu/kundaje/oak/projects/neuro-variants/variant_position/credible/roussos_2024/variant_figures/roussos_2024.childhood.GABA/rs493423_count_position.png",4,220,900)</f>
        <v/>
      </c>
      <c r="T1103">
        <f>IMAGE("https://mitra.stanford.edu/kundaje/oak/projects/neuro-variants/variant_position/credible/roussos_2024/variant_figures/roussos_2024.childhood.GABA/rs493423_profile_position.png",4,220,900)</f>
        <v/>
      </c>
    </row>
    <row r="1104">
      <c r="A1104" t="inlineStr">
        <is>
          <t>chr13</t>
        </is>
      </c>
      <c r="B1104" t="n">
        <v>96136335</v>
      </c>
      <c r="C1104" t="inlineStr">
        <is>
          <t>T</t>
        </is>
      </c>
      <c r="D1104" t="inlineStr">
        <is>
          <t>C</t>
        </is>
      </c>
      <c r="E1104" t="inlineStr">
        <is>
          <t>rs504340</t>
        </is>
      </c>
      <c r="F1104" t="n">
        <v>0.1188632378</v>
      </c>
      <c r="G1104" t="n">
        <v>0.019731191596209</v>
      </c>
      <c r="H1104" t="n">
        <v>0.0135821249993974</v>
      </c>
      <c r="I1104" t="n">
        <v>0.3028145430327137</v>
      </c>
      <c r="J1104" t="n">
        <v>0.1046732005612447</v>
      </c>
      <c r="K1104" t="n">
        <v>0.3745620083468154</v>
      </c>
      <c r="L1104" t="b">
        <v>0</v>
      </c>
      <c r="M1104" t="b">
        <v>0</v>
      </c>
      <c r="N1104" t="inlineStr">
        <is>
          <t>alt</t>
        </is>
      </c>
      <c r="O1104" t="n">
        <v>0</v>
      </c>
      <c r="P1104" t="n">
        <v>0</v>
      </c>
      <c r="Q1104" t="n">
        <v>100</v>
      </c>
      <c r="R1104" t="n">
        <v>0.11304</v>
      </c>
      <c r="S1104">
        <f>IMAGE("https://mitra.stanford.edu/kundaje/oak/projects/neuro-variants/variant_position/credible/roussos_2024/variant_figures/roussos_2024.childhood.GABA/rs504340_count_position.png",4,220,900)</f>
        <v/>
      </c>
      <c r="T1104">
        <f>IMAGE("https://mitra.stanford.edu/kundaje/oak/projects/neuro-variants/variant_position/credible/roussos_2024/variant_figures/roussos_2024.childhood.GABA/rs504340_profile_position.png",4,220,900)</f>
        <v/>
      </c>
    </row>
    <row r="1105">
      <c r="A1105" t="inlineStr">
        <is>
          <t>chr13</t>
        </is>
      </c>
      <c r="B1105" t="n">
        <v>96140622</v>
      </c>
      <c r="C1105" t="inlineStr">
        <is>
          <t>T</t>
        </is>
      </c>
      <c r="D1105" t="inlineStr">
        <is>
          <t>G</t>
        </is>
      </c>
      <c r="E1105" t="inlineStr">
        <is>
          <t>rs1117183</t>
        </is>
      </c>
      <c r="F1105" t="n">
        <v>-0.0011267971199999</v>
      </c>
      <c r="G1105" t="n">
        <v>0.8716443694916558</v>
      </c>
      <c r="H1105" t="n">
        <v>0.0239606702666802</v>
      </c>
      <c r="I1105" t="n">
        <v>0.0344234730434231</v>
      </c>
      <c r="J1105" t="n">
        <v>0.0840495487005507</v>
      </c>
      <c r="K1105" t="n">
        <v>0.3852079985355058</v>
      </c>
      <c r="L1105" t="b">
        <v>0</v>
      </c>
      <c r="M1105" t="b">
        <v>0</v>
      </c>
      <c r="N1105" t="inlineStr">
        <is>
          <t>ref</t>
        </is>
      </c>
      <c r="O1105" t="n">
        <v>-40</v>
      </c>
      <c r="P1105" t="n">
        <v>0.004715</v>
      </c>
      <c r="Q1105" t="n">
        <v>-100</v>
      </c>
      <c r="R1105" t="n">
        <v>0.0914</v>
      </c>
      <c r="S1105">
        <f>IMAGE("https://mitra.stanford.edu/kundaje/oak/projects/neuro-variants/variant_position/credible/roussos_2024/variant_figures/roussos_2024.childhood.GABA/rs1117183_count_position.png",4,220,900)</f>
        <v/>
      </c>
      <c r="T1105">
        <f>IMAGE("https://mitra.stanford.edu/kundaje/oak/projects/neuro-variants/variant_position/credible/roussos_2024/variant_figures/roussos_2024.childhood.GABA/rs1117183_profile_position.png",4,220,900)</f>
        <v/>
      </c>
    </row>
    <row r="1106">
      <c r="A1106" t="inlineStr">
        <is>
          <t>chr13</t>
        </is>
      </c>
      <c r="B1106" t="n">
        <v>96141355</v>
      </c>
      <c r="C1106" t="inlineStr">
        <is>
          <t>C</t>
        </is>
      </c>
      <c r="D1106" t="inlineStr">
        <is>
          <t>T</t>
        </is>
      </c>
      <c r="E1106" t="inlineStr">
        <is>
          <t>rs640357</t>
        </is>
      </c>
      <c r="F1106" t="n">
        <v>-0.0037801870559999</v>
      </c>
      <c r="G1106" t="n">
        <v>0.8048320449707175</v>
      </c>
      <c r="H1106" t="n">
        <v>0.0325522013673742</v>
      </c>
      <c r="I1106" t="n">
        <v>0.0088565182669749</v>
      </c>
      <c r="J1106" t="n">
        <v>0.2827480052773763</v>
      </c>
      <c r="K1106" t="n">
        <v>0.1451345111090043</v>
      </c>
      <c r="L1106" t="b">
        <v>1</v>
      </c>
      <c r="M1106" t="b">
        <v>1</v>
      </c>
      <c r="N1106" t="inlineStr">
        <is>
          <t>ref</t>
        </is>
      </c>
      <c r="O1106" t="n">
        <v>-100</v>
      </c>
      <c r="P1106" t="n">
        <v>0.0327</v>
      </c>
      <c r="Q1106" t="n">
        <v>-100</v>
      </c>
      <c r="R1106" t="n">
        <v>0.208</v>
      </c>
      <c r="S1106">
        <f>IMAGE("https://mitra.stanford.edu/kundaje/oak/projects/neuro-variants/variant_position/credible/roussos_2024/variant_figures/roussos_2024.childhood.GABA/rs640357_count_position.png",4,220,900)</f>
        <v/>
      </c>
      <c r="T1106">
        <f>IMAGE("https://mitra.stanford.edu/kundaje/oak/projects/neuro-variants/variant_position/credible/roussos_2024/variant_figures/roussos_2024.childhood.GABA/rs640357_profile_position.png",4,220,900)</f>
        <v/>
      </c>
    </row>
    <row r="1107">
      <c r="A1107" t="inlineStr">
        <is>
          <t>chr13</t>
        </is>
      </c>
      <c r="B1107" t="n">
        <v>96178713</v>
      </c>
      <c r="C1107" t="inlineStr">
        <is>
          <t>A</t>
        </is>
      </c>
      <c r="D1107" t="inlineStr">
        <is>
          <t>G</t>
        </is>
      </c>
      <c r="E1107" t="inlineStr">
        <is>
          <t>rs16951630</t>
        </is>
      </c>
      <c r="F1107" t="n">
        <v>0.0502122179999999</v>
      </c>
      <c r="G1107" t="n">
        <v>0.1307315804770975</v>
      </c>
      <c r="H1107" t="n">
        <v>0.0120968156442409</v>
      </c>
      <c r="I1107" t="n">
        <v>0.4306633065452727</v>
      </c>
      <c r="J1107" t="n">
        <v>0.015799669116877</v>
      </c>
      <c r="K1107" t="n">
        <v>0.6832722841425755</v>
      </c>
      <c r="L1107" t="b">
        <v>0</v>
      </c>
      <c r="M1107" t="b">
        <v>0</v>
      </c>
      <c r="N1107" t="inlineStr">
        <is>
          <t>alt</t>
        </is>
      </c>
      <c r="O1107" t="n">
        <v>100</v>
      </c>
      <c r="P1107" t="n">
        <v>0.0342</v>
      </c>
      <c r="Q1107" t="n">
        <v>100</v>
      </c>
      <c r="R1107" t="n">
        <v>0.03033</v>
      </c>
      <c r="S1107">
        <f>IMAGE("https://mitra.stanford.edu/kundaje/oak/projects/neuro-variants/variant_position/credible/roussos_2024/variant_figures/roussos_2024.childhood.GABA/rs16951630_count_position.png",4,220,900)</f>
        <v/>
      </c>
      <c r="T1107">
        <f>IMAGE("https://mitra.stanford.edu/kundaje/oak/projects/neuro-variants/variant_position/credible/roussos_2024/variant_figures/roussos_2024.childhood.GABA/rs16951630_profile_position.png",4,220,900)</f>
        <v/>
      </c>
    </row>
    <row r="1108">
      <c r="A1108" t="inlineStr">
        <is>
          <t>chr13</t>
        </is>
      </c>
      <c r="B1108" t="n">
        <v>96207822</v>
      </c>
      <c r="C1108" t="inlineStr">
        <is>
          <t>G</t>
        </is>
      </c>
      <c r="D1108" t="inlineStr">
        <is>
          <t>A</t>
        </is>
      </c>
      <c r="E1108" t="inlineStr">
        <is>
          <t>rs9590371</t>
        </is>
      </c>
      <c r="F1108" t="n">
        <v>-0.0415571488</v>
      </c>
      <c r="G1108" t="n">
        <v>0.1992405970393362</v>
      </c>
      <c r="H1108" t="n">
        <v>0.0095685257824737</v>
      </c>
      <c r="I1108" t="n">
        <v>0.6656958783742867</v>
      </c>
      <c r="J1108" t="n">
        <v>0.0058208205063767</v>
      </c>
      <c r="K1108" t="n">
        <v>0.8028399024238041</v>
      </c>
      <c r="L1108" t="b">
        <v>0</v>
      </c>
      <c r="M1108" t="b">
        <v>0</v>
      </c>
      <c r="N1108" t="inlineStr">
        <is>
          <t>ref</t>
        </is>
      </c>
      <c r="O1108" t="n">
        <v>100</v>
      </c>
      <c r="P1108" t="n">
        <v>0.00611</v>
      </c>
      <c r="Q1108" t="n">
        <v>-70</v>
      </c>
      <c r="R1108" t="n">
        <v>0.0534</v>
      </c>
      <c r="S1108">
        <f>IMAGE("https://mitra.stanford.edu/kundaje/oak/projects/neuro-variants/variant_position/credible/roussos_2024/variant_figures/roussos_2024.childhood.GABA/rs9590371_count_position.png",4,220,900)</f>
        <v/>
      </c>
      <c r="T1108">
        <f>IMAGE("https://mitra.stanford.edu/kundaje/oak/projects/neuro-variants/variant_position/credible/roussos_2024/variant_figures/roussos_2024.childhood.GABA/rs9590371_profile_position.png",4,220,900)</f>
        <v/>
      </c>
    </row>
    <row r="1109">
      <c r="A1109" t="inlineStr">
        <is>
          <t>chr13</t>
        </is>
      </c>
      <c r="B1109" t="n">
        <v>96221190</v>
      </c>
      <c r="C1109" t="inlineStr">
        <is>
          <t>T</t>
        </is>
      </c>
      <c r="D1109" t="inlineStr">
        <is>
          <t>C</t>
        </is>
      </c>
      <c r="E1109" t="inlineStr">
        <is>
          <t>rs1927808</t>
        </is>
      </c>
      <c r="F1109" t="n">
        <v>0.00374649422</v>
      </c>
      <c r="G1109" t="n">
        <v>0.8095253485295608</v>
      </c>
      <c r="H1109" t="n">
        <v>0.0105971600897815</v>
      </c>
      <c r="I1109" t="n">
        <v>0.5774205117421132</v>
      </c>
      <c r="J1109" t="n">
        <v>0.0071799543465057</v>
      </c>
      <c r="K1109" t="n">
        <v>0.7786692996150752</v>
      </c>
      <c r="L1109" t="b">
        <v>0</v>
      </c>
      <c r="M1109" t="b">
        <v>0</v>
      </c>
      <c r="N1109" t="inlineStr">
        <is>
          <t>alt</t>
        </is>
      </c>
      <c r="O1109" t="n">
        <v>-100</v>
      </c>
      <c r="P1109" t="n">
        <v>0.02327</v>
      </c>
      <c r="Q1109" t="n">
        <v>10</v>
      </c>
      <c r="R1109" t="n">
        <v>0.005592</v>
      </c>
      <c r="S1109">
        <f>IMAGE("https://mitra.stanford.edu/kundaje/oak/projects/neuro-variants/variant_position/credible/roussos_2024/variant_figures/roussos_2024.childhood.GABA/rs1927808_count_position.png",4,220,900)</f>
        <v/>
      </c>
      <c r="T1109">
        <f>IMAGE("https://mitra.stanford.edu/kundaje/oak/projects/neuro-variants/variant_position/credible/roussos_2024/variant_figures/roussos_2024.childhood.GABA/rs1927808_profile_position.png",4,220,900)</f>
        <v/>
      </c>
    </row>
    <row r="1110">
      <c r="A1110" t="inlineStr">
        <is>
          <t>chr13</t>
        </is>
      </c>
      <c r="B1110" t="n">
        <v>96229983</v>
      </c>
      <c r="C1110" t="inlineStr">
        <is>
          <t>C</t>
        </is>
      </c>
      <c r="D1110" t="inlineStr">
        <is>
          <t>T</t>
        </is>
      </c>
      <c r="E1110" t="inlineStr">
        <is>
          <t>rs9516643</t>
        </is>
      </c>
      <c r="F1110" t="n">
        <v>-0.08528576039999999</v>
      </c>
      <c r="G1110" t="n">
        <v>0.0463178360970955</v>
      </c>
      <c r="H1110" t="n">
        <v>0.0130882111674045</v>
      </c>
      <c r="I1110" t="n">
        <v>0.3420633565945575</v>
      </c>
      <c r="J1110" t="n">
        <v>0.0640583443278674</v>
      </c>
      <c r="K1110" t="n">
        <v>0.4581907426035005</v>
      </c>
      <c r="L1110" t="b">
        <v>0</v>
      </c>
      <c r="M1110" t="b">
        <v>0</v>
      </c>
      <c r="N1110" t="inlineStr">
        <is>
          <t>ref</t>
        </is>
      </c>
      <c r="O1110" t="n">
        <v>75</v>
      </c>
      <c r="P1110" t="n">
        <v>0.006363</v>
      </c>
      <c r="Q1110" t="n">
        <v>-100</v>
      </c>
      <c r="R1110" t="n">
        <v>0.07770000000000001</v>
      </c>
      <c r="S1110">
        <f>IMAGE("https://mitra.stanford.edu/kundaje/oak/projects/neuro-variants/variant_position/credible/roussos_2024/variant_figures/roussos_2024.childhood.GABA/rs9516643_count_position.png",4,220,900)</f>
        <v/>
      </c>
      <c r="T1110">
        <f>IMAGE("https://mitra.stanford.edu/kundaje/oak/projects/neuro-variants/variant_position/credible/roussos_2024/variant_figures/roussos_2024.childhood.GABA/rs9516643_profile_position.png",4,220,900)</f>
        <v/>
      </c>
    </row>
    <row r="1111">
      <c r="A1111" t="inlineStr">
        <is>
          <t>chr13</t>
        </is>
      </c>
      <c r="B1111" t="n">
        <v>96232625</v>
      </c>
      <c r="C1111" t="inlineStr">
        <is>
          <t>A</t>
        </is>
      </c>
      <c r="D1111" t="inlineStr">
        <is>
          <t>G</t>
        </is>
      </c>
      <c r="E1111" t="inlineStr">
        <is>
          <t>rs9584347</t>
        </is>
      </c>
      <c r="F1111" t="n">
        <v>-0.0100714246</v>
      </c>
      <c r="G1111" t="n">
        <v>0.5199897352477849</v>
      </c>
      <c r="H1111" t="n">
        <v>0.0077250584583886</v>
      </c>
      <c r="I1111" t="n">
        <v>0.8872788731271775</v>
      </c>
      <c r="J1111" t="n">
        <v>0.0361992419006931</v>
      </c>
      <c r="K1111" t="n">
        <v>0.5604279644259753</v>
      </c>
      <c r="L1111" t="b">
        <v>0</v>
      </c>
      <c r="M1111" t="b">
        <v>0</v>
      </c>
      <c r="N1111" t="inlineStr">
        <is>
          <t>ref</t>
        </is>
      </c>
      <c r="O1111" t="n">
        <v>-100</v>
      </c>
      <c r="P1111" t="n">
        <v>0.002312</v>
      </c>
      <c r="Q1111" t="n">
        <v>-70</v>
      </c>
      <c r="R1111" t="n">
        <v>0.0759</v>
      </c>
      <c r="S1111">
        <f>IMAGE("https://mitra.stanford.edu/kundaje/oak/projects/neuro-variants/variant_position/credible/roussos_2024/variant_figures/roussos_2024.childhood.GABA/rs9584347_count_position.png",4,220,900)</f>
        <v/>
      </c>
      <c r="T1111">
        <f>IMAGE("https://mitra.stanford.edu/kundaje/oak/projects/neuro-variants/variant_position/credible/roussos_2024/variant_figures/roussos_2024.childhood.GABA/rs9584347_profile_position.png",4,220,900)</f>
        <v/>
      </c>
    </row>
    <row r="1112">
      <c r="A1112" t="inlineStr">
        <is>
          <t>chr13</t>
        </is>
      </c>
      <c r="B1112" t="n">
        <v>96234119</v>
      </c>
      <c r="C1112" t="inlineStr">
        <is>
          <t>A</t>
        </is>
      </c>
      <c r="D1112" t="inlineStr">
        <is>
          <t>G</t>
        </is>
      </c>
      <c r="E1112" t="inlineStr">
        <is>
          <t>rs9525161</t>
        </is>
      </c>
      <c r="F1112" t="n">
        <v>0.0029901995719999</v>
      </c>
      <c r="G1112" t="n">
        <v>0.8376826103475427</v>
      </c>
      <c r="H1112" t="n">
        <v>0.0145085538872119</v>
      </c>
      <c r="I1112" t="n">
        <v>0.250532868633942</v>
      </c>
      <c r="J1112" t="n">
        <v>0.0066124269648802</v>
      </c>
      <c r="K1112" t="n">
        <v>0.7856804571192827</v>
      </c>
      <c r="L1112" t="b">
        <v>0</v>
      </c>
      <c r="M1112" t="b">
        <v>0</v>
      </c>
      <c r="N1112" t="inlineStr">
        <is>
          <t>alt</t>
        </is>
      </c>
      <c r="O1112" t="n">
        <v>100</v>
      </c>
      <c r="P1112" t="n">
        <v>0.007507</v>
      </c>
      <c r="Q1112" t="n">
        <v>-85</v>
      </c>
      <c r="R1112" t="n">
        <v>0.1924</v>
      </c>
      <c r="S1112">
        <f>IMAGE("https://mitra.stanford.edu/kundaje/oak/projects/neuro-variants/variant_position/credible/roussos_2024/variant_figures/roussos_2024.childhood.GABA/rs9525161_count_position.png",4,220,900)</f>
        <v/>
      </c>
      <c r="T1112">
        <f>IMAGE("https://mitra.stanford.edu/kundaje/oak/projects/neuro-variants/variant_position/credible/roussos_2024/variant_figures/roussos_2024.childhood.GABA/rs9525161_profile_position.png",4,220,900)</f>
        <v/>
      </c>
    </row>
    <row r="1113">
      <c r="A1113" t="inlineStr">
        <is>
          <t>chr13</t>
        </is>
      </c>
      <c r="B1113" t="n">
        <v>96243278</v>
      </c>
      <c r="C1113" t="inlineStr">
        <is>
          <t>G</t>
        </is>
      </c>
      <c r="D1113" t="inlineStr">
        <is>
          <t>A</t>
        </is>
      </c>
      <c r="E1113" t="inlineStr">
        <is>
          <t>rs8002865</t>
        </is>
      </c>
      <c r="F1113" t="n">
        <v>0.0015775312399999</v>
      </c>
      <c r="G1113" t="n">
        <v>0.7765999855627592</v>
      </c>
      <c r="H1113" t="n">
        <v>0.019225115276872</v>
      </c>
      <c r="I1113" t="n">
        <v>0.0878843878077093</v>
      </c>
      <c r="J1113" t="n">
        <v>0.066247827270633</v>
      </c>
      <c r="K1113" t="n">
        <v>0.4308978249031724</v>
      </c>
      <c r="L1113" t="b">
        <v>0</v>
      </c>
      <c r="M1113" t="b">
        <v>0</v>
      </c>
      <c r="N1113" t="inlineStr">
        <is>
          <t>alt</t>
        </is>
      </c>
      <c r="O1113" t="n">
        <v>20</v>
      </c>
      <c r="P1113" t="n">
        <v>0.002317</v>
      </c>
      <c r="Q1113" t="n">
        <v>-100</v>
      </c>
      <c r="R1113" t="n">
        <v>0.04565</v>
      </c>
      <c r="S1113">
        <f>IMAGE("https://mitra.stanford.edu/kundaje/oak/projects/neuro-variants/variant_position/credible/roussos_2024/variant_figures/roussos_2024.childhood.GABA/rs8002865_count_position.png",4,220,900)</f>
        <v/>
      </c>
      <c r="T1113">
        <f>IMAGE("https://mitra.stanford.edu/kundaje/oak/projects/neuro-variants/variant_position/credible/roussos_2024/variant_figures/roussos_2024.childhood.GABA/rs8002865_profile_position.png",4,220,900)</f>
        <v/>
      </c>
    </row>
    <row r="1114">
      <c r="A1114" t="inlineStr">
        <is>
          <t>chr13</t>
        </is>
      </c>
      <c r="B1114" t="n">
        <v>96250122</v>
      </c>
      <c r="C1114" t="inlineStr">
        <is>
          <t>G</t>
        </is>
      </c>
      <c r="D1114" t="inlineStr">
        <is>
          <t>A</t>
        </is>
      </c>
      <c r="E1114" t="inlineStr">
        <is>
          <t>rs1927804</t>
        </is>
      </c>
      <c r="F1114" t="n">
        <v>-0.02546782224</v>
      </c>
      <c r="G1114" t="n">
        <v>0.3611582157071847</v>
      </c>
      <c r="H1114" t="n">
        <v>0.0159955046607371</v>
      </c>
      <c r="I1114" t="n">
        <v>0.1828584030170198</v>
      </c>
      <c r="J1114" t="n">
        <v>0.0737471466566144</v>
      </c>
      <c r="K1114" t="n">
        <v>0.4143007176271264</v>
      </c>
      <c r="L1114" t="b">
        <v>0</v>
      </c>
      <c r="M1114" t="b">
        <v>0</v>
      </c>
      <c r="N1114" t="inlineStr">
        <is>
          <t>ref</t>
        </is>
      </c>
      <c r="O1114" t="n">
        <v>100</v>
      </c>
      <c r="P1114" t="n">
        <v>0.00298</v>
      </c>
      <c r="Q1114" t="n">
        <v>10</v>
      </c>
      <c r="R1114" t="n">
        <v>0.0006104</v>
      </c>
      <c r="S1114">
        <f>IMAGE("https://mitra.stanford.edu/kundaje/oak/projects/neuro-variants/variant_position/credible/roussos_2024/variant_figures/roussos_2024.childhood.GABA/rs1927804_count_position.png",4,220,900)</f>
        <v/>
      </c>
      <c r="T1114">
        <f>IMAGE("https://mitra.stanford.edu/kundaje/oak/projects/neuro-variants/variant_position/credible/roussos_2024/variant_figures/roussos_2024.childhood.GABA/rs1927804_profile_position.png",4,220,900)</f>
        <v/>
      </c>
    </row>
    <row r="1115">
      <c r="A1115" t="inlineStr">
        <is>
          <t>chr13</t>
        </is>
      </c>
      <c r="B1115" t="n">
        <v>96251041</v>
      </c>
      <c r="C1115" t="inlineStr">
        <is>
          <t>C</t>
        </is>
      </c>
      <c r="D1115" t="inlineStr">
        <is>
          <t>T</t>
        </is>
      </c>
      <c r="E1115" t="inlineStr">
        <is>
          <t>rs9516649</t>
        </is>
      </c>
      <c r="F1115" t="n">
        <v>0.1076131291999999</v>
      </c>
      <c r="G1115" t="n">
        <v>0.0327515894136557</v>
      </c>
      <c r="H1115" t="n">
        <v>0.0392213946197971</v>
      </c>
      <c r="I1115" t="n">
        <v>0.0046504369809997</v>
      </c>
      <c r="J1115" t="n">
        <v>0.0317867688634792</v>
      </c>
      <c r="K1115" t="n">
        <v>0.5713042051798204</v>
      </c>
      <c r="L1115" t="b">
        <v>1</v>
      </c>
      <c r="M1115" t="b">
        <v>0</v>
      </c>
      <c r="N1115" t="inlineStr">
        <is>
          <t>alt</t>
        </is>
      </c>
      <c r="O1115" t="n">
        <v>-100</v>
      </c>
      <c r="P1115" t="n">
        <v>0.0024</v>
      </c>
      <c r="Q1115" t="n">
        <v>85</v>
      </c>
      <c r="R1115" t="n">
        <v>0.05493</v>
      </c>
      <c r="S1115">
        <f>IMAGE("https://mitra.stanford.edu/kundaje/oak/projects/neuro-variants/variant_position/credible/roussos_2024/variant_figures/roussos_2024.childhood.GABA/rs9516649_count_position.png",4,220,900)</f>
        <v/>
      </c>
      <c r="T1115">
        <f>IMAGE("https://mitra.stanford.edu/kundaje/oak/projects/neuro-variants/variant_position/credible/roussos_2024/variant_figures/roussos_2024.childhood.GABA/rs9516649_profile_position.png",4,220,900)</f>
        <v/>
      </c>
    </row>
    <row r="1116">
      <c r="A1116" t="inlineStr">
        <is>
          <t>chr13</t>
        </is>
      </c>
      <c r="B1116" t="n">
        <v>96266681</v>
      </c>
      <c r="C1116" t="inlineStr">
        <is>
          <t>C</t>
        </is>
      </c>
      <c r="D1116" t="inlineStr">
        <is>
          <t>T</t>
        </is>
      </c>
      <c r="E1116" t="inlineStr">
        <is>
          <t>rs2104657</t>
        </is>
      </c>
      <c r="F1116" t="n">
        <v>-0.0213166219</v>
      </c>
      <c r="G1116" t="n">
        <v>0.4270987618225184</v>
      </c>
      <c r="H1116" t="n">
        <v>0.0193555778683631</v>
      </c>
      <c r="I1116" t="n">
        <v>0.0886455601534314</v>
      </c>
      <c r="J1116" t="n">
        <v>0.0109044836757345</v>
      </c>
      <c r="K1116" t="n">
        <v>0.734721352363329</v>
      </c>
      <c r="L1116" t="b">
        <v>0</v>
      </c>
      <c r="M1116" t="b">
        <v>0</v>
      </c>
      <c r="N1116" t="inlineStr">
        <is>
          <t>ref</t>
        </is>
      </c>
      <c r="O1116" t="n">
        <v>-95</v>
      </c>
      <c r="P1116" t="n">
        <v>0.01945</v>
      </c>
      <c r="Q1116" t="n">
        <v>5</v>
      </c>
      <c r="R1116" t="n">
        <v>0.003532</v>
      </c>
      <c r="S1116">
        <f>IMAGE("https://mitra.stanford.edu/kundaje/oak/projects/neuro-variants/variant_position/credible/roussos_2024/variant_figures/roussos_2024.childhood.GABA/rs2104657_count_position.png",4,220,900)</f>
        <v/>
      </c>
      <c r="T1116">
        <f>IMAGE("https://mitra.stanford.edu/kundaje/oak/projects/neuro-variants/variant_position/credible/roussos_2024/variant_figures/roussos_2024.childhood.GABA/rs2104657_profile_position.png",4,220,900)</f>
        <v/>
      </c>
    </row>
    <row r="1117">
      <c r="A1117" t="inlineStr">
        <is>
          <t>chr13</t>
        </is>
      </c>
      <c r="B1117" t="n">
        <v>96279985</v>
      </c>
      <c r="C1117" t="inlineStr">
        <is>
          <t>C</t>
        </is>
      </c>
      <c r="D1117" t="inlineStr">
        <is>
          <t>T</t>
        </is>
      </c>
      <c r="E1117" t="inlineStr">
        <is>
          <t>rs1927784</t>
        </is>
      </c>
      <c r="F1117" t="n">
        <v>-0.0896424511999999</v>
      </c>
      <c r="G1117" t="n">
        <v>0.0383485644914269</v>
      </c>
      <c r="H1117" t="n">
        <v>0.0144130924748328</v>
      </c>
      <c r="I1117" t="n">
        <v>0.2585571308625619</v>
      </c>
      <c r="J1117" t="n">
        <v>0.014764088710184</v>
      </c>
      <c r="K1117" t="n">
        <v>0.6999660808866468</v>
      </c>
      <c r="L1117" t="b">
        <v>0</v>
      </c>
      <c r="M1117" t="b">
        <v>0</v>
      </c>
      <c r="N1117" t="inlineStr">
        <is>
          <t>ref</t>
        </is>
      </c>
      <c r="O1117" t="n">
        <v>25</v>
      </c>
      <c r="P1117" t="n">
        <v>0.004227</v>
      </c>
      <c r="Q1117" t="n">
        <v>85</v>
      </c>
      <c r="R1117" t="n">
        <v>0.1443</v>
      </c>
      <c r="S1117">
        <f>IMAGE("https://mitra.stanford.edu/kundaje/oak/projects/neuro-variants/variant_position/credible/roussos_2024/variant_figures/roussos_2024.childhood.GABA/rs1927784_count_position.png",4,220,900)</f>
        <v/>
      </c>
      <c r="T1117">
        <f>IMAGE("https://mitra.stanford.edu/kundaje/oak/projects/neuro-variants/variant_position/credible/roussos_2024/variant_figures/roussos_2024.childhood.GABA/rs1927784_profile_position.png",4,220,900)</f>
        <v/>
      </c>
    </row>
    <row r="1118">
      <c r="A1118" t="inlineStr">
        <is>
          <t>chr13</t>
        </is>
      </c>
      <c r="B1118" t="n">
        <v>96289458</v>
      </c>
      <c r="C1118" t="inlineStr">
        <is>
          <t>G</t>
        </is>
      </c>
      <c r="D1118" t="inlineStr">
        <is>
          <t>T</t>
        </is>
      </c>
      <c r="E1118" t="inlineStr">
        <is>
          <t>rs61966895</t>
        </is>
      </c>
      <c r="F1118" t="n">
        <v>0.124256776</v>
      </c>
      <c r="G1118" t="n">
        <v>0.0216297153080378</v>
      </c>
      <c r="H1118" t="n">
        <v>0.03029275631092</v>
      </c>
      <c r="I1118" t="n">
        <v>0.013923071846593</v>
      </c>
      <c r="J1118" t="n">
        <v>0.0277135557370525</v>
      </c>
      <c r="K1118" t="n">
        <v>0.592371336164373</v>
      </c>
      <c r="L1118" t="b">
        <v>1</v>
      </c>
      <c r="M1118" t="b">
        <v>0</v>
      </c>
      <c r="N1118" t="inlineStr">
        <is>
          <t>alt</t>
        </is>
      </c>
      <c r="O1118" t="n">
        <v>-95</v>
      </c>
      <c r="P1118" t="n">
        <v>0.0243</v>
      </c>
      <c r="Q1118" t="n">
        <v>-55</v>
      </c>
      <c r="R1118" t="n">
        <v>0.02956</v>
      </c>
      <c r="S1118">
        <f>IMAGE("https://mitra.stanford.edu/kundaje/oak/projects/neuro-variants/variant_position/credible/roussos_2024/variant_figures/roussos_2024.childhood.GABA/rs61966895_count_position.png",4,220,900)</f>
        <v/>
      </c>
      <c r="T1118">
        <f>IMAGE("https://mitra.stanford.edu/kundaje/oak/projects/neuro-variants/variant_position/credible/roussos_2024/variant_figures/roussos_2024.childhood.GABA/rs61966895_profile_position.png",4,220,900)</f>
        <v/>
      </c>
    </row>
    <row r="1119">
      <c r="A1119" t="inlineStr">
        <is>
          <t>chr13</t>
        </is>
      </c>
      <c r="B1119" t="n">
        <v>96297443</v>
      </c>
      <c r="C1119" t="inlineStr">
        <is>
          <t>A</t>
        </is>
      </c>
      <c r="D1119" t="inlineStr">
        <is>
          <t>G</t>
        </is>
      </c>
      <c r="E1119" t="inlineStr">
        <is>
          <t>rs11619328</t>
        </is>
      </c>
      <c r="F1119" t="n">
        <v>0.084675607</v>
      </c>
      <c r="G1119" t="n">
        <v>0.0419282990752798</v>
      </c>
      <c r="H1119" t="n">
        <v>0.012241911923222</v>
      </c>
      <c r="I1119" t="n">
        <v>0.4200456946207596</v>
      </c>
      <c r="J1119" t="n">
        <v>0.0322286444262947</v>
      </c>
      <c r="K1119" t="n">
        <v>0.5693601724563774</v>
      </c>
      <c r="L1119" t="b">
        <v>0</v>
      </c>
      <c r="M1119" t="b">
        <v>0</v>
      </c>
      <c r="N1119" t="inlineStr">
        <is>
          <t>alt</t>
        </is>
      </c>
      <c r="O1119" t="n">
        <v>-20</v>
      </c>
      <c r="P1119" t="n">
        <v>0.002132</v>
      </c>
      <c r="Q1119" t="n">
        <v>50</v>
      </c>
      <c r="R1119" t="n">
        <v>0.0249</v>
      </c>
      <c r="S1119">
        <f>IMAGE("https://mitra.stanford.edu/kundaje/oak/projects/neuro-variants/variant_position/credible/roussos_2024/variant_figures/roussos_2024.childhood.GABA/rs11619328_count_position.png",4,220,900)</f>
        <v/>
      </c>
      <c r="T1119">
        <f>IMAGE("https://mitra.stanford.edu/kundaje/oak/projects/neuro-variants/variant_position/credible/roussos_2024/variant_figures/roussos_2024.childhood.GABA/rs11619328_profile_position.png",4,220,900)</f>
        <v/>
      </c>
    </row>
    <row r="1120">
      <c r="A1120" t="inlineStr">
        <is>
          <t>chr13</t>
        </is>
      </c>
      <c r="B1120" t="n">
        <v>96299179</v>
      </c>
      <c r="C1120" t="inlineStr">
        <is>
          <t>G</t>
        </is>
      </c>
      <c r="D1120" t="inlineStr">
        <is>
          <t>T</t>
        </is>
      </c>
      <c r="E1120" t="inlineStr">
        <is>
          <t>rs2038823</t>
        </is>
      </c>
      <c r="F1120" t="n">
        <v>-0.166543368</v>
      </c>
      <c r="G1120" t="n">
        <v>0.0075728379928095</v>
      </c>
      <c r="H1120" t="n">
        <v>0.0206575014767631</v>
      </c>
      <c r="I1120" t="n">
        <v>0.0739636024732338</v>
      </c>
      <c r="J1120" t="n">
        <v>0.0595662918054071</v>
      </c>
      <c r="K1120" t="n">
        <v>0.4770044506610338</v>
      </c>
      <c r="L1120" t="b">
        <v>1</v>
      </c>
      <c r="M1120" t="b">
        <v>1</v>
      </c>
      <c r="N1120" t="inlineStr">
        <is>
          <t>ref</t>
        </is>
      </c>
      <c r="O1120" t="n">
        <v>-90</v>
      </c>
      <c r="P1120" t="n">
        <v>0.003557</v>
      </c>
      <c r="Q1120" t="n">
        <v>65</v>
      </c>
      <c r="R1120" t="n">
        <v>0.06128</v>
      </c>
      <c r="S1120">
        <f>IMAGE("https://mitra.stanford.edu/kundaje/oak/projects/neuro-variants/variant_position/credible/roussos_2024/variant_figures/roussos_2024.childhood.GABA/rs2038823_count_position.png",4,220,900)</f>
        <v/>
      </c>
      <c r="T1120">
        <f>IMAGE("https://mitra.stanford.edu/kundaje/oak/projects/neuro-variants/variant_position/credible/roussos_2024/variant_figures/roussos_2024.childhood.GABA/rs2038823_profile_position.png",4,220,900)</f>
        <v/>
      </c>
    </row>
    <row r="1121">
      <c r="A1121" t="inlineStr">
        <is>
          <t>chr13</t>
        </is>
      </c>
      <c r="B1121" t="n">
        <v>96306638</v>
      </c>
      <c r="C1121" t="inlineStr">
        <is>
          <t>C</t>
        </is>
      </c>
      <c r="D1121" t="inlineStr">
        <is>
          <t>T</t>
        </is>
      </c>
      <c r="E1121" t="inlineStr">
        <is>
          <t>rs11618312</t>
        </is>
      </c>
      <c r="F1121" t="n">
        <v>-0.0259860042</v>
      </c>
      <c r="G1121" t="n">
        <v>0.3617613084714778</v>
      </c>
      <c r="H1121" t="n">
        <v>0.0106049842819478</v>
      </c>
      <c r="I1121" t="n">
        <v>0.5785381442793827</v>
      </c>
      <c r="J1121" t="n">
        <v>0.0253251240811709</v>
      </c>
      <c r="K1121" t="n">
        <v>0.6182514480388004</v>
      </c>
      <c r="L1121" t="b">
        <v>0</v>
      </c>
      <c r="M1121" t="b">
        <v>0</v>
      </c>
      <c r="N1121" t="inlineStr">
        <is>
          <t>ref</t>
        </is>
      </c>
      <c r="O1121" t="n">
        <v>100</v>
      </c>
      <c r="P1121" t="n">
        <v>0.00608</v>
      </c>
      <c r="Q1121" t="n">
        <v>-15</v>
      </c>
      <c r="R1121" t="n">
        <v>0.08124000000000001</v>
      </c>
      <c r="S1121">
        <f>IMAGE("https://mitra.stanford.edu/kundaje/oak/projects/neuro-variants/variant_position/credible/roussos_2024/variant_figures/roussos_2024.childhood.GABA/rs11618312_count_position.png",4,220,900)</f>
        <v/>
      </c>
      <c r="T1121">
        <f>IMAGE("https://mitra.stanford.edu/kundaje/oak/projects/neuro-variants/variant_position/credible/roussos_2024/variant_figures/roussos_2024.childhood.GABA/rs11618312_profile_position.png",4,220,900)</f>
        <v/>
      </c>
    </row>
    <row r="1122">
      <c r="A1122" t="inlineStr">
        <is>
          <t>chr13</t>
        </is>
      </c>
      <c r="B1122" t="n">
        <v>96310731</v>
      </c>
      <c r="C1122" t="inlineStr">
        <is>
          <t>G</t>
        </is>
      </c>
      <c r="D1122" t="inlineStr">
        <is>
          <t>A</t>
        </is>
      </c>
      <c r="E1122" t="inlineStr">
        <is>
          <t>rs117420459</t>
        </is>
      </c>
      <c r="F1122" t="n">
        <v>-0.0565989105999999</v>
      </c>
      <c r="G1122" t="n">
        <v>0.1141674744406015</v>
      </c>
      <c r="H1122" t="n">
        <v>0.0108364897193907</v>
      </c>
      <c r="I1122" t="n">
        <v>0.5436633152157825</v>
      </c>
      <c r="J1122" t="n">
        <v>0.1152886850537161</v>
      </c>
      <c r="K1122" t="n">
        <v>0.3327060924683788</v>
      </c>
      <c r="L1122" t="b">
        <v>0</v>
      </c>
      <c r="M1122" t="b">
        <v>0</v>
      </c>
      <c r="N1122" t="inlineStr">
        <is>
          <t>ref</t>
        </is>
      </c>
      <c r="O1122" t="n">
        <v>-55</v>
      </c>
      <c r="P1122" t="n">
        <v>0.000969</v>
      </c>
      <c r="Q1122" t="n">
        <v>-55</v>
      </c>
      <c r="R1122" t="n">
        <v>0.05615</v>
      </c>
      <c r="S1122">
        <f>IMAGE("https://mitra.stanford.edu/kundaje/oak/projects/neuro-variants/variant_position/credible/roussos_2024/variant_figures/roussos_2024.childhood.GABA/rs117420459_count_position.png",4,220,900)</f>
        <v/>
      </c>
      <c r="T1122">
        <f>IMAGE("https://mitra.stanford.edu/kundaje/oak/projects/neuro-variants/variant_position/credible/roussos_2024/variant_figures/roussos_2024.childhood.GABA/rs117420459_profile_position.png",4,220,900)</f>
        <v/>
      </c>
    </row>
    <row r="1123">
      <c r="A1123" t="inlineStr">
        <is>
          <t>chr13</t>
        </is>
      </c>
      <c r="B1123" t="n">
        <v>96315469</v>
      </c>
      <c r="C1123" t="inlineStr">
        <is>
          <t>G</t>
        </is>
      </c>
      <c r="D1123" t="inlineStr">
        <is>
          <t>A</t>
        </is>
      </c>
      <c r="E1123" t="inlineStr">
        <is>
          <t>rs115587611</t>
        </is>
      </c>
      <c r="F1123" t="n">
        <v>0.0369109591999999</v>
      </c>
      <c r="G1123" t="n">
        <v>0.2328022982845785</v>
      </c>
      <c r="H1123" t="n">
        <v>0.0230030009708238</v>
      </c>
      <c r="I1123" t="n">
        <v>0.0411028408478169</v>
      </c>
      <c r="J1123" t="n">
        <v>0.0453686833783585</v>
      </c>
      <c r="K1123" t="n">
        <v>0.5043330096933748</v>
      </c>
      <c r="L1123" t="b">
        <v>0</v>
      </c>
      <c r="M1123" t="b">
        <v>0</v>
      </c>
      <c r="N1123" t="inlineStr">
        <is>
          <t>alt</t>
        </is>
      </c>
      <c r="O1123" t="n">
        <v>100</v>
      </c>
      <c r="P1123" t="n">
        <v>0.01881</v>
      </c>
      <c r="Q1123" t="n">
        <v>100</v>
      </c>
      <c r="R1123" t="n">
        <v>0.0893</v>
      </c>
      <c r="S1123">
        <f>IMAGE("https://mitra.stanford.edu/kundaje/oak/projects/neuro-variants/variant_position/credible/roussos_2024/variant_figures/roussos_2024.childhood.GABA/rs115587611_count_position.png",4,220,900)</f>
        <v/>
      </c>
      <c r="T1123">
        <f>IMAGE("https://mitra.stanford.edu/kundaje/oak/projects/neuro-variants/variant_position/credible/roussos_2024/variant_figures/roussos_2024.childhood.GABA/rs115587611_profile_position.png",4,220,900)</f>
        <v/>
      </c>
    </row>
    <row r="1124">
      <c r="A1124" t="inlineStr">
        <is>
          <t>chr13</t>
        </is>
      </c>
      <c r="B1124" t="n">
        <v>96316993</v>
      </c>
      <c r="C1124" t="inlineStr">
        <is>
          <t>T</t>
        </is>
      </c>
      <c r="D1124" t="inlineStr">
        <is>
          <t>C</t>
        </is>
      </c>
      <c r="E1124" t="inlineStr">
        <is>
          <t>rs115470719</t>
        </is>
      </c>
      <c r="F1124" t="n">
        <v>-0.0006933899999999</v>
      </c>
      <c r="G1124" t="n">
        <v>0.7377895591096381</v>
      </c>
      <c r="H1124" t="n">
        <v>0.0253893023488131</v>
      </c>
      <c r="I1124" t="n">
        <v>0.0268673696163721</v>
      </c>
      <c r="J1124" t="n">
        <v>0.1129923980649619</v>
      </c>
      <c r="K1124" t="n">
        <v>0.3217670723059043</v>
      </c>
      <c r="L1124" t="b">
        <v>0</v>
      </c>
      <c r="M1124" t="b">
        <v>0</v>
      </c>
      <c r="N1124" t="inlineStr">
        <is>
          <t>ref</t>
        </is>
      </c>
      <c r="O1124" t="n">
        <v>-35</v>
      </c>
      <c r="P1124" t="n">
        <v>0.002289</v>
      </c>
      <c r="Q1124" t="n">
        <v>-95</v>
      </c>
      <c r="R1124" t="n">
        <v>0.0536</v>
      </c>
      <c r="S1124">
        <f>IMAGE("https://mitra.stanford.edu/kundaje/oak/projects/neuro-variants/variant_position/credible/roussos_2024/variant_figures/roussos_2024.childhood.GABA/rs115470719_count_position.png",4,220,900)</f>
        <v/>
      </c>
      <c r="T1124">
        <f>IMAGE("https://mitra.stanford.edu/kundaje/oak/projects/neuro-variants/variant_position/credible/roussos_2024/variant_figures/roussos_2024.childhood.GABA/rs115470719_profile_position.png",4,220,900)</f>
        <v/>
      </c>
    </row>
    <row r="1125">
      <c r="A1125" t="inlineStr">
        <is>
          <t>chr13</t>
        </is>
      </c>
      <c r="B1125" t="n">
        <v>96320974</v>
      </c>
      <c r="C1125" t="inlineStr">
        <is>
          <t>C</t>
        </is>
      </c>
      <c r="D1125" t="inlineStr">
        <is>
          <t>A</t>
        </is>
      </c>
      <c r="E1125" t="inlineStr">
        <is>
          <t>rs61966906</t>
        </is>
      </c>
      <c r="F1125" t="n">
        <v>0.03254589832</v>
      </c>
      <c r="G1125" t="n">
        <v>0.2824497278425318</v>
      </c>
      <c r="H1125" t="n">
        <v>0.0204237769538219</v>
      </c>
      <c r="I1125" t="n">
        <v>0.0747152715851645</v>
      </c>
      <c r="J1125" t="n">
        <v>0.1162760989298652</v>
      </c>
      <c r="K1125" t="n">
        <v>0.3295244114220003</v>
      </c>
      <c r="L1125" t="b">
        <v>0</v>
      </c>
      <c r="M1125" t="b">
        <v>0</v>
      </c>
      <c r="N1125" t="inlineStr">
        <is>
          <t>alt</t>
        </is>
      </c>
      <c r="O1125" t="n">
        <v>70</v>
      </c>
      <c r="P1125" t="n">
        <v>0.02579</v>
      </c>
      <c r="Q1125" t="n">
        <v>-15</v>
      </c>
      <c r="R1125" t="n">
        <v>0.0393</v>
      </c>
      <c r="S1125">
        <f>IMAGE("https://mitra.stanford.edu/kundaje/oak/projects/neuro-variants/variant_position/credible/roussos_2024/variant_figures/roussos_2024.childhood.GABA/rs61966906_count_position.png",4,220,900)</f>
        <v/>
      </c>
      <c r="T1125">
        <f>IMAGE("https://mitra.stanford.edu/kundaje/oak/projects/neuro-variants/variant_position/credible/roussos_2024/variant_figures/roussos_2024.childhood.GABA/rs61966906_profile_position.png",4,220,900)</f>
        <v/>
      </c>
    </row>
    <row r="1126">
      <c r="A1126" t="inlineStr">
        <is>
          <t>chr13</t>
        </is>
      </c>
      <c r="B1126" t="n">
        <v>96325548</v>
      </c>
      <c r="C1126" t="inlineStr">
        <is>
          <t>C</t>
        </is>
      </c>
      <c r="D1126" t="inlineStr">
        <is>
          <t>T</t>
        </is>
      </c>
      <c r="E1126" t="inlineStr">
        <is>
          <t>rs61966910</t>
        </is>
      </c>
      <c r="F1126" t="n">
        <v>-0.105828583</v>
      </c>
      <c r="G1126" t="n">
        <v>0.0278700765894089</v>
      </c>
      <c r="H1126" t="n">
        <v>0.0189787761808301</v>
      </c>
      <c r="I1126" t="n">
        <v>0.0963038871972083</v>
      </c>
      <c r="J1126" t="n">
        <v>0.0180488366735774</v>
      </c>
      <c r="K1126" t="n">
        <v>0.7029250618627354</v>
      </c>
      <c r="L1126" t="b">
        <v>0</v>
      </c>
      <c r="M1126" t="b">
        <v>0</v>
      </c>
      <c r="N1126" t="inlineStr">
        <is>
          <t>ref</t>
        </is>
      </c>
      <c r="O1126" t="n">
        <v>-100</v>
      </c>
      <c r="P1126" t="n">
        <v>0.007934999999999999</v>
      </c>
      <c r="Q1126" t="n">
        <v>75</v>
      </c>
      <c r="R1126" t="n">
        <v>0.04028</v>
      </c>
      <c r="S1126">
        <f>IMAGE("https://mitra.stanford.edu/kundaje/oak/projects/neuro-variants/variant_position/credible/roussos_2024/variant_figures/roussos_2024.childhood.GABA/rs61966910_count_position.png",4,220,900)</f>
        <v/>
      </c>
      <c r="T1126">
        <f>IMAGE("https://mitra.stanford.edu/kundaje/oak/projects/neuro-variants/variant_position/credible/roussos_2024/variant_figures/roussos_2024.childhood.GABA/rs61966910_profile_position.png",4,220,900)</f>
        <v/>
      </c>
    </row>
    <row r="1127">
      <c r="A1127" t="inlineStr">
        <is>
          <t>chr13</t>
        </is>
      </c>
      <c r="B1127" t="n">
        <v>96331923</v>
      </c>
      <c r="C1127" t="inlineStr">
        <is>
          <t>G</t>
        </is>
      </c>
      <c r="D1127" t="inlineStr">
        <is>
          <t>A</t>
        </is>
      </c>
      <c r="E1127" t="inlineStr">
        <is>
          <t>rs11616787</t>
        </is>
      </c>
      <c r="F1127" t="n">
        <v>-0.06703396739999989</v>
      </c>
      <c r="G1127" t="n">
        <v>0.0770764122918103</v>
      </c>
      <c r="H1127" t="n">
        <v>0.0130611623845723</v>
      </c>
      <c r="I1127" t="n">
        <v>0.3477038708630617</v>
      </c>
      <c r="J1127" t="n">
        <v>0.4701419865552553</v>
      </c>
      <c r="K1127" t="n">
        <v>0.0592967046587934</v>
      </c>
      <c r="L1127" t="b">
        <v>0</v>
      </c>
      <c r="M1127" t="b">
        <v>0</v>
      </c>
      <c r="N1127" t="inlineStr">
        <is>
          <t>ref</t>
        </is>
      </c>
      <c r="O1127" t="n">
        <v>-30</v>
      </c>
      <c r="P1127" t="n">
        <v>0.002106</v>
      </c>
      <c r="Q1127" t="n">
        <v>-30</v>
      </c>
      <c r="R1127" t="n">
        <v>0.03735</v>
      </c>
      <c r="S1127">
        <f>IMAGE("https://mitra.stanford.edu/kundaje/oak/projects/neuro-variants/variant_position/credible/roussos_2024/variant_figures/roussos_2024.childhood.GABA/rs11616787_count_position.png",4,220,900)</f>
        <v/>
      </c>
      <c r="T1127">
        <f>IMAGE("https://mitra.stanford.edu/kundaje/oak/projects/neuro-variants/variant_position/credible/roussos_2024/variant_figures/roussos_2024.childhood.GABA/rs11616787_profile_position.png",4,220,900)</f>
        <v/>
      </c>
    </row>
    <row r="1128">
      <c r="A1128" t="inlineStr">
        <is>
          <t>chr13</t>
        </is>
      </c>
      <c r="B1128" t="n">
        <v>96336988</v>
      </c>
      <c r="C1128" t="inlineStr">
        <is>
          <t>A</t>
        </is>
      </c>
      <c r="D1128" t="inlineStr">
        <is>
          <t>C</t>
        </is>
      </c>
      <c r="E1128" t="inlineStr">
        <is>
          <t>rs11620555</t>
        </is>
      </c>
      <c r="F1128" t="n">
        <v>0.0306845254</v>
      </c>
      <c r="G1128" t="n">
        <v>0.2922666730436203</v>
      </c>
      <c r="H1128" t="n">
        <v>0.0082526971580963</v>
      </c>
      <c r="I1128" t="n">
        <v>0.8249271931565683</v>
      </c>
      <c r="J1128" t="n">
        <v>0.0053831333375216</v>
      </c>
      <c r="K1128" t="n">
        <v>0.8123601825747953</v>
      </c>
      <c r="L1128" t="b">
        <v>0</v>
      </c>
      <c r="M1128" t="b">
        <v>0</v>
      </c>
      <c r="N1128" t="inlineStr">
        <is>
          <t>alt</t>
        </is>
      </c>
      <c r="O1128" t="n">
        <v>80</v>
      </c>
      <c r="P1128" t="n">
        <v>0.00463</v>
      </c>
      <c r="Q1128" t="n">
        <v>100</v>
      </c>
      <c r="R1128" t="n">
        <v>0.1675</v>
      </c>
      <c r="S1128">
        <f>IMAGE("https://mitra.stanford.edu/kundaje/oak/projects/neuro-variants/variant_position/credible/roussos_2024/variant_figures/roussos_2024.childhood.GABA/rs11620555_count_position.png",4,220,900)</f>
        <v/>
      </c>
      <c r="T1128">
        <f>IMAGE("https://mitra.stanford.edu/kundaje/oak/projects/neuro-variants/variant_position/credible/roussos_2024/variant_figures/roussos_2024.childhood.GABA/rs11620555_profile_position.png",4,220,900)</f>
        <v/>
      </c>
    </row>
    <row r="1129">
      <c r="A1129" t="inlineStr">
        <is>
          <t>chr13</t>
        </is>
      </c>
      <c r="B1129" t="n">
        <v>96338199</v>
      </c>
      <c r="C1129" t="inlineStr">
        <is>
          <t>A</t>
        </is>
      </c>
      <c r="D1129" t="inlineStr">
        <is>
          <t>G</t>
        </is>
      </c>
      <c r="E1129" t="inlineStr">
        <is>
          <t>rs11842501</t>
        </is>
      </c>
      <c r="F1129" t="n">
        <v>-0.08060360580000001</v>
      </c>
      <c r="G1129" t="n">
        <v>0.0646007061181717</v>
      </c>
      <c r="H1129" t="n">
        <v>0.0130059756762424</v>
      </c>
      <c r="I1129" t="n">
        <v>0.3312110337039177</v>
      </c>
      <c r="J1129" t="n">
        <v>0.06453896253481591</v>
      </c>
      <c r="K1129" t="n">
        <v>0.446117417684324</v>
      </c>
      <c r="L1129" t="b">
        <v>0</v>
      </c>
      <c r="M1129" t="b">
        <v>0</v>
      </c>
      <c r="N1129" t="inlineStr">
        <is>
          <t>ref</t>
        </is>
      </c>
      <c r="O1129" t="n">
        <v>-80</v>
      </c>
      <c r="P1129" t="n">
        <v>0.02312</v>
      </c>
      <c r="Q1129" t="n">
        <v>-70</v>
      </c>
      <c r="R1129" t="n">
        <v>0.1864</v>
      </c>
      <c r="S1129">
        <f>IMAGE("https://mitra.stanford.edu/kundaje/oak/projects/neuro-variants/variant_position/credible/roussos_2024/variant_figures/roussos_2024.childhood.GABA/rs11842501_count_position.png",4,220,900)</f>
        <v/>
      </c>
      <c r="T1129">
        <f>IMAGE("https://mitra.stanford.edu/kundaje/oak/projects/neuro-variants/variant_position/credible/roussos_2024/variant_figures/roussos_2024.childhood.GABA/rs11842501_profile_position.png",4,220,900)</f>
        <v/>
      </c>
    </row>
    <row r="1130">
      <c r="A1130" t="inlineStr">
        <is>
          <t>chr13</t>
        </is>
      </c>
      <c r="B1130" t="n">
        <v>96338407</v>
      </c>
      <c r="C1130" t="inlineStr">
        <is>
          <t>C</t>
        </is>
      </c>
      <c r="D1130" t="inlineStr">
        <is>
          <t>T</t>
        </is>
      </c>
      <c r="E1130" t="inlineStr">
        <is>
          <t>rs61966935</t>
        </is>
      </c>
      <c r="F1130" t="n">
        <v>-0.0091112680228</v>
      </c>
      <c r="G1130" t="n">
        <v>0.6798034053180432</v>
      </c>
      <c r="H1130" t="n">
        <v>0.009292597523433</v>
      </c>
      <c r="I1130" t="n">
        <v>0.7230334847992612</v>
      </c>
      <c r="J1130" t="n">
        <v>0.0956262696069191</v>
      </c>
      <c r="K1130" t="n">
        <v>0.3701504858986594</v>
      </c>
      <c r="L1130" t="b">
        <v>0</v>
      </c>
      <c r="M1130" t="b">
        <v>0</v>
      </c>
      <c r="N1130" t="inlineStr">
        <is>
          <t>ref</t>
        </is>
      </c>
      <c r="O1130" t="n">
        <v>40</v>
      </c>
      <c r="P1130" t="n">
        <v>0.00141</v>
      </c>
      <c r="Q1130" t="n">
        <v>-90</v>
      </c>
      <c r="R1130" t="n">
        <v>0.2869</v>
      </c>
      <c r="S1130">
        <f>IMAGE("https://mitra.stanford.edu/kundaje/oak/projects/neuro-variants/variant_position/credible/roussos_2024/variant_figures/roussos_2024.childhood.GABA/rs61966935_count_position.png",4,220,900)</f>
        <v/>
      </c>
      <c r="T1130">
        <f>IMAGE("https://mitra.stanford.edu/kundaje/oak/projects/neuro-variants/variant_position/credible/roussos_2024/variant_figures/roussos_2024.childhood.GABA/rs61966935_profile_position.png",4,220,900)</f>
        <v/>
      </c>
    </row>
    <row r="1131">
      <c r="A1131" t="inlineStr">
        <is>
          <t>chr13</t>
        </is>
      </c>
      <c r="B1131" t="n">
        <v>96342898</v>
      </c>
      <c r="C1131" t="inlineStr">
        <is>
          <t>G</t>
        </is>
      </c>
      <c r="D1131" t="inlineStr">
        <is>
          <t>T</t>
        </is>
      </c>
      <c r="E1131" t="inlineStr">
        <is>
          <t>rs11618566</t>
        </is>
      </c>
      <c r="F1131" t="n">
        <v>0.0548704724</v>
      </c>
      <c r="G1131" t="n">
        <v>0.1255042766918692</v>
      </c>
      <c r="H1131" t="n">
        <v>0.0199493324641115</v>
      </c>
      <c r="I1131" t="n">
        <v>0.0795410150777629</v>
      </c>
      <c r="J1131" t="n">
        <v>0.1097840882913446</v>
      </c>
      <c r="K1131" t="n">
        <v>0.3311644642485912</v>
      </c>
      <c r="L1131" t="b">
        <v>0</v>
      </c>
      <c r="M1131" t="b">
        <v>0</v>
      </c>
      <c r="N1131" t="inlineStr">
        <is>
          <t>alt</t>
        </is>
      </c>
      <c r="O1131" t="n">
        <v>-100</v>
      </c>
      <c r="P1131" t="n">
        <v>0.03357</v>
      </c>
      <c r="Q1131" t="n">
        <v>-100</v>
      </c>
      <c r="R1131" t="n">
        <v>0.02539</v>
      </c>
      <c r="S1131">
        <f>IMAGE("https://mitra.stanford.edu/kundaje/oak/projects/neuro-variants/variant_position/credible/roussos_2024/variant_figures/roussos_2024.childhood.GABA/rs11618566_count_position.png",4,220,900)</f>
        <v/>
      </c>
      <c r="T1131">
        <f>IMAGE("https://mitra.stanford.edu/kundaje/oak/projects/neuro-variants/variant_position/credible/roussos_2024/variant_figures/roussos_2024.childhood.GABA/rs11618566_profile_position.png",4,220,900)</f>
        <v/>
      </c>
    </row>
    <row r="1132">
      <c r="A1132" t="inlineStr">
        <is>
          <t>chr13</t>
        </is>
      </c>
      <c r="B1132" t="n">
        <v>101365510</v>
      </c>
      <c r="C1132" t="inlineStr">
        <is>
          <t>G</t>
        </is>
      </c>
      <c r="D1132" t="inlineStr">
        <is>
          <t>A</t>
        </is>
      </c>
      <c r="E1132" t="inlineStr">
        <is>
          <t>rs7993037</t>
        </is>
      </c>
      <c r="F1132" t="n">
        <v>0.0102198022</v>
      </c>
      <c r="G1132" t="n">
        <v>0.6007679445496573</v>
      </c>
      <c r="H1132" t="n">
        <v>0.0144087541074371</v>
      </c>
      <c r="I1132" t="n">
        <v>0.2563204470804895</v>
      </c>
      <c r="J1132" t="n">
        <v>0.0131662164143158</v>
      </c>
      <c r="K1132" t="n">
        <v>0.7201168941327678</v>
      </c>
      <c r="L1132" t="b">
        <v>0</v>
      </c>
      <c r="M1132" t="b">
        <v>0</v>
      </c>
      <c r="N1132" t="inlineStr">
        <is>
          <t>alt</t>
        </is>
      </c>
      <c r="O1132" t="n">
        <v>25</v>
      </c>
      <c r="P1132" t="n">
        <v>0.001892</v>
      </c>
      <c r="Q1132" t="n">
        <v>-100</v>
      </c>
      <c r="R1132" t="n">
        <v>0.0895</v>
      </c>
      <c r="S1132">
        <f>IMAGE("https://mitra.stanford.edu/kundaje/oak/projects/neuro-variants/variant_position/credible/roussos_2024/variant_figures/roussos_2024.childhood.GABA/rs7993037_count_position.png",4,220,900)</f>
        <v/>
      </c>
      <c r="T1132">
        <f>IMAGE("https://mitra.stanford.edu/kundaje/oak/projects/neuro-variants/variant_position/credible/roussos_2024/variant_figures/roussos_2024.childhood.GABA/rs7993037_profile_position.png",4,220,900)</f>
        <v/>
      </c>
    </row>
    <row r="1133">
      <c r="A1133" t="inlineStr">
        <is>
          <t>chr13</t>
        </is>
      </c>
      <c r="B1133" t="n">
        <v>101365522</v>
      </c>
      <c r="C1133" t="inlineStr">
        <is>
          <t>T</t>
        </is>
      </c>
      <c r="D1133" t="inlineStr">
        <is>
          <t>C</t>
        </is>
      </c>
      <c r="E1133" t="inlineStr">
        <is>
          <t>rs114779898</t>
        </is>
      </c>
      <c r="F1133" t="n">
        <v>0.0253868462</v>
      </c>
      <c r="G1133" t="n">
        <v>0.3324351317178</v>
      </c>
      <c r="H1133" t="n">
        <v>0.0229251888395089</v>
      </c>
      <c r="I1133" t="n">
        <v>0.0424131590636407</v>
      </c>
      <c r="J1133" t="n">
        <v>0.0139065150468052</v>
      </c>
      <c r="K1133" t="n">
        <v>0.7132881879617501</v>
      </c>
      <c r="L1133" t="b">
        <v>0</v>
      </c>
      <c r="M1133" t="b">
        <v>0</v>
      </c>
      <c r="N1133" t="inlineStr">
        <is>
          <t>alt</t>
        </is>
      </c>
      <c r="O1133" t="n">
        <v>15</v>
      </c>
      <c r="P1133" t="n">
        <v>0.00119</v>
      </c>
      <c r="Q1133" t="n">
        <v>-95</v>
      </c>
      <c r="R1133" t="n">
        <v>0.12476</v>
      </c>
      <c r="S1133">
        <f>IMAGE("https://mitra.stanford.edu/kundaje/oak/projects/neuro-variants/variant_position/credible/roussos_2024/variant_figures/roussos_2024.childhood.GABA/rs114779898_count_position.png",4,220,900)</f>
        <v/>
      </c>
      <c r="T1133">
        <f>IMAGE("https://mitra.stanford.edu/kundaje/oak/projects/neuro-variants/variant_position/credible/roussos_2024/variant_figures/roussos_2024.childhood.GABA/rs114779898_profile_position.png",4,220,900)</f>
        <v/>
      </c>
    </row>
    <row r="1134">
      <c r="A1134" t="inlineStr">
        <is>
          <t>chr13</t>
        </is>
      </c>
      <c r="B1134" t="n">
        <v>101369769</v>
      </c>
      <c r="C1134" t="inlineStr">
        <is>
          <t>C</t>
        </is>
      </c>
      <c r="D1134" t="inlineStr">
        <is>
          <t>T</t>
        </is>
      </c>
      <c r="E1134" t="inlineStr">
        <is>
          <t>rs17486808</t>
        </is>
      </c>
      <c r="F1134" t="n">
        <v>-0.0618950539999999</v>
      </c>
      <c r="G1134" t="n">
        <v>0.1100376760732977</v>
      </c>
      <c r="H1134" t="n">
        <v>0.0197330173321729</v>
      </c>
      <c r="I1134" t="n">
        <v>0.0798855138072737</v>
      </c>
      <c r="J1134" t="n">
        <v>0.0342055663755732</v>
      </c>
      <c r="K1134" t="n">
        <v>0.5539115610377096</v>
      </c>
      <c r="L1134" t="b">
        <v>0</v>
      </c>
      <c r="M1134" t="b">
        <v>0</v>
      </c>
      <c r="N1134" t="inlineStr">
        <is>
          <t>ref</t>
        </is>
      </c>
      <c r="O1134" t="n">
        <v>-100</v>
      </c>
      <c r="P1134" t="n">
        <v>0.012024</v>
      </c>
      <c r="Q1134" t="n">
        <v>-100</v>
      </c>
      <c r="R1134" t="n">
        <v>0.1184</v>
      </c>
      <c r="S1134">
        <f>IMAGE("https://mitra.stanford.edu/kundaje/oak/projects/neuro-variants/variant_position/credible/roussos_2024/variant_figures/roussos_2024.childhood.GABA/rs17486808_count_position.png",4,220,900)</f>
        <v/>
      </c>
      <c r="T1134">
        <f>IMAGE("https://mitra.stanford.edu/kundaje/oak/projects/neuro-variants/variant_position/credible/roussos_2024/variant_figures/roussos_2024.childhood.GABA/rs17486808_profile_position.png",4,220,900)</f>
        <v/>
      </c>
    </row>
    <row r="1135">
      <c r="A1135" t="inlineStr">
        <is>
          <t>chr13</t>
        </is>
      </c>
      <c r="B1135" t="n">
        <v>101370676</v>
      </c>
      <c r="C1135" t="inlineStr">
        <is>
          <t>A</t>
        </is>
      </c>
      <c r="D1135" t="inlineStr">
        <is>
          <t>G</t>
        </is>
      </c>
      <c r="E1135" t="inlineStr">
        <is>
          <t>rs61973699</t>
        </is>
      </c>
      <c r="F1135" t="n">
        <v>0.0712220402</v>
      </c>
      <c r="G1135" t="n">
        <v>0.06448441632771609</v>
      </c>
      <c r="H1135" t="n">
        <v>0.0134336299122227</v>
      </c>
      <c r="I1135" t="n">
        <v>0.3203256430666042</v>
      </c>
      <c r="J1135" t="n">
        <v>0.0049820946158195</v>
      </c>
      <c r="K1135" t="n">
        <v>0.8122069275770606</v>
      </c>
      <c r="L1135" t="b">
        <v>0</v>
      </c>
      <c r="M1135" t="b">
        <v>0</v>
      </c>
      <c r="N1135" t="inlineStr">
        <is>
          <t>alt</t>
        </is>
      </c>
      <c r="O1135" t="n">
        <v>-5</v>
      </c>
      <c r="P1135" t="n">
        <v>0.0001678</v>
      </c>
      <c r="Q1135" t="n">
        <v>40</v>
      </c>
      <c r="R1135" t="n">
        <v>0.0304</v>
      </c>
      <c r="S1135">
        <f>IMAGE("https://mitra.stanford.edu/kundaje/oak/projects/neuro-variants/variant_position/credible/roussos_2024/variant_figures/roussos_2024.childhood.GABA/rs61973699_count_position.png",4,220,900)</f>
        <v/>
      </c>
      <c r="T1135">
        <f>IMAGE("https://mitra.stanford.edu/kundaje/oak/projects/neuro-variants/variant_position/credible/roussos_2024/variant_figures/roussos_2024.childhood.GABA/rs61973699_profile_position.png",4,220,900)</f>
        <v/>
      </c>
    </row>
    <row r="1136">
      <c r="A1136" t="inlineStr">
        <is>
          <t>chr13</t>
        </is>
      </c>
      <c r="B1136" t="n">
        <v>101373078</v>
      </c>
      <c r="C1136" t="inlineStr">
        <is>
          <t>T</t>
        </is>
      </c>
      <c r="D1136" t="inlineStr">
        <is>
          <t>C</t>
        </is>
      </c>
      <c r="E1136" t="inlineStr">
        <is>
          <t>rs56313970</t>
        </is>
      </c>
      <c r="F1136" t="n">
        <v>0.00421245476</v>
      </c>
      <c r="G1136" t="n">
        <v>0.589978275093014</v>
      </c>
      <c r="H1136" t="n">
        <v>0.0187612638510698</v>
      </c>
      <c r="I1136" t="n">
        <v>0.09771435244126429</v>
      </c>
      <c r="J1136" t="n">
        <v>0.0013947351887917</v>
      </c>
      <c r="K1136" t="n">
        <v>0.9260286100500098</v>
      </c>
      <c r="L1136" t="b">
        <v>0</v>
      </c>
      <c r="M1136" t="b">
        <v>0</v>
      </c>
      <c r="N1136" t="inlineStr">
        <is>
          <t>alt</t>
        </is>
      </c>
      <c r="O1136" t="n">
        <v>0</v>
      </c>
      <c r="P1136" t="n">
        <v>0</v>
      </c>
      <c r="Q1136" t="n">
        <v>25</v>
      </c>
      <c r="R1136" t="n">
        <v>0.0303</v>
      </c>
      <c r="S1136">
        <f>IMAGE("https://mitra.stanford.edu/kundaje/oak/projects/neuro-variants/variant_position/credible/roussos_2024/variant_figures/roussos_2024.childhood.GABA/rs56313970_count_position.png",4,220,900)</f>
        <v/>
      </c>
      <c r="T1136">
        <f>IMAGE("https://mitra.stanford.edu/kundaje/oak/projects/neuro-variants/variant_position/credible/roussos_2024/variant_figures/roussos_2024.childhood.GABA/rs56313970_profile_position.png",4,220,900)</f>
        <v/>
      </c>
    </row>
    <row r="1137">
      <c r="A1137" t="inlineStr">
        <is>
          <t>chr13</t>
        </is>
      </c>
      <c r="B1137" t="n">
        <v>101373348</v>
      </c>
      <c r="C1137" t="inlineStr">
        <is>
          <t>T</t>
        </is>
      </c>
      <c r="D1137" t="inlineStr">
        <is>
          <t>G</t>
        </is>
      </c>
      <c r="E1137" t="inlineStr">
        <is>
          <t>rs55865304</t>
        </is>
      </c>
      <c r="F1137" t="n">
        <v>0.010968645338</v>
      </c>
      <c r="G1137" t="n">
        <v>0.6147343317442141</v>
      </c>
      <c r="H1137" t="n">
        <v>0.0259981579758868</v>
      </c>
      <c r="I1137" t="n">
        <v>0.0241938805759362</v>
      </c>
      <c r="J1137" t="n">
        <v>0.002183200351825</v>
      </c>
      <c r="K1137" t="n">
        <v>0.8973828005917186</v>
      </c>
      <c r="L1137" t="b">
        <v>0</v>
      </c>
      <c r="M1137" t="b">
        <v>0</v>
      </c>
      <c r="N1137" t="inlineStr">
        <is>
          <t>alt</t>
        </is>
      </c>
      <c r="O1137" t="n">
        <v>-45</v>
      </c>
      <c r="P1137" t="n">
        <v>0.01028</v>
      </c>
      <c r="Q1137" t="n">
        <v>95</v>
      </c>
      <c r="R1137" t="n">
        <v>0.1742</v>
      </c>
      <c r="S1137">
        <f>IMAGE("https://mitra.stanford.edu/kundaje/oak/projects/neuro-variants/variant_position/credible/roussos_2024/variant_figures/roussos_2024.childhood.GABA/rs55865304_count_position.png",4,220,900)</f>
        <v/>
      </c>
      <c r="T1137">
        <f>IMAGE("https://mitra.stanford.edu/kundaje/oak/projects/neuro-variants/variant_position/credible/roussos_2024/variant_figures/roussos_2024.childhood.GABA/rs55865304_profile_position.png",4,220,900)</f>
        <v/>
      </c>
    </row>
    <row r="1138">
      <c r="A1138" t="inlineStr">
        <is>
          <t>chr13</t>
        </is>
      </c>
      <c r="B1138" t="n">
        <v>101373659</v>
      </c>
      <c r="C1138" t="inlineStr">
        <is>
          <t>C</t>
        </is>
      </c>
      <c r="D1138" t="inlineStr">
        <is>
          <t>T</t>
        </is>
      </c>
      <c r="E1138" t="inlineStr">
        <is>
          <t>rs61973707</t>
        </is>
      </c>
      <c r="F1138" t="n">
        <v>-0.06695139019999991</v>
      </c>
      <c r="G1138" t="n">
        <v>0.08062569258132971</v>
      </c>
      <c r="H1138" t="n">
        <v>0.0111021335942489</v>
      </c>
      <c r="I1138" t="n">
        <v>0.5157036080375186</v>
      </c>
      <c r="J1138" t="n">
        <v>0.0019821574417289</v>
      </c>
      <c r="K1138" t="n">
        <v>0.8930729704684885</v>
      </c>
      <c r="L1138" t="b">
        <v>0</v>
      </c>
      <c r="M1138" t="b">
        <v>0</v>
      </c>
      <c r="N1138" t="inlineStr">
        <is>
          <t>ref</t>
        </is>
      </c>
      <c r="O1138" t="n">
        <v>-50</v>
      </c>
      <c r="P1138" t="n">
        <v>0.00451</v>
      </c>
      <c r="Q1138" t="n">
        <v>-60</v>
      </c>
      <c r="R1138" t="n">
        <v>0.1212</v>
      </c>
      <c r="S1138">
        <f>IMAGE("https://mitra.stanford.edu/kundaje/oak/projects/neuro-variants/variant_position/credible/roussos_2024/variant_figures/roussos_2024.childhood.GABA/rs61973707_count_position.png",4,220,900)</f>
        <v/>
      </c>
      <c r="T1138">
        <f>IMAGE("https://mitra.stanford.edu/kundaje/oak/projects/neuro-variants/variant_position/credible/roussos_2024/variant_figures/roussos_2024.childhood.GABA/rs61973707_profile_position.png",4,220,900)</f>
        <v/>
      </c>
    </row>
    <row r="1139">
      <c r="A1139" t="inlineStr">
        <is>
          <t>chr13</t>
        </is>
      </c>
      <c r="B1139" t="n">
        <v>101374409</v>
      </c>
      <c r="C1139" t="inlineStr">
        <is>
          <t>G</t>
        </is>
      </c>
      <c r="D1139" t="inlineStr">
        <is>
          <t>A</t>
        </is>
      </c>
      <c r="E1139" t="inlineStr">
        <is>
          <t>rs12429854</t>
        </is>
      </c>
      <c r="F1139" t="n">
        <v>0.0355707382</v>
      </c>
      <c r="G1139" t="n">
        <v>0.2391504223626276</v>
      </c>
      <c r="H1139" t="n">
        <v>0.0093910994775685</v>
      </c>
      <c r="I1139" t="n">
        <v>0.7104272952518053</v>
      </c>
      <c r="J1139" t="n">
        <v>0.002818789135306</v>
      </c>
      <c r="K1139" t="n">
        <v>0.8584909868787246</v>
      </c>
      <c r="L1139" t="b">
        <v>0</v>
      </c>
      <c r="M1139" t="b">
        <v>0</v>
      </c>
      <c r="N1139" t="inlineStr">
        <is>
          <t>alt</t>
        </is>
      </c>
      <c r="O1139" t="n">
        <v>-10</v>
      </c>
      <c r="P1139" t="n">
        <v>0.003891</v>
      </c>
      <c r="Q1139" t="n">
        <v>0</v>
      </c>
      <c r="R1139" t="n">
        <v>0</v>
      </c>
      <c r="S1139">
        <f>IMAGE("https://mitra.stanford.edu/kundaje/oak/projects/neuro-variants/variant_position/credible/roussos_2024/variant_figures/roussos_2024.childhood.GABA/rs12429854_count_position.png",4,220,900)</f>
        <v/>
      </c>
      <c r="T1139">
        <f>IMAGE("https://mitra.stanford.edu/kundaje/oak/projects/neuro-variants/variant_position/credible/roussos_2024/variant_figures/roussos_2024.childhood.GABA/rs12429854_profile_position.png",4,220,900)</f>
        <v/>
      </c>
    </row>
    <row r="1140">
      <c r="A1140" t="inlineStr">
        <is>
          <t>chr13</t>
        </is>
      </c>
      <c r="B1140" t="n">
        <v>101383441</v>
      </c>
      <c r="C1140" t="inlineStr">
        <is>
          <t>G</t>
        </is>
      </c>
      <c r="D1140" t="inlineStr">
        <is>
          <t>A</t>
        </is>
      </c>
      <c r="E1140" t="inlineStr">
        <is>
          <t>rs9585685</t>
        </is>
      </c>
      <c r="F1140" t="n">
        <v>0.00359913242</v>
      </c>
      <c r="G1140" t="n">
        <v>0.6867808792193366</v>
      </c>
      <c r="H1140" t="n">
        <v>0.009206796284356901</v>
      </c>
      <c r="I1140" t="n">
        <v>0.7232642677216106</v>
      </c>
      <c r="J1140" t="n">
        <v>0.0100573809972565</v>
      </c>
      <c r="K1140" t="n">
        <v>0.7413874575203169</v>
      </c>
      <c r="L1140" t="b">
        <v>0</v>
      </c>
      <c r="M1140" t="b">
        <v>0</v>
      </c>
      <c r="N1140" t="inlineStr">
        <is>
          <t>alt</t>
        </is>
      </c>
      <c r="O1140" t="n">
        <v>100</v>
      </c>
      <c r="P1140" t="n">
        <v>0.007442</v>
      </c>
      <c r="Q1140" t="n">
        <v>-100</v>
      </c>
      <c r="R1140" t="n">
        <v>0.07464999999999999</v>
      </c>
      <c r="S1140">
        <f>IMAGE("https://mitra.stanford.edu/kundaje/oak/projects/neuro-variants/variant_position/credible/roussos_2024/variant_figures/roussos_2024.childhood.GABA/rs9585685_count_position.png",4,220,900)</f>
        <v/>
      </c>
      <c r="T1140">
        <f>IMAGE("https://mitra.stanford.edu/kundaje/oak/projects/neuro-variants/variant_position/credible/roussos_2024/variant_figures/roussos_2024.childhood.GABA/rs9585685_profile_position.png",4,220,900)</f>
        <v/>
      </c>
    </row>
    <row r="1141">
      <c r="A1141" t="inlineStr">
        <is>
          <t>chr13</t>
        </is>
      </c>
      <c r="B1141" t="n">
        <v>111020256</v>
      </c>
      <c r="C1141" t="inlineStr">
        <is>
          <t>C</t>
        </is>
      </c>
      <c r="D1141" t="inlineStr">
        <is>
          <t>T</t>
        </is>
      </c>
      <c r="E1141" t="inlineStr">
        <is>
          <t>rs9559929</t>
        </is>
      </c>
      <c r="F1141" t="n">
        <v>-0.0657133578</v>
      </c>
      <c r="G1141" t="n">
        <v>0.0845727599934384</v>
      </c>
      <c r="H1141" t="n">
        <v>0.0164211914576774</v>
      </c>
      <c r="I1141" t="n">
        <v>0.1640089084783705</v>
      </c>
      <c r="J1141" t="n">
        <v>0.3570940922703189</v>
      </c>
      <c r="K1141" t="n">
        <v>0.1043539671893285</v>
      </c>
      <c r="L1141" t="b">
        <v>0</v>
      </c>
      <c r="M1141" t="b">
        <v>0</v>
      </c>
      <c r="N1141" t="inlineStr">
        <is>
          <t>ref</t>
        </is>
      </c>
      <c r="O1141" t="n">
        <v>-70</v>
      </c>
      <c r="P1141" t="n">
        <v>0.00177</v>
      </c>
      <c r="Q1141" t="n">
        <v>-70</v>
      </c>
      <c r="R1141" t="n">
        <v>0.0498</v>
      </c>
      <c r="S1141">
        <f>IMAGE("https://mitra.stanford.edu/kundaje/oak/projects/neuro-variants/variant_position/credible/roussos_2024/variant_figures/roussos_2024.childhood.GABA/rs9559929_count_position.png",4,220,900)</f>
        <v/>
      </c>
      <c r="T1141">
        <f>IMAGE("https://mitra.stanford.edu/kundaje/oak/projects/neuro-variants/variant_position/credible/roussos_2024/variant_figures/roussos_2024.childhood.GABA/rs9559929_profile_position.png",4,220,900)</f>
        <v/>
      </c>
    </row>
    <row r="1142">
      <c r="A1142" t="inlineStr">
        <is>
          <t>chr13</t>
        </is>
      </c>
      <c r="B1142" t="n">
        <v>111020704</v>
      </c>
      <c r="C1142" t="inlineStr">
        <is>
          <t>C</t>
        </is>
      </c>
      <c r="D1142" t="inlineStr">
        <is>
          <t>T</t>
        </is>
      </c>
      <c r="E1142" t="inlineStr">
        <is>
          <t>rs9559931</t>
        </is>
      </c>
      <c r="F1142" t="n">
        <v>-0.02686969225</v>
      </c>
      <c r="G1142" t="n">
        <v>0.3036952444330819</v>
      </c>
      <c r="H1142" t="n">
        <v>0.0192052818272946</v>
      </c>
      <c r="I1142" t="n">
        <v>0.1236841274964063</v>
      </c>
      <c r="J1142" t="n">
        <v>0.2459540114343154</v>
      </c>
      <c r="K1142" t="n">
        <v>0.1782707724560154</v>
      </c>
      <c r="L1142" t="b">
        <v>0</v>
      </c>
      <c r="M1142" t="b">
        <v>0</v>
      </c>
      <c r="N1142" t="inlineStr">
        <is>
          <t>ref</t>
        </is>
      </c>
      <c r="O1142" t="n">
        <v>100</v>
      </c>
      <c r="P1142" t="n">
        <v>0.00851</v>
      </c>
      <c r="Q1142" t="n">
        <v>0</v>
      </c>
      <c r="R1142" t="n">
        <v>0</v>
      </c>
      <c r="S1142">
        <f>IMAGE("https://mitra.stanford.edu/kundaje/oak/projects/neuro-variants/variant_position/credible/roussos_2024/variant_figures/roussos_2024.childhood.GABA/rs9559931_count_position.png",4,220,900)</f>
        <v/>
      </c>
      <c r="T1142">
        <f>IMAGE("https://mitra.stanford.edu/kundaje/oak/projects/neuro-variants/variant_position/credible/roussos_2024/variant_figures/roussos_2024.childhood.GABA/rs9559931_profile_position.png",4,220,900)</f>
        <v/>
      </c>
    </row>
    <row r="1143">
      <c r="A1143" t="inlineStr">
        <is>
          <t>chr13</t>
        </is>
      </c>
      <c r="B1143" t="n">
        <v>111020707</v>
      </c>
      <c r="C1143" t="inlineStr">
        <is>
          <t>C</t>
        </is>
      </c>
      <c r="D1143" t="inlineStr">
        <is>
          <t>G</t>
        </is>
      </c>
      <c r="E1143" t="inlineStr">
        <is>
          <t>rs9559932</t>
        </is>
      </c>
      <c r="F1143" t="n">
        <v>-0.01763213506</v>
      </c>
      <c r="G1143" t="n">
        <v>0.3395622876121317</v>
      </c>
      <c r="H1143" t="n">
        <v>0.0153803088676092</v>
      </c>
      <c r="I1143" t="n">
        <v>0.2262045845126219</v>
      </c>
      <c r="J1143" t="n">
        <v>0.2447205294129965</v>
      </c>
      <c r="K1143" t="n">
        <v>0.1793006424406781</v>
      </c>
      <c r="L1143" t="b">
        <v>0</v>
      </c>
      <c r="M1143" t="b">
        <v>0</v>
      </c>
      <c r="N1143" t="inlineStr">
        <is>
          <t>ref</t>
        </is>
      </c>
      <c r="O1143" t="n">
        <v>100</v>
      </c>
      <c r="P1143" t="n">
        <v>0.01222</v>
      </c>
      <c r="Q1143" t="n">
        <v>-20</v>
      </c>
      <c r="R1143" t="n">
        <v>0.005615</v>
      </c>
      <c r="S1143">
        <f>IMAGE("https://mitra.stanford.edu/kundaje/oak/projects/neuro-variants/variant_position/credible/roussos_2024/variant_figures/roussos_2024.childhood.GABA/rs9559932_count_position.png",4,220,900)</f>
        <v/>
      </c>
      <c r="T1143">
        <f>IMAGE("https://mitra.stanford.edu/kundaje/oak/projects/neuro-variants/variant_position/credible/roussos_2024/variant_figures/roussos_2024.childhood.GABA/rs9559932_profile_position.png",4,220,900)</f>
        <v/>
      </c>
    </row>
    <row r="1144">
      <c r="A1144" t="inlineStr">
        <is>
          <t>chr13</t>
        </is>
      </c>
      <c r="B1144" t="n">
        <v>111022866</v>
      </c>
      <c r="C1144" t="inlineStr">
        <is>
          <t>T</t>
        </is>
      </c>
      <c r="D1144" t="inlineStr">
        <is>
          <t>C</t>
        </is>
      </c>
      <c r="E1144" t="inlineStr">
        <is>
          <t>rs9559934</t>
        </is>
      </c>
      <c r="F1144" t="n">
        <v>0.034661935</v>
      </c>
      <c r="G1144" t="n">
        <v>0.2467165022329681</v>
      </c>
      <c r="H1144" t="n">
        <v>0.029919570823055</v>
      </c>
      <c r="I1144" t="n">
        <v>0.0131818067307259</v>
      </c>
      <c r="J1144" t="n">
        <v>0.0343783376264371</v>
      </c>
      <c r="K1144" t="n">
        <v>0.5648788288197052</v>
      </c>
      <c r="L1144" t="b">
        <v>1</v>
      </c>
      <c r="M1144" t="b">
        <v>0</v>
      </c>
      <c r="N1144" t="inlineStr">
        <is>
          <t>alt</t>
        </is>
      </c>
      <c r="O1144" t="n">
        <v>30</v>
      </c>
      <c r="P1144" t="n">
        <v>0.01172</v>
      </c>
      <c r="Q1144" t="n">
        <v>60</v>
      </c>
      <c r="R1144" t="n">
        <v>0.0701</v>
      </c>
      <c r="S1144">
        <f>IMAGE("https://mitra.stanford.edu/kundaje/oak/projects/neuro-variants/variant_position/credible/roussos_2024/variant_figures/roussos_2024.childhood.GABA/rs9559934_count_position.png",4,220,900)</f>
        <v/>
      </c>
      <c r="T1144">
        <f>IMAGE("https://mitra.stanford.edu/kundaje/oak/projects/neuro-variants/variant_position/credible/roussos_2024/variant_figures/roussos_2024.childhood.GABA/rs9559934_profile_position.png",4,220,900)</f>
        <v/>
      </c>
    </row>
    <row r="1145">
      <c r="A1145" t="inlineStr">
        <is>
          <t>chr13</t>
        </is>
      </c>
      <c r="B1145" t="n">
        <v>111033938</v>
      </c>
      <c r="C1145" t="inlineStr">
        <is>
          <t>G</t>
        </is>
      </c>
      <c r="D1145" t="inlineStr">
        <is>
          <t>A</t>
        </is>
      </c>
      <c r="E1145" t="inlineStr">
        <is>
          <t>rs34061305</t>
        </is>
      </c>
      <c r="F1145" t="n">
        <v>-0.0433211724199999</v>
      </c>
      <c r="G1145" t="n">
        <v>0.187882752300197</v>
      </c>
      <c r="H1145" t="n">
        <v>0.0226381676614747</v>
      </c>
      <c r="I1145" t="n">
        <v>0.0520928325470549</v>
      </c>
      <c r="J1145" t="n">
        <v>0.1466670855060626</v>
      </c>
      <c r="K1145" t="n">
        <v>0.2856810623320902</v>
      </c>
      <c r="L1145" t="b">
        <v>0</v>
      </c>
      <c r="M1145" t="b">
        <v>0</v>
      </c>
      <c r="N1145" t="inlineStr">
        <is>
          <t>ref</t>
        </is>
      </c>
      <c r="O1145" t="n">
        <v>30</v>
      </c>
      <c r="P1145" t="n">
        <v>0.002888</v>
      </c>
      <c r="Q1145" t="n">
        <v>-40</v>
      </c>
      <c r="R1145" t="n">
        <v>0.05908</v>
      </c>
      <c r="S1145">
        <f>IMAGE("https://mitra.stanford.edu/kundaje/oak/projects/neuro-variants/variant_position/credible/roussos_2024/variant_figures/roussos_2024.childhood.GABA/rs34061305_count_position.png",4,220,900)</f>
        <v/>
      </c>
      <c r="T1145">
        <f>IMAGE("https://mitra.stanford.edu/kundaje/oak/projects/neuro-variants/variant_position/credible/roussos_2024/variant_figures/roussos_2024.childhood.GABA/rs34061305_profile_position.png",4,220,900)</f>
        <v/>
      </c>
    </row>
    <row r="1146">
      <c r="A1146" t="inlineStr">
        <is>
          <t>chr13</t>
        </is>
      </c>
      <c r="B1146" t="n">
        <v>111034262</v>
      </c>
      <c r="C1146" t="inlineStr">
        <is>
          <t>T</t>
        </is>
      </c>
      <c r="D1146" t="inlineStr">
        <is>
          <t>G</t>
        </is>
      </c>
      <c r="E1146" t="inlineStr">
        <is>
          <t>rs9522088</t>
        </is>
      </c>
      <c r="F1146" t="n">
        <v>0.0617026018</v>
      </c>
      <c r="G1146" t="n">
        <v>0.0948900056642808</v>
      </c>
      <c r="H1146" t="n">
        <v>0.0145661474513533</v>
      </c>
      <c r="I1146" t="n">
        <v>0.2485428849920726</v>
      </c>
      <c r="J1146" t="n">
        <v>0.0555590458838557</v>
      </c>
      <c r="K1146" t="n">
        <v>0.4774200981764863</v>
      </c>
      <c r="L1146" t="b">
        <v>0</v>
      </c>
      <c r="M1146" t="b">
        <v>0</v>
      </c>
      <c r="N1146" t="inlineStr">
        <is>
          <t>alt</t>
        </is>
      </c>
      <c r="O1146" t="n">
        <v>80</v>
      </c>
      <c r="P1146" t="n">
        <v>0.000599</v>
      </c>
      <c r="Q1146" t="n">
        <v>100</v>
      </c>
      <c r="R1146" t="n">
        <v>0.09357</v>
      </c>
      <c r="S1146">
        <f>IMAGE("https://mitra.stanford.edu/kundaje/oak/projects/neuro-variants/variant_position/credible/roussos_2024/variant_figures/roussos_2024.childhood.GABA/rs9522088_count_position.png",4,220,900)</f>
        <v/>
      </c>
      <c r="T1146">
        <f>IMAGE("https://mitra.stanford.edu/kundaje/oak/projects/neuro-variants/variant_position/credible/roussos_2024/variant_figures/roussos_2024.childhood.GABA/rs9522088_profile_position.png",4,220,900)</f>
        <v/>
      </c>
    </row>
    <row r="1147">
      <c r="A1147" t="inlineStr">
        <is>
          <t>chr13</t>
        </is>
      </c>
      <c r="B1147" t="n">
        <v>111038211</v>
      </c>
      <c r="C1147" t="inlineStr">
        <is>
          <t>T</t>
        </is>
      </c>
      <c r="D1147" t="inlineStr">
        <is>
          <t>C</t>
        </is>
      </c>
      <c r="E1147" t="inlineStr">
        <is>
          <t>rs9515358</t>
        </is>
      </c>
      <c r="F1147" t="n">
        <v>-0.0367767424</v>
      </c>
      <c r="G1147" t="n">
        <v>0.0631430074674892</v>
      </c>
      <c r="H1147" t="n">
        <v>0.0304013880949359</v>
      </c>
      <c r="I1147" t="n">
        <v>0.0147002625271209</v>
      </c>
      <c r="J1147" t="n">
        <v>0.4478031873678038</v>
      </c>
      <c r="K1147" t="n">
        <v>0.06854884560356921</v>
      </c>
      <c r="L1147" t="b">
        <v>1</v>
      </c>
      <c r="M1147" t="b">
        <v>0</v>
      </c>
      <c r="N1147" t="inlineStr">
        <is>
          <t>ref</t>
        </is>
      </c>
      <c r="O1147" t="n">
        <v>-85</v>
      </c>
      <c r="P1147" t="n">
        <v>0.010864</v>
      </c>
      <c r="Q1147" t="n">
        <v>-85</v>
      </c>
      <c r="R1147" t="n">
        <v>0.1372</v>
      </c>
      <c r="S1147">
        <f>IMAGE("https://mitra.stanford.edu/kundaje/oak/projects/neuro-variants/variant_position/credible/roussos_2024/variant_figures/roussos_2024.childhood.GABA/rs9515358_count_position.png",4,220,900)</f>
        <v/>
      </c>
      <c r="T1147">
        <f>IMAGE("https://mitra.stanford.edu/kundaje/oak/projects/neuro-variants/variant_position/credible/roussos_2024/variant_figures/roussos_2024.childhood.GABA/rs9515358_profile_position.png",4,220,900)</f>
        <v/>
      </c>
    </row>
    <row r="1148">
      <c r="A1148" t="inlineStr">
        <is>
          <t>chr13</t>
        </is>
      </c>
      <c r="B1148" t="n">
        <v>111054544</v>
      </c>
      <c r="C1148" t="inlineStr">
        <is>
          <t>C</t>
        </is>
      </c>
      <c r="D1148" t="inlineStr">
        <is>
          <t>T</t>
        </is>
      </c>
      <c r="E1148" t="inlineStr">
        <is>
          <t>rs9559947</t>
        </is>
      </c>
      <c r="F1148" t="n">
        <v>0.0105363989999999</v>
      </c>
      <c r="G1148" t="n">
        <v>0.6020096148291199</v>
      </c>
      <c r="H1148" t="n">
        <v>0.0229059789427433</v>
      </c>
      <c r="I1148" t="n">
        <v>0.0421288583091465</v>
      </c>
      <c r="J1148" t="n">
        <v>0.007855332872609901</v>
      </c>
      <c r="K1148" t="n">
        <v>0.7778137161994618</v>
      </c>
      <c r="L1148" t="b">
        <v>0</v>
      </c>
      <c r="M1148" t="b">
        <v>0</v>
      </c>
      <c r="N1148" t="inlineStr">
        <is>
          <t>alt</t>
        </is>
      </c>
      <c r="O1148" t="n">
        <v>55</v>
      </c>
      <c r="P1148" t="n">
        <v>0.0027</v>
      </c>
      <c r="Q1148" t="n">
        <v>5</v>
      </c>
      <c r="R1148" t="n">
        <v>0.02551</v>
      </c>
      <c r="S1148">
        <f>IMAGE("https://mitra.stanford.edu/kundaje/oak/projects/neuro-variants/variant_position/credible/roussos_2024/variant_figures/roussos_2024.childhood.GABA/rs9559947_count_position.png",4,220,900)</f>
        <v/>
      </c>
      <c r="T1148">
        <f>IMAGE("https://mitra.stanford.edu/kundaje/oak/projects/neuro-variants/variant_position/credible/roussos_2024/variant_figures/roussos_2024.childhood.GABA/rs9559947_profile_position.png",4,220,900)</f>
        <v/>
      </c>
    </row>
    <row r="1149">
      <c r="A1149" t="inlineStr">
        <is>
          <t>chr13</t>
        </is>
      </c>
      <c r="B1149" t="n">
        <v>111059584</v>
      </c>
      <c r="C1149" t="inlineStr">
        <is>
          <t>G</t>
        </is>
      </c>
      <c r="D1149" t="inlineStr">
        <is>
          <t>A</t>
        </is>
      </c>
      <c r="E1149" t="inlineStr">
        <is>
          <t>rs1888848</t>
        </is>
      </c>
      <c r="F1149" t="n">
        <v>-0.240334892</v>
      </c>
      <c r="G1149" t="n">
        <v>0.0027712494405579</v>
      </c>
      <c r="H1149" t="n">
        <v>0.0294461574379483</v>
      </c>
      <c r="I1149" t="n">
        <v>0.0152530946166466</v>
      </c>
      <c r="J1149" t="n">
        <v>0.3084343783376264</v>
      </c>
      <c r="K1149" t="n">
        <v>0.1323599967727995</v>
      </c>
      <c r="L1149" t="b">
        <v>1</v>
      </c>
      <c r="M1149" t="b">
        <v>1</v>
      </c>
      <c r="N1149" t="inlineStr">
        <is>
          <t>ref</t>
        </is>
      </c>
      <c r="O1149" t="n">
        <v>-5</v>
      </c>
      <c r="P1149" t="n">
        <v>0.001907</v>
      </c>
      <c r="Q1149" t="n">
        <v>30</v>
      </c>
      <c r="R1149" t="n">
        <v>0.01587</v>
      </c>
      <c r="S1149">
        <f>IMAGE("https://mitra.stanford.edu/kundaje/oak/projects/neuro-variants/variant_position/credible/roussos_2024/variant_figures/roussos_2024.childhood.GABA/rs1888848_count_position.png",4,220,900)</f>
        <v/>
      </c>
      <c r="T1149">
        <f>IMAGE("https://mitra.stanford.edu/kundaje/oak/projects/neuro-variants/variant_position/credible/roussos_2024/variant_figures/roussos_2024.childhood.GABA/rs1888848_profile_position.png",4,220,900)</f>
        <v/>
      </c>
    </row>
    <row r="1150">
      <c r="A1150" t="inlineStr">
        <is>
          <t>chr13</t>
        </is>
      </c>
      <c r="B1150" t="n">
        <v>111059590</v>
      </c>
      <c r="C1150" t="inlineStr">
        <is>
          <t>C</t>
        </is>
      </c>
      <c r="D1150" t="inlineStr">
        <is>
          <t>G</t>
        </is>
      </c>
      <c r="E1150" t="inlineStr">
        <is>
          <t>rs1888847</t>
        </is>
      </c>
      <c r="F1150" t="n">
        <v>-0.1244479983999999</v>
      </c>
      <c r="G1150" t="n">
        <v>0.0297826938905891</v>
      </c>
      <c r="H1150" t="n">
        <v>0.0263211389716658</v>
      </c>
      <c r="I1150" t="n">
        <v>0.0281584267856499</v>
      </c>
      <c r="J1150" t="n">
        <v>0.3076993151975874</v>
      </c>
      <c r="K1150" t="n">
        <v>0.1328056677937937</v>
      </c>
      <c r="L1150" t="b">
        <v>0</v>
      </c>
      <c r="M1150" t="b">
        <v>0</v>
      </c>
      <c r="N1150" t="inlineStr">
        <is>
          <t>ref</t>
        </is>
      </c>
      <c r="O1150" t="n">
        <v>-10</v>
      </c>
      <c r="P1150" t="n">
        <v>0.00409</v>
      </c>
      <c r="Q1150" t="n">
        <v>75</v>
      </c>
      <c r="R1150" t="n">
        <v>0.0315</v>
      </c>
      <c r="S1150">
        <f>IMAGE("https://mitra.stanford.edu/kundaje/oak/projects/neuro-variants/variant_position/credible/roussos_2024/variant_figures/roussos_2024.childhood.GABA/rs1888847_count_position.png",4,220,900)</f>
        <v/>
      </c>
      <c r="T1150">
        <f>IMAGE("https://mitra.stanford.edu/kundaje/oak/projects/neuro-variants/variant_position/credible/roussos_2024/variant_figures/roussos_2024.childhood.GABA/rs1888847_profile_position.png",4,220,900)</f>
        <v/>
      </c>
    </row>
    <row r="1151">
      <c r="A1151" t="inlineStr">
        <is>
          <t>chr13</t>
        </is>
      </c>
      <c r="B1151" t="n">
        <v>111059715</v>
      </c>
      <c r="C1151" t="inlineStr">
        <is>
          <t>G</t>
        </is>
      </c>
      <c r="D1151" t="inlineStr">
        <is>
          <t>A</t>
        </is>
      </c>
      <c r="E1151" t="inlineStr">
        <is>
          <t>rs1810895</t>
        </is>
      </c>
      <c r="F1151" t="n">
        <v>0.0942429516</v>
      </c>
      <c r="G1151" t="n">
        <v>0.0373798889493599</v>
      </c>
      <c r="H1151" t="n">
        <v>0.0203550397575128</v>
      </c>
      <c r="I1151" t="n">
        <v>0.0693617196532692</v>
      </c>
      <c r="J1151" t="n">
        <v>0.3091348872274926</v>
      </c>
      <c r="K1151" t="n">
        <v>0.1313010425152399</v>
      </c>
      <c r="L1151" t="b">
        <v>0</v>
      </c>
      <c r="M1151" t="b">
        <v>0</v>
      </c>
      <c r="N1151" t="inlineStr">
        <is>
          <t>alt</t>
        </is>
      </c>
      <c r="O1151" t="n">
        <v>40</v>
      </c>
      <c r="P1151" t="n">
        <v>0.001617</v>
      </c>
      <c r="Q1151" t="n">
        <v>-100</v>
      </c>
      <c r="R1151" t="n">
        <v>0.11426</v>
      </c>
      <c r="S1151">
        <f>IMAGE("https://mitra.stanford.edu/kundaje/oak/projects/neuro-variants/variant_position/credible/roussos_2024/variant_figures/roussos_2024.childhood.GABA/rs1810895_count_position.png",4,220,900)</f>
        <v/>
      </c>
      <c r="T1151">
        <f>IMAGE("https://mitra.stanford.edu/kundaje/oak/projects/neuro-variants/variant_position/credible/roussos_2024/variant_figures/roussos_2024.childhood.GABA/rs1810895_profile_position.png",4,220,900)</f>
        <v/>
      </c>
    </row>
    <row r="1152">
      <c r="A1152" t="inlineStr">
        <is>
          <t>chr13</t>
        </is>
      </c>
      <c r="B1152" t="n">
        <v>111060764</v>
      </c>
      <c r="C1152" t="inlineStr">
        <is>
          <t>A</t>
        </is>
      </c>
      <c r="D1152" t="inlineStr">
        <is>
          <t>G</t>
        </is>
      </c>
      <c r="E1152" t="inlineStr">
        <is>
          <t>rs75592562</t>
        </is>
      </c>
      <c r="F1152" t="n">
        <v>0.0351267704</v>
      </c>
      <c r="G1152" t="n">
        <v>0.2315042535847492</v>
      </c>
      <c r="H1152" t="n">
        <v>0.0116697793999117</v>
      </c>
      <c r="I1152" t="n">
        <v>0.4725885022241266</v>
      </c>
      <c r="J1152" t="n">
        <v>0.0963812276182697</v>
      </c>
      <c r="K1152" t="n">
        <v>0.3676560068408602</v>
      </c>
      <c r="L1152" t="b">
        <v>0</v>
      </c>
      <c r="M1152" t="b">
        <v>0</v>
      </c>
      <c r="N1152" t="inlineStr">
        <is>
          <t>alt</t>
        </is>
      </c>
      <c r="O1152" t="n">
        <v>-20</v>
      </c>
      <c r="P1152" t="n">
        <v>0.002075</v>
      </c>
      <c r="Q1152" t="n">
        <v>-20</v>
      </c>
      <c r="R1152" t="n">
        <v>0.03516</v>
      </c>
      <c r="S1152">
        <f>IMAGE("https://mitra.stanford.edu/kundaje/oak/projects/neuro-variants/variant_position/credible/roussos_2024/variant_figures/roussos_2024.childhood.GABA/rs75592562_count_position.png",4,220,900)</f>
        <v/>
      </c>
      <c r="T1152">
        <f>IMAGE("https://mitra.stanford.edu/kundaje/oak/projects/neuro-variants/variant_position/credible/roussos_2024/variant_figures/roussos_2024.childhood.GABA/rs75592562_profile_position.png",4,220,900)</f>
        <v/>
      </c>
    </row>
    <row r="1153">
      <c r="A1153" t="inlineStr">
        <is>
          <t>chr13</t>
        </is>
      </c>
      <c r="B1153" t="n">
        <v>111060796</v>
      </c>
      <c r="C1153" t="inlineStr">
        <is>
          <t>C</t>
        </is>
      </c>
      <c r="D1153" t="inlineStr">
        <is>
          <t>A</t>
        </is>
      </c>
      <c r="E1153" t="inlineStr">
        <is>
          <t>rs74241867</t>
        </is>
      </c>
      <c r="F1153" t="n">
        <v>-0.0275693084</v>
      </c>
      <c r="G1153" t="n">
        <v>0.2384484842431616</v>
      </c>
      <c r="H1153" t="n">
        <v>0.0138926899055077</v>
      </c>
      <c r="I1153" t="n">
        <v>0.2944015188811469</v>
      </c>
      <c r="J1153" t="n">
        <v>0.09398546627295749</v>
      </c>
      <c r="K1153" t="n">
        <v>0.3734670992112002</v>
      </c>
      <c r="L1153" t="b">
        <v>0</v>
      </c>
      <c r="M1153" t="b">
        <v>0</v>
      </c>
      <c r="N1153" t="inlineStr">
        <is>
          <t>ref</t>
        </is>
      </c>
      <c r="O1153" t="n">
        <v>-50</v>
      </c>
      <c r="P1153" t="n">
        <v>0.0426</v>
      </c>
      <c r="Q1153" t="n">
        <v>80</v>
      </c>
      <c r="R1153" t="n">
        <v>0.01013</v>
      </c>
      <c r="S1153">
        <f>IMAGE("https://mitra.stanford.edu/kundaje/oak/projects/neuro-variants/variant_position/credible/roussos_2024/variant_figures/roussos_2024.childhood.GABA/rs74241867_count_position.png",4,220,900)</f>
        <v/>
      </c>
      <c r="T1153">
        <f>IMAGE("https://mitra.stanford.edu/kundaje/oak/projects/neuro-variants/variant_position/credible/roussos_2024/variant_figures/roussos_2024.childhood.GABA/rs74241867_profile_position.png",4,220,900)</f>
        <v/>
      </c>
    </row>
    <row r="1154">
      <c r="A1154" t="inlineStr">
        <is>
          <t>chr14</t>
        </is>
      </c>
      <c r="B1154" t="n">
        <v>20679686</v>
      </c>
      <c r="C1154" t="inlineStr">
        <is>
          <t>A</t>
        </is>
      </c>
      <c r="D1154" t="inlineStr">
        <is>
          <t>G</t>
        </is>
      </c>
      <c r="E1154" t="inlineStr">
        <is>
          <t>rs2319380</t>
        </is>
      </c>
      <c r="F1154" t="n">
        <v>0.0407690398</v>
      </c>
      <c r="G1154" t="n">
        <v>0.219923074475846</v>
      </c>
      <c r="H1154" t="n">
        <v>0.0102954078244868</v>
      </c>
      <c r="I1154" t="n">
        <v>0.5385212140173201</v>
      </c>
      <c r="J1154" t="n">
        <v>0.026696823103181</v>
      </c>
      <c r="K1154" t="n">
        <v>0.6037773294285494</v>
      </c>
      <c r="L1154" t="b">
        <v>0</v>
      </c>
      <c r="M1154" t="b">
        <v>0</v>
      </c>
      <c r="N1154" t="inlineStr">
        <is>
          <t>alt</t>
        </is>
      </c>
      <c r="O1154" t="n">
        <v>-40</v>
      </c>
      <c r="P1154" t="n">
        <v>0.05212</v>
      </c>
      <c r="Q1154" t="n">
        <v>30</v>
      </c>
      <c r="R1154" t="n">
        <v>0.02887</v>
      </c>
      <c r="S1154">
        <f>IMAGE("https://mitra.stanford.edu/kundaje/oak/projects/neuro-variants/variant_position/credible/roussos_2024/variant_figures/roussos_2024.childhood.GABA/rs2319380_count_position.png",4,220,900)</f>
        <v/>
      </c>
      <c r="T1154">
        <f>IMAGE("https://mitra.stanford.edu/kundaje/oak/projects/neuro-variants/variant_position/credible/roussos_2024/variant_figures/roussos_2024.childhood.GABA/rs2319380_profile_position.png",4,220,900)</f>
        <v/>
      </c>
    </row>
    <row r="1155">
      <c r="A1155" t="inlineStr">
        <is>
          <t>chr14</t>
        </is>
      </c>
      <c r="B1155" t="n">
        <v>20680160</v>
      </c>
      <c r="C1155" t="inlineStr">
        <is>
          <t>C</t>
        </is>
      </c>
      <c r="D1155" t="inlineStr">
        <is>
          <t>A</t>
        </is>
      </c>
      <c r="E1155" t="inlineStr">
        <is>
          <t>rs10146921</t>
        </is>
      </c>
      <c r="F1155" t="n">
        <v>0.323062182</v>
      </c>
      <c r="G1155" t="n">
        <v>0.0010897316521956</v>
      </c>
      <c r="H1155" t="n">
        <v>0.0537695578675933</v>
      </c>
      <c r="I1155" t="n">
        <v>0.001491014677169</v>
      </c>
      <c r="J1155" t="n">
        <v>0.1987246340390776</v>
      </c>
      <c r="K1155" t="n">
        <v>0.2194217753529756</v>
      </c>
      <c r="L1155" t="b">
        <v>1</v>
      </c>
      <c r="M1155" t="b">
        <v>1</v>
      </c>
      <c r="N1155" t="inlineStr">
        <is>
          <t>alt</t>
        </is>
      </c>
      <c r="O1155" t="n">
        <v>70</v>
      </c>
      <c r="P1155" t="n">
        <v>0.007294</v>
      </c>
      <c r="Q1155" t="n">
        <v>80</v>
      </c>
      <c r="R1155" t="n">
        <v>0.1294</v>
      </c>
      <c r="S1155">
        <f>IMAGE("https://mitra.stanford.edu/kundaje/oak/projects/neuro-variants/variant_position/credible/roussos_2024/variant_figures/roussos_2024.childhood.GABA/rs10146921_count_position.png",4,220,900)</f>
        <v/>
      </c>
      <c r="T1155">
        <f>IMAGE("https://mitra.stanford.edu/kundaje/oak/projects/neuro-variants/variant_position/credible/roussos_2024/variant_figures/roussos_2024.childhood.GABA/rs10146921_profile_position.png",4,220,900)</f>
        <v/>
      </c>
    </row>
    <row r="1156">
      <c r="A1156" t="inlineStr">
        <is>
          <t>chr14</t>
        </is>
      </c>
      <c r="B1156" t="n">
        <v>20681949</v>
      </c>
      <c r="C1156" t="inlineStr">
        <is>
          <t>G</t>
        </is>
      </c>
      <c r="D1156" t="inlineStr">
        <is>
          <t>A</t>
        </is>
      </c>
      <c r="E1156" t="inlineStr">
        <is>
          <t>rs12587456</t>
        </is>
      </c>
      <c r="F1156" t="n">
        <v>-0.0567681934</v>
      </c>
      <c r="G1156" t="n">
        <v>0.1193261047440242</v>
      </c>
      <c r="H1156" t="n">
        <v>0.0120571023282026</v>
      </c>
      <c r="I1156" t="n">
        <v>0.4299597806492838</v>
      </c>
      <c r="J1156" t="n">
        <v>0.6832694603254381</v>
      </c>
      <c r="K1156" t="n">
        <v>0.0168905905519547</v>
      </c>
      <c r="L1156" t="b">
        <v>0</v>
      </c>
      <c r="M1156" t="b">
        <v>0</v>
      </c>
      <c r="N1156" t="inlineStr">
        <is>
          <t>ref</t>
        </is>
      </c>
      <c r="O1156" t="n">
        <v>-60</v>
      </c>
      <c r="P1156" t="n">
        <v>0.005722</v>
      </c>
      <c r="Q1156" t="n">
        <v>15</v>
      </c>
      <c r="R1156" t="n">
        <v>0.02222</v>
      </c>
      <c r="S1156">
        <f>IMAGE("https://mitra.stanford.edu/kundaje/oak/projects/neuro-variants/variant_position/credible/roussos_2024/variant_figures/roussos_2024.childhood.GABA/rs12587456_count_position.png",4,220,900)</f>
        <v/>
      </c>
      <c r="T1156">
        <f>IMAGE("https://mitra.stanford.edu/kundaje/oak/projects/neuro-variants/variant_position/credible/roussos_2024/variant_figures/roussos_2024.childhood.GABA/rs12587456_profile_position.png",4,220,900)</f>
        <v/>
      </c>
    </row>
    <row r="1157">
      <c r="A1157" t="inlineStr">
        <is>
          <t>chr14</t>
        </is>
      </c>
      <c r="B1157" t="n">
        <v>28990775</v>
      </c>
      <c r="C1157" t="inlineStr">
        <is>
          <t>G</t>
        </is>
      </c>
      <c r="D1157" t="inlineStr">
        <is>
          <t>A</t>
        </is>
      </c>
      <c r="E1157" t="inlineStr">
        <is>
          <t>rs60652177</t>
        </is>
      </c>
      <c r="F1157" t="n">
        <v>-0.032802459</v>
      </c>
      <c r="G1157" t="n">
        <v>0.2777282796243469</v>
      </c>
      <c r="H1157" t="n">
        <v>0.009234721702144399</v>
      </c>
      <c r="I1157" t="n">
        <v>0.7285960471324304</v>
      </c>
      <c r="J1157" t="n">
        <v>0.0340296538292391</v>
      </c>
      <c r="K1157" t="n">
        <v>0.5565067075738607</v>
      </c>
      <c r="L1157" t="b">
        <v>0</v>
      </c>
      <c r="M1157" t="b">
        <v>0</v>
      </c>
      <c r="N1157" t="inlineStr">
        <is>
          <t>ref</t>
        </is>
      </c>
      <c r="O1157" t="n">
        <v>-65</v>
      </c>
      <c r="P1157" t="n">
        <v>0.0027</v>
      </c>
      <c r="Q1157" t="n">
        <v>100</v>
      </c>
      <c r="R1157" t="n">
        <v>0.06793</v>
      </c>
      <c r="S1157">
        <f>IMAGE("https://mitra.stanford.edu/kundaje/oak/projects/neuro-variants/variant_position/credible/roussos_2024/variant_figures/roussos_2024.childhood.GABA/rs60652177_count_position.png",4,220,900)</f>
        <v/>
      </c>
      <c r="T1157">
        <f>IMAGE("https://mitra.stanford.edu/kundaje/oak/projects/neuro-variants/variant_position/credible/roussos_2024/variant_figures/roussos_2024.childhood.GABA/rs60652177_profile_position.png",4,220,900)</f>
        <v/>
      </c>
    </row>
    <row r="1158">
      <c r="A1158" t="inlineStr">
        <is>
          <t>chr14</t>
        </is>
      </c>
      <c r="B1158" t="n">
        <v>29000167</v>
      </c>
      <c r="C1158" t="inlineStr">
        <is>
          <t>T</t>
        </is>
      </c>
      <c r="D1158" t="inlineStr">
        <is>
          <t>C</t>
        </is>
      </c>
      <c r="E1158" t="inlineStr">
        <is>
          <t>rs10148671</t>
        </is>
      </c>
      <c r="F1158" t="n">
        <v>0.0609368374</v>
      </c>
      <c r="G1158" t="n">
        <v>0.0910987781791416</v>
      </c>
      <c r="H1158" t="n">
        <v>0.0132009184483298</v>
      </c>
      <c r="I1158" t="n">
        <v>0.3396612489448146</v>
      </c>
      <c r="J1158" t="n">
        <v>0.0332013989235827</v>
      </c>
      <c r="K1158" t="n">
        <v>0.5673863797978397</v>
      </c>
      <c r="L1158" t="b">
        <v>0</v>
      </c>
      <c r="M1158" t="b">
        <v>0</v>
      </c>
      <c r="N1158" t="inlineStr">
        <is>
          <t>alt</t>
        </is>
      </c>
      <c r="O1158" t="n">
        <v>90</v>
      </c>
      <c r="P1158" t="n">
        <v>0.006927</v>
      </c>
      <c r="Q1158" t="n">
        <v>15</v>
      </c>
      <c r="R1158" t="n">
        <v>0.03375</v>
      </c>
      <c r="S1158">
        <f>IMAGE("https://mitra.stanford.edu/kundaje/oak/projects/neuro-variants/variant_position/credible/roussos_2024/variant_figures/roussos_2024.childhood.GABA/rs10148671_count_position.png",4,220,900)</f>
        <v/>
      </c>
      <c r="T1158">
        <f>IMAGE("https://mitra.stanford.edu/kundaje/oak/projects/neuro-variants/variant_position/credible/roussos_2024/variant_figures/roussos_2024.childhood.GABA/rs10148671_profile_position.png",4,220,900)</f>
        <v/>
      </c>
    </row>
    <row r="1159">
      <c r="A1159" t="inlineStr">
        <is>
          <t>chr14</t>
        </is>
      </c>
      <c r="B1159" t="n">
        <v>29001268</v>
      </c>
      <c r="C1159" t="inlineStr">
        <is>
          <t>C</t>
        </is>
      </c>
      <c r="D1159" t="inlineStr">
        <is>
          <t>T</t>
        </is>
      </c>
      <c r="E1159" t="inlineStr">
        <is>
          <t>rs1886456</t>
        </is>
      </c>
      <c r="F1159" t="n">
        <v>-0.176555972</v>
      </c>
      <c r="G1159" t="n">
        <v>0.0063197603366169</v>
      </c>
      <c r="H1159" t="n">
        <v>0.0354895167604851</v>
      </c>
      <c r="I1159" t="n">
        <v>0.006052248678086</v>
      </c>
      <c r="J1159" t="n">
        <v>0.0624437184561579</v>
      </c>
      <c r="K1159" t="n">
        <v>0.451598372655787</v>
      </c>
      <c r="L1159" t="b">
        <v>1</v>
      </c>
      <c r="M1159" t="b">
        <v>1</v>
      </c>
      <c r="N1159" t="inlineStr">
        <is>
          <t>ref</t>
        </is>
      </c>
      <c r="O1159" t="n">
        <v>-95</v>
      </c>
      <c r="P1159" t="n">
        <v>0.00695</v>
      </c>
      <c r="Q1159" t="n">
        <v>25</v>
      </c>
      <c r="R1159" t="n">
        <v>0.0475</v>
      </c>
      <c r="S1159">
        <f>IMAGE("https://mitra.stanford.edu/kundaje/oak/projects/neuro-variants/variant_position/credible/roussos_2024/variant_figures/roussos_2024.childhood.GABA/rs1886456_count_position.png",4,220,900)</f>
        <v/>
      </c>
      <c r="T1159">
        <f>IMAGE("https://mitra.stanford.edu/kundaje/oak/projects/neuro-variants/variant_position/credible/roussos_2024/variant_figures/roussos_2024.childhood.GABA/rs1886456_profile_position.png",4,220,900)</f>
        <v/>
      </c>
    </row>
    <row r="1160">
      <c r="A1160" t="inlineStr">
        <is>
          <t>chr14</t>
        </is>
      </c>
      <c r="B1160" t="n">
        <v>29071661</v>
      </c>
      <c r="C1160" t="inlineStr">
        <is>
          <t>A</t>
        </is>
      </c>
      <c r="D1160" t="inlineStr">
        <is>
          <t>G</t>
        </is>
      </c>
      <c r="E1160" t="inlineStr">
        <is>
          <t>rs12882564</t>
        </is>
      </c>
      <c r="F1160" t="n">
        <v>0.0452900705999999</v>
      </c>
      <c r="G1160" t="n">
        <v>0.1662132354600694</v>
      </c>
      <c r="H1160" t="n">
        <v>0.0104058920432906</v>
      </c>
      <c r="I1160" t="n">
        <v>0.5966405628948506</v>
      </c>
      <c r="J1160" t="n">
        <v>0.0071548239827437</v>
      </c>
      <c r="K1160" t="n">
        <v>0.7874080917825951</v>
      </c>
      <c r="L1160" t="b">
        <v>0</v>
      </c>
      <c r="M1160" t="b">
        <v>0</v>
      </c>
      <c r="N1160" t="inlineStr">
        <is>
          <t>alt</t>
        </is>
      </c>
      <c r="O1160" t="n">
        <v>-100</v>
      </c>
      <c r="P1160" t="n">
        <v>0.01173</v>
      </c>
      <c r="Q1160" t="n">
        <v>55</v>
      </c>
      <c r="R1160" t="n">
        <v>0.02588</v>
      </c>
      <c r="S1160">
        <f>IMAGE("https://mitra.stanford.edu/kundaje/oak/projects/neuro-variants/variant_position/credible/roussos_2024/variant_figures/roussos_2024.childhood.GABA/rs12882564_count_position.png",4,220,900)</f>
        <v/>
      </c>
      <c r="T1160">
        <f>IMAGE("https://mitra.stanford.edu/kundaje/oak/projects/neuro-variants/variant_position/credible/roussos_2024/variant_figures/roussos_2024.childhood.GABA/rs12882564_profile_position.png",4,220,900)</f>
        <v/>
      </c>
    </row>
    <row r="1161">
      <c r="A1161" t="inlineStr">
        <is>
          <t>chr14</t>
        </is>
      </c>
      <c r="B1161" t="n">
        <v>29256150</v>
      </c>
      <c r="C1161" t="inlineStr">
        <is>
          <t>A</t>
        </is>
      </c>
      <c r="D1161" t="inlineStr">
        <is>
          <t>C</t>
        </is>
      </c>
      <c r="E1161" t="inlineStr">
        <is>
          <t>rs1956235</t>
        </is>
      </c>
      <c r="F1161" t="n">
        <v>-0.029430446</v>
      </c>
      <c r="G1161" t="n">
        <v>0.2961102165344504</v>
      </c>
      <c r="H1161" t="n">
        <v>0.0184974447957409</v>
      </c>
      <c r="I1161" t="n">
        <v>0.1028365447212419</v>
      </c>
      <c r="J1161" t="n">
        <v>0.002769575506272</v>
      </c>
      <c r="K1161" t="n">
        <v>0.8734420218845574</v>
      </c>
      <c r="L1161" t="b">
        <v>0</v>
      </c>
      <c r="M1161" t="b">
        <v>0</v>
      </c>
      <c r="N1161" t="inlineStr">
        <is>
          <t>ref</t>
        </is>
      </c>
      <c r="O1161" t="n">
        <v>10</v>
      </c>
      <c r="P1161" t="n">
        <v>0.0009384</v>
      </c>
      <c r="Q1161" t="n">
        <v>-20</v>
      </c>
      <c r="R1161" t="n">
        <v>0.006683</v>
      </c>
      <c r="S1161">
        <f>IMAGE("https://mitra.stanford.edu/kundaje/oak/projects/neuro-variants/variant_position/credible/roussos_2024/variant_figures/roussos_2024.childhood.GABA/rs1956235_count_position.png",4,220,900)</f>
        <v/>
      </c>
      <c r="T1161">
        <f>IMAGE("https://mitra.stanford.edu/kundaje/oak/projects/neuro-variants/variant_position/credible/roussos_2024/variant_figures/roussos_2024.childhood.GABA/rs1956235_profile_position.png",4,220,900)</f>
        <v/>
      </c>
    </row>
    <row r="1162">
      <c r="A1162" t="inlineStr">
        <is>
          <t>chr14</t>
        </is>
      </c>
      <c r="B1162" t="n">
        <v>29262456</v>
      </c>
      <c r="C1162" t="inlineStr">
        <is>
          <t>A</t>
        </is>
      </c>
      <c r="D1162" t="inlineStr">
        <is>
          <t>T</t>
        </is>
      </c>
      <c r="E1162" t="inlineStr">
        <is>
          <t>rs4636809</t>
        </is>
      </c>
      <c r="F1162" t="n">
        <v>-0.00173250466</v>
      </c>
      <c r="G1162" t="n">
        <v>0.8738472374424388</v>
      </c>
      <c r="H1162" t="n">
        <v>0.0242867450839339</v>
      </c>
      <c r="I1162" t="n">
        <v>0.0323687804620362</v>
      </c>
      <c r="J1162" t="n">
        <v>5.863751544470271e-05</v>
      </c>
      <c r="K1162" t="n">
        <v>0.9845744286949398</v>
      </c>
      <c r="L1162" t="b">
        <v>0</v>
      </c>
      <c r="M1162" t="b">
        <v>0</v>
      </c>
      <c r="N1162" t="inlineStr">
        <is>
          <t>ref</t>
        </is>
      </c>
      <c r="O1162" t="n">
        <v>20</v>
      </c>
      <c r="P1162" t="n">
        <v>0.00193</v>
      </c>
      <c r="Q1162" t="n">
        <v>-80</v>
      </c>
      <c r="R1162" t="n">
        <v>0.0828</v>
      </c>
      <c r="S1162">
        <f>IMAGE("https://mitra.stanford.edu/kundaje/oak/projects/neuro-variants/variant_position/credible/roussos_2024/variant_figures/roussos_2024.childhood.GABA/rs4636809_count_position.png",4,220,900)</f>
        <v/>
      </c>
      <c r="T1162">
        <f>IMAGE("https://mitra.stanford.edu/kundaje/oak/projects/neuro-variants/variant_position/credible/roussos_2024/variant_figures/roussos_2024.childhood.GABA/rs4636809_profile_position.png",4,220,900)</f>
        <v/>
      </c>
    </row>
    <row r="1163">
      <c r="A1163" t="inlineStr">
        <is>
          <t>chr14</t>
        </is>
      </c>
      <c r="B1163" t="n">
        <v>29531826</v>
      </c>
      <c r="C1163" t="inlineStr">
        <is>
          <t>A</t>
        </is>
      </c>
      <c r="D1163" t="inlineStr">
        <is>
          <t>T</t>
        </is>
      </c>
      <c r="E1163" t="inlineStr">
        <is>
          <t>rs1191547</t>
        </is>
      </c>
      <c r="F1163" t="n">
        <v>0.0207603723999999</v>
      </c>
      <c r="G1163" t="n">
        <v>0.3980098357785694</v>
      </c>
      <c r="H1163" t="n">
        <v>0.0171493637717505</v>
      </c>
      <c r="I1163" t="n">
        <v>0.141372487422846</v>
      </c>
      <c r="J1163" t="n">
        <v>0.0553967456178927</v>
      </c>
      <c r="K1163" t="n">
        <v>0.4766888681292403</v>
      </c>
      <c r="L1163" t="b">
        <v>0</v>
      </c>
      <c r="M1163" t="b">
        <v>0</v>
      </c>
      <c r="N1163" t="inlineStr">
        <is>
          <t>alt</t>
        </is>
      </c>
      <c r="O1163" t="n">
        <v>-5</v>
      </c>
      <c r="P1163" t="n">
        <v>0.0002441</v>
      </c>
      <c r="Q1163" t="n">
        <v>75</v>
      </c>
      <c r="R1163" t="n">
        <v>0.03107</v>
      </c>
      <c r="S1163">
        <f>IMAGE("https://mitra.stanford.edu/kundaje/oak/projects/neuro-variants/variant_position/credible/roussos_2024/variant_figures/roussos_2024.childhood.GABA/rs1191547_count_position.png",4,220,900)</f>
        <v/>
      </c>
      <c r="T1163">
        <f>IMAGE("https://mitra.stanford.edu/kundaje/oak/projects/neuro-variants/variant_position/credible/roussos_2024/variant_figures/roussos_2024.childhood.GABA/rs1191547_profile_position.png",4,220,900)</f>
        <v/>
      </c>
    </row>
    <row r="1164">
      <c r="A1164" t="inlineStr">
        <is>
          <t>chr14</t>
        </is>
      </c>
      <c r="B1164" t="n">
        <v>29601703</v>
      </c>
      <c r="C1164" t="inlineStr">
        <is>
          <t>G</t>
        </is>
      </c>
      <c r="D1164" t="inlineStr">
        <is>
          <t>T</t>
        </is>
      </c>
      <c r="E1164" t="inlineStr">
        <is>
          <t>rs3783301</t>
        </is>
      </c>
      <c r="F1164" t="n">
        <v>0.05938518692</v>
      </c>
      <c r="G1164" t="n">
        <v>0.1322871362335553</v>
      </c>
      <c r="H1164" t="n">
        <v>0.0221651225154682</v>
      </c>
      <c r="I1164" t="n">
        <v>0.0561393562278893</v>
      </c>
      <c r="J1164" t="n">
        <v>0.128142866117987</v>
      </c>
      <c r="K1164" t="n">
        <v>0.3072456289941488</v>
      </c>
      <c r="L1164" t="b">
        <v>0</v>
      </c>
      <c r="M1164" t="b">
        <v>0</v>
      </c>
      <c r="N1164" t="inlineStr">
        <is>
          <t>alt</t>
        </is>
      </c>
      <c r="O1164" t="n">
        <v>55</v>
      </c>
      <c r="P1164" t="n">
        <v>0.00277</v>
      </c>
      <c r="Q1164" t="n">
        <v>85</v>
      </c>
      <c r="R1164" t="n">
        <v>0.05988</v>
      </c>
      <c r="S1164">
        <f>IMAGE("https://mitra.stanford.edu/kundaje/oak/projects/neuro-variants/variant_position/credible/roussos_2024/variant_figures/roussos_2024.childhood.GABA/rs3783301_count_position.png",4,220,900)</f>
        <v/>
      </c>
      <c r="T1164">
        <f>IMAGE("https://mitra.stanford.edu/kundaje/oak/projects/neuro-variants/variant_position/credible/roussos_2024/variant_figures/roussos_2024.childhood.GABA/rs3783301_profile_position.png",4,220,900)</f>
        <v/>
      </c>
    </row>
    <row r="1165">
      <c r="A1165" t="inlineStr">
        <is>
          <t>chr14</t>
        </is>
      </c>
      <c r="B1165" t="n">
        <v>29614498</v>
      </c>
      <c r="C1165" t="inlineStr">
        <is>
          <t>T</t>
        </is>
      </c>
      <c r="D1165" t="inlineStr">
        <is>
          <t>G</t>
        </is>
      </c>
      <c r="E1165" t="inlineStr">
        <is>
          <t>rs10149921</t>
        </is>
      </c>
      <c r="F1165" t="n">
        <v>0.01103815526</v>
      </c>
      <c r="G1165" t="n">
        <v>0.6103257968399718</v>
      </c>
      <c r="H1165" t="n">
        <v>0.0180382627267431</v>
      </c>
      <c r="I1165" t="n">
        <v>0.1133089645648372</v>
      </c>
      <c r="J1165" t="n">
        <v>0.014976649703671</v>
      </c>
      <c r="K1165" t="n">
        <v>0.6918564062086709</v>
      </c>
      <c r="L1165" t="b">
        <v>0</v>
      </c>
      <c r="M1165" t="b">
        <v>0</v>
      </c>
      <c r="N1165" t="inlineStr">
        <is>
          <t>alt</t>
        </is>
      </c>
      <c r="O1165" t="n">
        <v>90</v>
      </c>
      <c r="P1165" t="n">
        <v>0.002693</v>
      </c>
      <c r="Q1165" t="n">
        <v>-90</v>
      </c>
      <c r="R1165" t="n">
        <v>0.08989999999999999</v>
      </c>
      <c r="S1165">
        <f>IMAGE("https://mitra.stanford.edu/kundaje/oak/projects/neuro-variants/variant_position/credible/roussos_2024/variant_figures/roussos_2024.childhood.GABA/rs10149921_count_position.png",4,220,900)</f>
        <v/>
      </c>
      <c r="T1165">
        <f>IMAGE("https://mitra.stanford.edu/kundaje/oak/projects/neuro-variants/variant_position/credible/roussos_2024/variant_figures/roussos_2024.childhood.GABA/rs10149921_profile_position.png",4,220,900)</f>
        <v/>
      </c>
    </row>
    <row r="1166">
      <c r="A1166" t="inlineStr">
        <is>
          <t>chr14</t>
        </is>
      </c>
      <c r="B1166" t="n">
        <v>29678684</v>
      </c>
      <c r="C1166" t="inlineStr">
        <is>
          <t>C</t>
        </is>
      </c>
      <c r="D1166" t="inlineStr">
        <is>
          <t>A</t>
        </is>
      </c>
      <c r="E1166" t="inlineStr">
        <is>
          <t>rs7158984</t>
        </is>
      </c>
      <c r="F1166" t="n">
        <v>3.374603999999996e-05</v>
      </c>
      <c r="G1166" t="n">
        <v>0.9039592048525552</v>
      </c>
      <c r="H1166" t="n">
        <v>0.0253150049530448</v>
      </c>
      <c r="I1166" t="n">
        <v>0.0266550844969277</v>
      </c>
      <c r="J1166" t="n">
        <v>0.0055705639672467</v>
      </c>
      <c r="K1166" t="n">
        <v>0.8120878911493326</v>
      </c>
      <c r="L1166" t="b">
        <v>0</v>
      </c>
      <c r="M1166" t="b">
        <v>0</v>
      </c>
      <c r="N1166" t="inlineStr">
        <is>
          <t>alt</t>
        </is>
      </c>
      <c r="O1166" t="n">
        <v>-35</v>
      </c>
      <c r="P1166" t="n">
        <v>0.001498</v>
      </c>
      <c r="Q1166" t="n">
        <v>85</v>
      </c>
      <c r="R1166" t="n">
        <v>0.09204</v>
      </c>
      <c r="S1166">
        <f>IMAGE("https://mitra.stanford.edu/kundaje/oak/projects/neuro-variants/variant_position/credible/roussos_2024/variant_figures/roussos_2024.childhood.GABA/rs7158984_count_position.png",4,220,900)</f>
        <v/>
      </c>
      <c r="T1166">
        <f>IMAGE("https://mitra.stanford.edu/kundaje/oak/projects/neuro-variants/variant_position/credible/roussos_2024/variant_figures/roussos_2024.childhood.GABA/rs7158984_profile_position.png",4,220,900)</f>
        <v/>
      </c>
    </row>
    <row r="1167">
      <c r="A1167" t="inlineStr">
        <is>
          <t>chr14</t>
        </is>
      </c>
      <c r="B1167" t="n">
        <v>29695765</v>
      </c>
      <c r="C1167" t="inlineStr">
        <is>
          <t>C</t>
        </is>
      </c>
      <c r="D1167" t="inlineStr">
        <is>
          <t>T</t>
        </is>
      </c>
      <c r="E1167" t="inlineStr">
        <is>
          <t>rs10150918</t>
        </is>
      </c>
      <c r="F1167" t="n">
        <v>-0.0350241335999999</v>
      </c>
      <c r="G1167" t="n">
        <v>0.251267547075636</v>
      </c>
      <c r="H1167" t="n">
        <v>0.0157961446459808</v>
      </c>
      <c r="I1167" t="n">
        <v>0.1879073308119968</v>
      </c>
      <c r="J1167" t="n">
        <v>0.09644195933069449</v>
      </c>
      <c r="K1167" t="n">
        <v>0.353262169700462</v>
      </c>
      <c r="L1167" t="b">
        <v>0</v>
      </c>
      <c r="M1167" t="b">
        <v>0</v>
      </c>
      <c r="N1167" t="inlineStr">
        <is>
          <t>ref</t>
        </is>
      </c>
      <c r="O1167" t="n">
        <v>100</v>
      </c>
      <c r="P1167" t="n">
        <v>0.02722</v>
      </c>
      <c r="Q1167" t="n">
        <v>-50</v>
      </c>
      <c r="R1167" t="n">
        <v>0.09644</v>
      </c>
      <c r="S1167">
        <f>IMAGE("https://mitra.stanford.edu/kundaje/oak/projects/neuro-variants/variant_position/credible/roussos_2024/variant_figures/roussos_2024.childhood.GABA/rs10150918_count_position.png",4,220,900)</f>
        <v/>
      </c>
      <c r="T1167">
        <f>IMAGE("https://mitra.stanford.edu/kundaje/oak/projects/neuro-variants/variant_position/credible/roussos_2024/variant_figures/roussos_2024.childhood.GABA/rs10150918_profile_position.png",4,220,900)</f>
        <v/>
      </c>
    </row>
    <row r="1168">
      <c r="A1168" t="inlineStr">
        <is>
          <t>chr14</t>
        </is>
      </c>
      <c r="B1168" t="n">
        <v>29700781</v>
      </c>
      <c r="C1168" t="inlineStr">
        <is>
          <t>T</t>
        </is>
      </c>
      <c r="D1168" t="inlineStr">
        <is>
          <t>G</t>
        </is>
      </c>
      <c r="E1168" t="inlineStr">
        <is>
          <t>rs959388</t>
        </is>
      </c>
      <c r="F1168" t="n">
        <v>0.0906131456</v>
      </c>
      <c r="G1168" t="n">
        <v>0.0352848507782722</v>
      </c>
      <c r="H1168" t="n">
        <v>0.022836592362132</v>
      </c>
      <c r="I1168" t="n">
        <v>0.042531757002866</v>
      </c>
      <c r="J1168" t="n">
        <v>0.2717346233586731</v>
      </c>
      <c r="K1168" t="n">
        <v>0.1618802493130573</v>
      </c>
      <c r="L1168" t="b">
        <v>0</v>
      </c>
      <c r="M1168" t="b">
        <v>0</v>
      </c>
      <c r="N1168" t="inlineStr">
        <is>
          <t>alt</t>
        </is>
      </c>
      <c r="O1168" t="n">
        <v>100</v>
      </c>
      <c r="P1168" t="n">
        <v>0.07416</v>
      </c>
      <c r="Q1168" t="n">
        <v>90</v>
      </c>
      <c r="R1168" t="n">
        <v>0.8594000000000001</v>
      </c>
      <c r="S1168">
        <f>IMAGE("https://mitra.stanford.edu/kundaje/oak/projects/neuro-variants/variant_position/credible/roussos_2024/variant_figures/roussos_2024.childhood.GABA/rs959388_count_position.png",4,220,900)</f>
        <v/>
      </c>
      <c r="T1168">
        <f>IMAGE("https://mitra.stanford.edu/kundaje/oak/projects/neuro-variants/variant_position/credible/roussos_2024/variant_figures/roussos_2024.childhood.GABA/rs959388_profile_position.png",4,220,900)</f>
        <v/>
      </c>
    </row>
    <row r="1169">
      <c r="A1169" t="inlineStr">
        <is>
          <t>chr14</t>
        </is>
      </c>
      <c r="B1169" t="n">
        <v>29705233</v>
      </c>
      <c r="C1169" t="inlineStr">
        <is>
          <t>T</t>
        </is>
      </c>
      <c r="D1169" t="inlineStr">
        <is>
          <t>C</t>
        </is>
      </c>
      <c r="E1169" t="inlineStr">
        <is>
          <t>rs7140901</t>
        </is>
      </c>
      <c r="F1169" t="n">
        <v>-0.00281089493</v>
      </c>
      <c r="G1169" t="n">
        <v>0.8879901041292585</v>
      </c>
      <c r="H1169" t="n">
        <v>0.0193093312616153</v>
      </c>
      <c r="I1169" t="n">
        <v>0.0868055591207529</v>
      </c>
      <c r="J1169" t="n">
        <v>0.0185315490775061</v>
      </c>
      <c r="K1169" t="n">
        <v>0.6620962412412531</v>
      </c>
      <c r="L1169" t="b">
        <v>0</v>
      </c>
      <c r="M1169" t="b">
        <v>0</v>
      </c>
      <c r="N1169" t="inlineStr">
        <is>
          <t>ref</t>
        </is>
      </c>
      <c r="O1169" t="n">
        <v>-60</v>
      </c>
      <c r="P1169" t="n">
        <v>0.003862</v>
      </c>
      <c r="Q1169" t="n">
        <v>-100</v>
      </c>
      <c r="R1169" t="n">
        <v>0.06415</v>
      </c>
      <c r="S1169">
        <f>IMAGE("https://mitra.stanford.edu/kundaje/oak/projects/neuro-variants/variant_position/credible/roussos_2024/variant_figures/roussos_2024.childhood.GABA/rs7140901_count_position.png",4,220,900)</f>
        <v/>
      </c>
      <c r="T1169">
        <f>IMAGE("https://mitra.stanford.edu/kundaje/oak/projects/neuro-variants/variant_position/credible/roussos_2024/variant_figures/roussos_2024.childhood.GABA/rs7140901_profile_position.png",4,220,900)</f>
        <v/>
      </c>
    </row>
    <row r="1170">
      <c r="A1170" t="inlineStr">
        <is>
          <t>chr14</t>
        </is>
      </c>
      <c r="B1170" t="n">
        <v>32737301</v>
      </c>
      <c r="C1170" t="inlineStr">
        <is>
          <t>T</t>
        </is>
      </c>
      <c r="D1170" t="inlineStr">
        <is>
          <t>C</t>
        </is>
      </c>
      <c r="E1170" t="inlineStr">
        <is>
          <t>rs17440692</t>
        </is>
      </c>
      <c r="F1170" t="n">
        <v>0.0223033783999999</v>
      </c>
      <c r="G1170" t="n">
        <v>0.3872995051789607</v>
      </c>
      <c r="H1170" t="n">
        <v>0.023700885876616</v>
      </c>
      <c r="I1170" t="n">
        <v>0.0361698322856537</v>
      </c>
      <c r="J1170" t="n">
        <v>0.0019821574417289</v>
      </c>
      <c r="K1170" t="n">
        <v>0.8839297066733078</v>
      </c>
      <c r="L1170" t="b">
        <v>0</v>
      </c>
      <c r="M1170" t="b">
        <v>0</v>
      </c>
      <c r="N1170" t="inlineStr">
        <is>
          <t>alt</t>
        </is>
      </c>
      <c r="O1170" t="n">
        <v>85</v>
      </c>
      <c r="P1170" t="n">
        <v>0.006485</v>
      </c>
      <c r="Q1170" t="n">
        <v>100</v>
      </c>
      <c r="R1170" t="n">
        <v>0.01736</v>
      </c>
      <c r="S1170">
        <f>IMAGE("https://mitra.stanford.edu/kundaje/oak/projects/neuro-variants/variant_position/credible/roussos_2024/variant_figures/roussos_2024.childhood.GABA/rs17440692_count_position.png",4,220,900)</f>
        <v/>
      </c>
      <c r="T1170">
        <f>IMAGE("https://mitra.stanford.edu/kundaje/oak/projects/neuro-variants/variant_position/credible/roussos_2024/variant_figures/roussos_2024.childhood.GABA/rs17440692_profile_position.png",4,220,900)</f>
        <v/>
      </c>
    </row>
    <row r="1171">
      <c r="A1171" t="inlineStr">
        <is>
          <t>chr14</t>
        </is>
      </c>
      <c r="B1171" t="n">
        <v>32741769</v>
      </c>
      <c r="C1171" t="inlineStr">
        <is>
          <t>T</t>
        </is>
      </c>
      <c r="D1171" t="inlineStr">
        <is>
          <t>G</t>
        </is>
      </c>
      <c r="E1171" t="inlineStr">
        <is>
          <t>rs73266980</t>
        </is>
      </c>
      <c r="F1171" t="n">
        <v>0.00074276556</v>
      </c>
      <c r="G1171" t="n">
        <v>0.8350629890333069</v>
      </c>
      <c r="H1171" t="n">
        <v>0.0218489171394123</v>
      </c>
      <c r="I1171" t="n">
        <v>0.0511697168290028</v>
      </c>
      <c r="J1171" t="n">
        <v>0.0010156855353814</v>
      </c>
      <c r="K1171" t="n">
        <v>0.9156670836388336</v>
      </c>
      <c r="L1171" t="b">
        <v>0</v>
      </c>
      <c r="M1171" t="b">
        <v>0</v>
      </c>
      <c r="N1171" t="inlineStr">
        <is>
          <t>alt</t>
        </is>
      </c>
      <c r="O1171" t="n">
        <v>-60</v>
      </c>
      <c r="P1171" t="n">
        <v>0.00598</v>
      </c>
      <c r="Q1171" t="n">
        <v>85</v>
      </c>
      <c r="R1171" t="n">
        <v>0.04874</v>
      </c>
      <c r="S1171">
        <f>IMAGE("https://mitra.stanford.edu/kundaje/oak/projects/neuro-variants/variant_position/credible/roussos_2024/variant_figures/roussos_2024.childhood.GABA/rs73266980_count_position.png",4,220,900)</f>
        <v/>
      </c>
      <c r="T1171">
        <f>IMAGE("https://mitra.stanford.edu/kundaje/oak/projects/neuro-variants/variant_position/credible/roussos_2024/variant_figures/roussos_2024.childhood.GABA/rs73266980_profile_position.png",4,220,900)</f>
        <v/>
      </c>
    </row>
    <row r="1172">
      <c r="A1172" t="inlineStr">
        <is>
          <t>chr14</t>
        </is>
      </c>
      <c r="B1172" t="n">
        <v>32833853</v>
      </c>
      <c r="C1172" t="inlineStr">
        <is>
          <t>A</t>
        </is>
      </c>
      <c r="D1172" t="inlineStr">
        <is>
          <t>T</t>
        </is>
      </c>
      <c r="E1172" t="inlineStr">
        <is>
          <t>rs12882859</t>
        </is>
      </c>
      <c r="F1172" t="n">
        <v>-0.0042855113</v>
      </c>
      <c r="G1172" t="n">
        <v>0.7962758701631193</v>
      </c>
      <c r="H1172" t="n">
        <v>0.0234856461821217</v>
      </c>
      <c r="I1172" t="n">
        <v>0.0371311782688052</v>
      </c>
      <c r="J1172" t="n">
        <v>0.0011800799983246</v>
      </c>
      <c r="K1172" t="n">
        <v>0.90691166799156</v>
      </c>
      <c r="L1172" t="b">
        <v>0</v>
      </c>
      <c r="M1172" t="b">
        <v>0</v>
      </c>
      <c r="N1172" t="inlineStr">
        <is>
          <t>ref</t>
        </is>
      </c>
      <c r="O1172" t="n">
        <v>-50</v>
      </c>
      <c r="P1172" t="n">
        <v>0.0004578</v>
      </c>
      <c r="Q1172" t="n">
        <v>65</v>
      </c>
      <c r="R1172" t="n">
        <v>0.05377</v>
      </c>
      <c r="S1172">
        <f>IMAGE("https://mitra.stanford.edu/kundaje/oak/projects/neuro-variants/variant_position/credible/roussos_2024/variant_figures/roussos_2024.childhood.GABA/rs12882859_count_position.png",4,220,900)</f>
        <v/>
      </c>
      <c r="T1172">
        <f>IMAGE("https://mitra.stanford.edu/kundaje/oak/projects/neuro-variants/variant_position/credible/roussos_2024/variant_figures/roussos_2024.childhood.GABA/rs12882859_profile_position.png",4,220,900)</f>
        <v/>
      </c>
    </row>
    <row r="1173">
      <c r="A1173" t="inlineStr">
        <is>
          <t>chr14</t>
        </is>
      </c>
      <c r="B1173" t="n">
        <v>32836003</v>
      </c>
      <c r="C1173" t="inlineStr">
        <is>
          <t>C</t>
        </is>
      </c>
      <c r="D1173" t="inlineStr">
        <is>
          <t>G</t>
        </is>
      </c>
      <c r="E1173" t="inlineStr">
        <is>
          <t>rs12894833</t>
        </is>
      </c>
      <c r="F1173" t="n">
        <v>0.0758200822</v>
      </c>
      <c r="G1173" t="n">
        <v>0.0566206184044687</v>
      </c>
      <c r="H1173" t="n">
        <v>0.0159682722550957</v>
      </c>
      <c r="I1173" t="n">
        <v>0.1820543291739711</v>
      </c>
      <c r="J1173" t="n">
        <v>0.0767931561642687</v>
      </c>
      <c r="K1173" t="n">
        <v>0.4142777783486464</v>
      </c>
      <c r="L1173" t="b">
        <v>0</v>
      </c>
      <c r="M1173" t="b">
        <v>0</v>
      </c>
      <c r="N1173" t="inlineStr">
        <is>
          <t>alt</t>
        </is>
      </c>
      <c r="O1173" t="n">
        <v>95</v>
      </c>
      <c r="P1173" t="n">
        <v>0.001045</v>
      </c>
      <c r="Q1173" t="n">
        <v>85</v>
      </c>
      <c r="R1173" t="n">
        <v>0.0984</v>
      </c>
      <c r="S1173">
        <f>IMAGE("https://mitra.stanford.edu/kundaje/oak/projects/neuro-variants/variant_position/credible/roussos_2024/variant_figures/roussos_2024.childhood.GABA/rs12894833_count_position.png",4,220,900)</f>
        <v/>
      </c>
      <c r="T1173">
        <f>IMAGE("https://mitra.stanford.edu/kundaje/oak/projects/neuro-variants/variant_position/credible/roussos_2024/variant_figures/roussos_2024.childhood.GABA/rs12894833_profile_position.png",4,220,900)</f>
        <v/>
      </c>
    </row>
    <row r="1174">
      <c r="A1174" t="inlineStr">
        <is>
          <t>chr14</t>
        </is>
      </c>
      <c r="B1174" t="n">
        <v>32836293</v>
      </c>
      <c r="C1174" t="inlineStr">
        <is>
          <t>T</t>
        </is>
      </c>
      <c r="D1174" t="inlineStr">
        <is>
          <t>G</t>
        </is>
      </c>
      <c r="E1174" t="inlineStr">
        <is>
          <t>rs12896446</t>
        </is>
      </c>
      <c r="F1174" t="n">
        <v>0.00825235614</v>
      </c>
      <c r="G1174" t="n">
        <v>0.6725210739610908</v>
      </c>
      <c r="H1174" t="n">
        <v>0.0104733606416617</v>
      </c>
      <c r="I1174" t="n">
        <v>0.5889987085092492</v>
      </c>
      <c r="J1174" t="n">
        <v>0.0543129986806558</v>
      </c>
      <c r="K1174" t="n">
        <v>0.4906397799744311</v>
      </c>
      <c r="L1174" t="b">
        <v>0</v>
      </c>
      <c r="M1174" t="b">
        <v>0</v>
      </c>
      <c r="N1174" t="inlineStr">
        <is>
          <t>alt</t>
        </is>
      </c>
      <c r="O1174" t="n">
        <v>-90</v>
      </c>
      <c r="P1174" t="n">
        <v>0.0098</v>
      </c>
      <c r="Q1174" t="n">
        <v>-70</v>
      </c>
      <c r="R1174" t="n">
        <v>0.0897</v>
      </c>
      <c r="S1174">
        <f>IMAGE("https://mitra.stanford.edu/kundaje/oak/projects/neuro-variants/variant_position/credible/roussos_2024/variant_figures/roussos_2024.childhood.GABA/rs12896446_count_position.png",4,220,900)</f>
        <v/>
      </c>
      <c r="T1174">
        <f>IMAGE("https://mitra.stanford.edu/kundaje/oak/projects/neuro-variants/variant_position/credible/roussos_2024/variant_figures/roussos_2024.childhood.GABA/rs12896446_profile_position.png",4,220,900)</f>
        <v/>
      </c>
    </row>
    <row r="1175">
      <c r="A1175" t="inlineStr">
        <is>
          <t>chr14</t>
        </is>
      </c>
      <c r="B1175" t="n">
        <v>32839824</v>
      </c>
      <c r="C1175" t="inlineStr">
        <is>
          <t>T</t>
        </is>
      </c>
      <c r="D1175" t="inlineStr">
        <is>
          <t>G</t>
        </is>
      </c>
      <c r="E1175" t="inlineStr">
        <is>
          <t>rs7140259</t>
        </is>
      </c>
      <c r="F1175" t="n">
        <v>-0.00682331266</v>
      </c>
      <c r="G1175" t="n">
        <v>0.5316159833857597</v>
      </c>
      <c r="H1175" t="n">
        <v>0.0226115378740017</v>
      </c>
      <c r="I1175" t="n">
        <v>0.0447044327184864</v>
      </c>
      <c r="J1175" t="n">
        <v>0.0028292601202068</v>
      </c>
      <c r="K1175" t="n">
        <v>0.8556332364158021</v>
      </c>
      <c r="L1175" t="b">
        <v>0</v>
      </c>
      <c r="M1175" t="b">
        <v>0</v>
      </c>
      <c r="N1175" t="inlineStr">
        <is>
          <t>ref</t>
        </is>
      </c>
      <c r="O1175" t="n">
        <v>-5</v>
      </c>
      <c r="P1175" t="n">
        <v>0.00269</v>
      </c>
      <c r="Q1175" t="n">
        <v>-95</v>
      </c>
      <c r="R1175" t="n">
        <v>0.06270000000000001</v>
      </c>
      <c r="S1175">
        <f>IMAGE("https://mitra.stanford.edu/kundaje/oak/projects/neuro-variants/variant_position/credible/roussos_2024/variant_figures/roussos_2024.childhood.GABA/rs7140259_count_position.png",4,220,900)</f>
        <v/>
      </c>
      <c r="T1175">
        <f>IMAGE("https://mitra.stanford.edu/kundaje/oak/projects/neuro-variants/variant_position/credible/roussos_2024/variant_figures/roussos_2024.childhood.GABA/rs7140259_profile_position.png",4,220,900)</f>
        <v/>
      </c>
    </row>
    <row r="1176">
      <c r="A1176" t="inlineStr">
        <is>
          <t>chr14</t>
        </is>
      </c>
      <c r="B1176" t="n">
        <v>32840087</v>
      </c>
      <c r="C1176" t="inlineStr">
        <is>
          <t>C</t>
        </is>
      </c>
      <c r="D1176" t="inlineStr">
        <is>
          <t>A</t>
        </is>
      </c>
      <c r="E1176" t="inlineStr">
        <is>
          <t>rs7161135</t>
        </is>
      </c>
      <c r="F1176" t="n">
        <v>0.0249324678</v>
      </c>
      <c r="G1176" t="n">
        <v>0.3587348979916567</v>
      </c>
      <c r="H1176" t="n">
        <v>0.0267812382390299</v>
      </c>
      <c r="I1176" t="n">
        <v>0.0209583433340596</v>
      </c>
      <c r="J1176" t="n">
        <v>0.0074427760675168</v>
      </c>
      <c r="K1176" t="n">
        <v>0.7704880042161845</v>
      </c>
      <c r="L1176" t="b">
        <v>0</v>
      </c>
      <c r="M1176" t="b">
        <v>0</v>
      </c>
      <c r="N1176" t="inlineStr">
        <is>
          <t>alt</t>
        </is>
      </c>
      <c r="O1176" t="n">
        <v>40</v>
      </c>
      <c r="P1176" t="n">
        <v>0.021</v>
      </c>
      <c r="Q1176" t="n">
        <v>60</v>
      </c>
      <c r="R1176" t="n">
        <v>0.02075</v>
      </c>
      <c r="S1176">
        <f>IMAGE("https://mitra.stanford.edu/kundaje/oak/projects/neuro-variants/variant_position/credible/roussos_2024/variant_figures/roussos_2024.childhood.GABA/rs7161135_count_position.png",4,220,900)</f>
        <v/>
      </c>
      <c r="T1176">
        <f>IMAGE("https://mitra.stanford.edu/kundaje/oak/projects/neuro-variants/variant_position/credible/roussos_2024/variant_figures/roussos_2024.childhood.GABA/rs7161135_profile_position.png",4,220,900)</f>
        <v/>
      </c>
    </row>
    <row r="1177">
      <c r="A1177" t="inlineStr">
        <is>
          <t>chr14</t>
        </is>
      </c>
      <c r="B1177" t="n">
        <v>32870195</v>
      </c>
      <c r="C1177" t="inlineStr">
        <is>
          <t>T</t>
        </is>
      </c>
      <c r="D1177" t="inlineStr">
        <is>
          <t>C</t>
        </is>
      </c>
      <c r="E1177" t="inlineStr">
        <is>
          <t>rs12434588</t>
        </is>
      </c>
      <c r="F1177" t="n">
        <v>-0.0243297525999999</v>
      </c>
      <c r="G1177" t="n">
        <v>0.3619541525523236</v>
      </c>
      <c r="H1177" t="n">
        <v>0.0146491550793121</v>
      </c>
      <c r="I1177" t="n">
        <v>0.2457667346430858</v>
      </c>
      <c r="J1177" t="n">
        <v>0.0048114175619358</v>
      </c>
      <c r="K1177" t="n">
        <v>0.8196703020693671</v>
      </c>
      <c r="L1177" t="b">
        <v>0</v>
      </c>
      <c r="M1177" t="b">
        <v>0</v>
      </c>
      <c r="N1177" t="inlineStr">
        <is>
          <t>ref</t>
        </is>
      </c>
      <c r="O1177" t="n">
        <v>90</v>
      </c>
      <c r="P1177" t="n">
        <v>0.007492</v>
      </c>
      <c r="Q1177" t="n">
        <v>100</v>
      </c>
      <c r="R1177" t="n">
        <v>0.05206</v>
      </c>
      <c r="S1177">
        <f>IMAGE("https://mitra.stanford.edu/kundaje/oak/projects/neuro-variants/variant_position/credible/roussos_2024/variant_figures/roussos_2024.childhood.GABA/rs12434588_count_position.png",4,220,900)</f>
        <v/>
      </c>
      <c r="T1177">
        <f>IMAGE("https://mitra.stanford.edu/kundaje/oak/projects/neuro-variants/variant_position/credible/roussos_2024/variant_figures/roussos_2024.childhood.GABA/rs12434588_profile_position.png",4,220,900)</f>
        <v/>
      </c>
    </row>
    <row r="1178">
      <c r="A1178" t="inlineStr">
        <is>
          <t>chr14</t>
        </is>
      </c>
      <c r="B1178" t="n">
        <v>33186914</v>
      </c>
      <c r="C1178" t="inlineStr">
        <is>
          <t>A</t>
        </is>
      </c>
      <c r="D1178" t="inlineStr">
        <is>
          <t>G</t>
        </is>
      </c>
      <c r="E1178" t="inlineStr">
        <is>
          <t>rs12887688</t>
        </is>
      </c>
      <c r="F1178" t="n">
        <v>0.014372896</v>
      </c>
      <c r="G1178" t="n">
        <v>0.2311765550421255</v>
      </c>
      <c r="H1178" t="n">
        <v>0.0156077906753507</v>
      </c>
      <c r="I1178" t="n">
        <v>0.1979353099557759</v>
      </c>
      <c r="J1178" t="n">
        <v>0.3120730455906682</v>
      </c>
      <c r="K1178" t="n">
        <v>0.1290480828366643</v>
      </c>
      <c r="L1178" t="b">
        <v>0</v>
      </c>
      <c r="M1178" t="b">
        <v>0</v>
      </c>
      <c r="N1178" t="inlineStr">
        <is>
          <t>alt</t>
        </is>
      </c>
      <c r="O1178" t="n">
        <v>-60</v>
      </c>
      <c r="P1178" t="n">
        <v>0.00775</v>
      </c>
      <c r="Q1178" t="n">
        <v>-60</v>
      </c>
      <c r="R1178" t="n">
        <v>0.04004</v>
      </c>
      <c r="S1178">
        <f>IMAGE("https://mitra.stanford.edu/kundaje/oak/projects/neuro-variants/variant_position/credible/roussos_2024/variant_figures/roussos_2024.childhood.GABA/rs12887688_count_position.png",4,220,900)</f>
        <v/>
      </c>
      <c r="T1178">
        <f>IMAGE("https://mitra.stanford.edu/kundaje/oak/projects/neuro-variants/variant_position/credible/roussos_2024/variant_figures/roussos_2024.childhood.GABA/rs12887688_profile_position.png",4,220,900)</f>
        <v/>
      </c>
    </row>
    <row r="1179">
      <c r="A1179" t="inlineStr">
        <is>
          <t>chr14</t>
        </is>
      </c>
      <c r="B1179" t="n">
        <v>35006989</v>
      </c>
      <c r="C1179" t="inlineStr">
        <is>
          <t>A</t>
        </is>
      </c>
      <c r="D1179" t="inlineStr">
        <is>
          <t>G</t>
        </is>
      </c>
      <c r="E1179" t="inlineStr">
        <is>
          <t>rs10133628</t>
        </is>
      </c>
      <c r="F1179" t="n">
        <v>-0.0244301824</v>
      </c>
      <c r="G1179" t="n">
        <v>0.3694116277782637</v>
      </c>
      <c r="H1179" t="n">
        <v>0.013854627089633</v>
      </c>
      <c r="I1179" t="n">
        <v>0.2881168915194234</v>
      </c>
      <c r="J1179" t="n">
        <v>0.001260706582061</v>
      </c>
      <c r="K1179" t="n">
        <v>0.910792213465468</v>
      </c>
      <c r="L1179" t="b">
        <v>0</v>
      </c>
      <c r="M1179" t="b">
        <v>0</v>
      </c>
      <c r="N1179" t="inlineStr">
        <is>
          <t>ref</t>
        </is>
      </c>
      <c r="O1179" t="n">
        <v>90</v>
      </c>
      <c r="P1179" t="n">
        <v>0.00196</v>
      </c>
      <c r="Q1179" t="n">
        <v>55</v>
      </c>
      <c r="R1179" t="n">
        <v>0.05994</v>
      </c>
      <c r="S1179">
        <f>IMAGE("https://mitra.stanford.edu/kundaje/oak/projects/neuro-variants/variant_position/credible/roussos_2024/variant_figures/roussos_2024.childhood.GABA/rs10133628_count_position.png",4,220,900)</f>
        <v/>
      </c>
      <c r="T1179">
        <f>IMAGE("https://mitra.stanford.edu/kundaje/oak/projects/neuro-variants/variant_position/credible/roussos_2024/variant_figures/roussos_2024.childhood.GABA/rs10133628_profile_position.png",4,220,900)</f>
        <v/>
      </c>
    </row>
    <row r="1180">
      <c r="A1180" t="inlineStr">
        <is>
          <t>chr14</t>
        </is>
      </c>
      <c r="B1180" t="n">
        <v>35007770</v>
      </c>
      <c r="C1180" t="inlineStr">
        <is>
          <t>T</t>
        </is>
      </c>
      <c r="D1180" t="inlineStr">
        <is>
          <t>C</t>
        </is>
      </c>
      <c r="E1180" t="inlineStr">
        <is>
          <t>rs72474105</t>
        </is>
      </c>
      <c r="F1180" t="n">
        <v>-0.008057758660000001</v>
      </c>
      <c r="G1180" t="n">
        <v>0.7061366945784604</v>
      </c>
      <c r="H1180" t="n">
        <v>0.0160852649972917</v>
      </c>
      <c r="I1180" t="n">
        <v>0.1759426708151574</v>
      </c>
      <c r="J1180" t="n">
        <v>0.0020135703964314</v>
      </c>
      <c r="K1180" t="n">
        <v>0.8930148896295912</v>
      </c>
      <c r="L1180" t="b">
        <v>0</v>
      </c>
      <c r="M1180" t="b">
        <v>0</v>
      </c>
      <c r="N1180" t="inlineStr">
        <is>
          <t>ref</t>
        </is>
      </c>
      <c r="O1180" t="n">
        <v>-95</v>
      </c>
      <c r="P1180" t="n">
        <v>0.03293</v>
      </c>
      <c r="Q1180" t="n">
        <v>-85</v>
      </c>
      <c r="R1180" t="n">
        <v>0.05414</v>
      </c>
      <c r="S1180">
        <f>IMAGE("https://mitra.stanford.edu/kundaje/oak/projects/neuro-variants/variant_position/credible/roussos_2024/variant_figures/roussos_2024.childhood.GABA/rs72474105_count_position.png",4,220,900)</f>
        <v/>
      </c>
      <c r="T1180">
        <f>IMAGE("https://mitra.stanford.edu/kundaje/oak/projects/neuro-variants/variant_position/credible/roussos_2024/variant_figures/roussos_2024.childhood.GABA/rs72474105_profile_position.png",4,220,900)</f>
        <v/>
      </c>
    </row>
    <row r="1181">
      <c r="A1181" t="inlineStr">
        <is>
          <t>chr14</t>
        </is>
      </c>
      <c r="B1181" t="n">
        <v>51182363</v>
      </c>
      <c r="C1181" t="inlineStr">
        <is>
          <t>G</t>
        </is>
      </c>
      <c r="D1181" t="inlineStr">
        <is>
          <t>A</t>
        </is>
      </c>
      <c r="E1181" t="inlineStr">
        <is>
          <t>rs61985092</t>
        </is>
      </c>
      <c r="F1181" t="n">
        <v>-0.0745596818</v>
      </c>
      <c r="G1181" t="n">
        <v>0.0648290844014987</v>
      </c>
      <c r="H1181" t="n">
        <v>0.0218704913365122</v>
      </c>
      <c r="I1181" t="n">
        <v>0.0535306870976987</v>
      </c>
      <c r="J1181" t="n">
        <v>0.3062124353416682</v>
      </c>
      <c r="K1181" t="n">
        <v>0.1316803071908861</v>
      </c>
      <c r="L1181" t="b">
        <v>0</v>
      </c>
      <c r="M1181" t="b">
        <v>0</v>
      </c>
      <c r="N1181" t="inlineStr">
        <is>
          <t>ref</t>
        </is>
      </c>
      <c r="O1181" t="n">
        <v>-45</v>
      </c>
      <c r="P1181" t="n">
        <v>0.01196</v>
      </c>
      <c r="Q1181" t="n">
        <v>-55</v>
      </c>
      <c r="R1181" t="n">
        <v>0.1411</v>
      </c>
      <c r="S1181">
        <f>IMAGE("https://mitra.stanford.edu/kundaje/oak/projects/neuro-variants/variant_position/credible/roussos_2024/variant_figures/roussos_2024.childhood.GABA/rs61985092_count_position.png",4,220,900)</f>
        <v/>
      </c>
      <c r="T1181">
        <f>IMAGE("https://mitra.stanford.edu/kundaje/oak/projects/neuro-variants/variant_position/credible/roussos_2024/variant_figures/roussos_2024.childhood.GABA/rs61985092_profile_position.png",4,220,900)</f>
        <v/>
      </c>
    </row>
    <row r="1182">
      <c r="A1182" t="inlineStr">
        <is>
          <t>chr14</t>
        </is>
      </c>
      <c r="B1182" t="n">
        <v>51241212</v>
      </c>
      <c r="C1182" t="inlineStr">
        <is>
          <t>T</t>
        </is>
      </c>
      <c r="D1182" t="inlineStr">
        <is>
          <t>C</t>
        </is>
      </c>
      <c r="E1182" t="inlineStr">
        <is>
          <t>rs75682793</t>
        </is>
      </c>
      <c r="F1182" t="n">
        <v>0.0674294716</v>
      </c>
      <c r="G1182" t="n">
        <v>0.0781576434439088</v>
      </c>
      <c r="H1182" t="n">
        <v>0.0116031030983787</v>
      </c>
      <c r="I1182" t="n">
        <v>0.4707813277233116</v>
      </c>
      <c r="J1182" t="n">
        <v>0.1481361646876505</v>
      </c>
      <c r="K1182" t="n">
        <v>0.2839077407849754</v>
      </c>
      <c r="L1182" t="b">
        <v>0</v>
      </c>
      <c r="M1182" t="b">
        <v>0</v>
      </c>
      <c r="N1182" t="inlineStr">
        <is>
          <t>alt</t>
        </is>
      </c>
      <c r="O1182" t="n">
        <v>95</v>
      </c>
      <c r="P1182" t="n">
        <v>0.00976</v>
      </c>
      <c r="Q1182" t="n">
        <v>-80</v>
      </c>
      <c r="R1182" t="n">
        <v>0.0464</v>
      </c>
      <c r="S1182">
        <f>IMAGE("https://mitra.stanford.edu/kundaje/oak/projects/neuro-variants/variant_position/credible/roussos_2024/variant_figures/roussos_2024.childhood.GABA/rs75682793_count_position.png",4,220,900)</f>
        <v/>
      </c>
      <c r="T1182">
        <f>IMAGE("https://mitra.stanford.edu/kundaje/oak/projects/neuro-variants/variant_position/credible/roussos_2024/variant_figures/roussos_2024.childhood.GABA/rs75682793_profile_position.png",4,220,900)</f>
        <v/>
      </c>
    </row>
    <row r="1183">
      <c r="A1183" t="inlineStr">
        <is>
          <t>chr14</t>
        </is>
      </c>
      <c r="B1183" t="n">
        <v>59450826</v>
      </c>
      <c r="C1183" t="inlineStr">
        <is>
          <t>T</t>
        </is>
      </c>
      <c r="D1183" t="inlineStr">
        <is>
          <t>G</t>
        </is>
      </c>
      <c r="E1183" t="inlineStr">
        <is>
          <t>rs112261101</t>
        </is>
      </c>
      <c r="F1183" t="n">
        <v>0.0371723714</v>
      </c>
      <c r="G1183" t="n">
        <v>0.220635516848111</v>
      </c>
      <c r="H1183" t="n">
        <v>0.0091999281928665</v>
      </c>
      <c r="I1183" t="n">
        <v>0.7313762687298235</v>
      </c>
      <c r="J1183" t="n">
        <v>0.0279638122761826</v>
      </c>
      <c r="K1183" t="n">
        <v>0.5913223096767829</v>
      </c>
      <c r="L1183" t="b">
        <v>0</v>
      </c>
      <c r="M1183" t="b">
        <v>0</v>
      </c>
      <c r="N1183" t="inlineStr">
        <is>
          <t>alt</t>
        </is>
      </c>
      <c r="O1183" t="n">
        <v>-100</v>
      </c>
      <c r="P1183" t="n">
        <v>0.03009</v>
      </c>
      <c r="Q1183" t="n">
        <v>0</v>
      </c>
      <c r="R1183" t="n">
        <v>0</v>
      </c>
      <c r="S1183">
        <f>IMAGE("https://mitra.stanford.edu/kundaje/oak/projects/neuro-variants/variant_position/credible/roussos_2024/variant_figures/roussos_2024.childhood.GABA/rs112261101_count_position.png",4,220,900)</f>
        <v/>
      </c>
      <c r="T1183">
        <f>IMAGE("https://mitra.stanford.edu/kundaje/oak/projects/neuro-variants/variant_position/credible/roussos_2024/variant_figures/roussos_2024.childhood.GABA/rs112261101_profile_position.png",4,220,900)</f>
        <v/>
      </c>
    </row>
    <row r="1184">
      <c r="A1184" t="inlineStr">
        <is>
          <t>chr14</t>
        </is>
      </c>
      <c r="B1184" t="n">
        <v>59452013</v>
      </c>
      <c r="C1184" t="inlineStr">
        <is>
          <t>C</t>
        </is>
      </c>
      <c r="D1184" t="inlineStr">
        <is>
          <t>T</t>
        </is>
      </c>
      <c r="E1184" t="inlineStr">
        <is>
          <t>rs113869004</t>
        </is>
      </c>
      <c r="F1184" t="n">
        <v>-0.1031453176</v>
      </c>
      <c r="G1184" t="n">
        <v>0.0285249403109082</v>
      </c>
      <c r="H1184" t="n">
        <v>0.0171199139031495</v>
      </c>
      <c r="I1184" t="n">
        <v>0.1436364074293091</v>
      </c>
      <c r="J1184" t="n">
        <v>0.0435582500890033</v>
      </c>
      <c r="K1184" t="n">
        <v>0.5122537591341808</v>
      </c>
      <c r="L1184" t="b">
        <v>0</v>
      </c>
      <c r="M1184" t="b">
        <v>0</v>
      </c>
      <c r="N1184" t="inlineStr">
        <is>
          <t>ref</t>
        </is>
      </c>
      <c r="O1184" t="n">
        <v>-40</v>
      </c>
      <c r="P1184" t="n">
        <v>0.009350000000000001</v>
      </c>
      <c r="Q1184" t="n">
        <v>100</v>
      </c>
      <c r="R1184" t="n">
        <v>0.124</v>
      </c>
      <c r="S1184">
        <f>IMAGE("https://mitra.stanford.edu/kundaje/oak/projects/neuro-variants/variant_position/credible/roussos_2024/variant_figures/roussos_2024.childhood.GABA/rs113869004_count_position.png",4,220,900)</f>
        <v/>
      </c>
      <c r="T1184">
        <f>IMAGE("https://mitra.stanford.edu/kundaje/oak/projects/neuro-variants/variant_position/credible/roussos_2024/variant_figures/roussos_2024.childhood.GABA/rs113869004_profile_position.png",4,220,900)</f>
        <v/>
      </c>
    </row>
    <row r="1185">
      <c r="A1185" t="inlineStr">
        <is>
          <t>chr14</t>
        </is>
      </c>
      <c r="B1185" t="n">
        <v>59453473</v>
      </c>
      <c r="C1185" t="inlineStr">
        <is>
          <t>T</t>
        </is>
      </c>
      <c r="D1185" t="inlineStr">
        <is>
          <t>C</t>
        </is>
      </c>
      <c r="E1185" t="inlineStr">
        <is>
          <t>rs111476301</t>
        </is>
      </c>
      <c r="F1185" t="n">
        <v>-0.007149693486</v>
      </c>
      <c r="G1185" t="n">
        <v>0.5453212020101648</v>
      </c>
      <c r="H1185" t="n">
        <v>0.0077168863011267</v>
      </c>
      <c r="I1185" t="n">
        <v>0.8684212408534383</v>
      </c>
      <c r="J1185" t="n">
        <v>0.0250392661933781</v>
      </c>
      <c r="K1185" t="n">
        <v>0.6188779607383481</v>
      </c>
      <c r="L1185" t="b">
        <v>0</v>
      </c>
      <c r="M1185" t="b">
        <v>0</v>
      </c>
      <c r="N1185" t="inlineStr">
        <is>
          <t>ref</t>
        </is>
      </c>
      <c r="O1185" t="n">
        <v>-5</v>
      </c>
      <c r="P1185" t="n">
        <v>0.0003166</v>
      </c>
      <c r="Q1185" t="n">
        <v>-70</v>
      </c>
      <c r="R1185" t="n">
        <v>0.04663</v>
      </c>
      <c r="S1185">
        <f>IMAGE("https://mitra.stanford.edu/kundaje/oak/projects/neuro-variants/variant_position/credible/roussos_2024/variant_figures/roussos_2024.childhood.GABA/rs111476301_count_position.png",4,220,900)</f>
        <v/>
      </c>
      <c r="T1185">
        <f>IMAGE("https://mitra.stanford.edu/kundaje/oak/projects/neuro-variants/variant_position/credible/roussos_2024/variant_figures/roussos_2024.childhood.GABA/rs111476301_profile_position.png",4,220,900)</f>
        <v/>
      </c>
    </row>
    <row r="1186">
      <c r="A1186" t="inlineStr">
        <is>
          <t>chr14</t>
        </is>
      </c>
      <c r="B1186" t="n">
        <v>59473086</v>
      </c>
      <c r="C1186" t="inlineStr">
        <is>
          <t>G</t>
        </is>
      </c>
      <c r="D1186" t="inlineStr">
        <is>
          <t>A</t>
        </is>
      </c>
      <c r="E1186" t="inlineStr">
        <is>
          <t>rs1046701</t>
        </is>
      </c>
      <c r="F1186" t="n">
        <v>-0.0755953986</v>
      </c>
      <c r="G1186" t="n">
        <v>0.0586802760372643</v>
      </c>
      <c r="H1186" t="n">
        <v>0.0160038272871123</v>
      </c>
      <c r="I1186" t="n">
        <v>0.1803043524271535</v>
      </c>
      <c r="J1186" t="n">
        <v>0.0100992649368599</v>
      </c>
      <c r="K1186" t="n">
        <v>0.7414899604922172</v>
      </c>
      <c r="L1186" t="b">
        <v>0</v>
      </c>
      <c r="M1186" t="b">
        <v>0</v>
      </c>
      <c r="N1186" t="inlineStr">
        <is>
          <t>ref</t>
        </is>
      </c>
      <c r="O1186" t="n">
        <v>55</v>
      </c>
      <c r="P1186" t="n">
        <v>0.004066</v>
      </c>
      <c r="Q1186" t="n">
        <v>45</v>
      </c>
      <c r="R1186" t="n">
        <v>0.0267</v>
      </c>
      <c r="S1186">
        <f>IMAGE("https://mitra.stanford.edu/kundaje/oak/projects/neuro-variants/variant_position/credible/roussos_2024/variant_figures/roussos_2024.childhood.GABA/rs1046701_count_position.png",4,220,900)</f>
        <v/>
      </c>
      <c r="T1186">
        <f>IMAGE("https://mitra.stanford.edu/kundaje/oak/projects/neuro-variants/variant_position/credible/roussos_2024/variant_figures/roussos_2024.childhood.GABA/rs1046701_profile_position.png",4,220,900)</f>
        <v/>
      </c>
    </row>
    <row r="1187">
      <c r="A1187" t="inlineStr">
        <is>
          <t>chr14</t>
        </is>
      </c>
      <c r="B1187" t="n">
        <v>59480112</v>
      </c>
      <c r="C1187" t="inlineStr">
        <is>
          <t>T</t>
        </is>
      </c>
      <c r="D1187" t="inlineStr">
        <is>
          <t>C</t>
        </is>
      </c>
      <c r="E1187" t="inlineStr">
        <is>
          <t>rs1253099</t>
        </is>
      </c>
      <c r="F1187" t="n">
        <v>-0.0034816822599999</v>
      </c>
      <c r="G1187" t="n">
        <v>0.6209430105148768</v>
      </c>
      <c r="H1187" t="n">
        <v>0.0101311586909328</v>
      </c>
      <c r="I1187" t="n">
        <v>0.6242133207170008</v>
      </c>
      <c r="J1187" t="n">
        <v>0.0593537308119201</v>
      </c>
      <c r="K1187" t="n">
        <v>0.4536393061715412</v>
      </c>
      <c r="L1187" t="b">
        <v>0</v>
      </c>
      <c r="M1187" t="b">
        <v>0</v>
      </c>
      <c r="N1187" t="inlineStr">
        <is>
          <t>ref</t>
        </is>
      </c>
      <c r="O1187" t="n">
        <v>40</v>
      </c>
      <c r="P1187" t="n">
        <v>0.00478</v>
      </c>
      <c r="Q1187" t="n">
        <v>55</v>
      </c>
      <c r="R1187" t="n">
        <v>0.078</v>
      </c>
      <c r="S1187">
        <f>IMAGE("https://mitra.stanford.edu/kundaje/oak/projects/neuro-variants/variant_position/credible/roussos_2024/variant_figures/roussos_2024.childhood.GABA/rs1253099_count_position.png",4,220,900)</f>
        <v/>
      </c>
      <c r="T1187">
        <f>IMAGE("https://mitra.stanford.edu/kundaje/oak/projects/neuro-variants/variant_position/credible/roussos_2024/variant_figures/roussos_2024.childhood.GABA/rs1253099_profile_position.png",4,220,900)</f>
        <v/>
      </c>
    </row>
    <row r="1188">
      <c r="A1188" t="inlineStr">
        <is>
          <t>chr14</t>
        </is>
      </c>
      <c r="B1188" t="n">
        <v>59481143</v>
      </c>
      <c r="C1188" t="inlineStr">
        <is>
          <t>C</t>
        </is>
      </c>
      <c r="D1188" t="inlineStr">
        <is>
          <t>T</t>
        </is>
      </c>
      <c r="E1188" t="inlineStr">
        <is>
          <t>rs1253102</t>
        </is>
      </c>
      <c r="F1188" t="n">
        <v>0.00213873592</v>
      </c>
      <c r="G1188" t="n">
        <v>0.8905787763543718</v>
      </c>
      <c r="H1188" t="n">
        <v>0.0114631939325665</v>
      </c>
      <c r="I1188" t="n">
        <v>0.4861643559841161</v>
      </c>
      <c r="J1188" t="n">
        <v>0.0032575234026512</v>
      </c>
      <c r="K1188" t="n">
        <v>0.8481236380544065</v>
      </c>
      <c r="L1188" t="b">
        <v>0</v>
      </c>
      <c r="M1188" t="b">
        <v>0</v>
      </c>
      <c r="N1188" t="inlineStr">
        <is>
          <t>alt</t>
        </is>
      </c>
      <c r="O1188" t="n">
        <v>100</v>
      </c>
      <c r="P1188" t="n">
        <v>0.00328</v>
      </c>
      <c r="Q1188" t="n">
        <v>-95</v>
      </c>
      <c r="R1188" t="n">
        <v>0.11646</v>
      </c>
      <c r="S1188">
        <f>IMAGE("https://mitra.stanford.edu/kundaje/oak/projects/neuro-variants/variant_position/credible/roussos_2024/variant_figures/roussos_2024.childhood.GABA/rs1253102_count_position.png",4,220,900)</f>
        <v/>
      </c>
      <c r="T1188">
        <f>IMAGE("https://mitra.stanford.edu/kundaje/oak/projects/neuro-variants/variant_position/credible/roussos_2024/variant_figures/roussos_2024.childhood.GABA/rs1253102_profile_position.png",4,220,900)</f>
        <v/>
      </c>
    </row>
    <row r="1189">
      <c r="A1189" t="inlineStr">
        <is>
          <t>chr14</t>
        </is>
      </c>
      <c r="B1189" t="n">
        <v>59530395</v>
      </c>
      <c r="C1189" t="inlineStr">
        <is>
          <t>A</t>
        </is>
      </c>
      <c r="D1189" t="inlineStr">
        <is>
          <t>G</t>
        </is>
      </c>
      <c r="E1189" t="inlineStr">
        <is>
          <t>rs111758996</t>
        </is>
      </c>
      <c r="F1189" t="n">
        <v>0.01226992512</v>
      </c>
      <c r="G1189" t="n">
        <v>0.5407834031498425</v>
      </c>
      <c r="H1189" t="n">
        <v>0.0106239468996753</v>
      </c>
      <c r="I1189" t="n">
        <v>0.5678796251856406</v>
      </c>
      <c r="J1189" t="n">
        <v>0.0013455215597578</v>
      </c>
      <c r="K1189" t="n">
        <v>0.9144207005508992</v>
      </c>
      <c r="L1189" t="b">
        <v>0</v>
      </c>
      <c r="M1189" t="b">
        <v>0</v>
      </c>
      <c r="N1189" t="inlineStr">
        <is>
          <t>alt</t>
        </is>
      </c>
      <c r="O1189" t="n">
        <v>-80</v>
      </c>
      <c r="P1189" t="n">
        <v>0.01633</v>
      </c>
      <c r="Q1189" t="n">
        <v>-40</v>
      </c>
      <c r="R1189" t="n">
        <v>0.01578</v>
      </c>
      <c r="S1189">
        <f>IMAGE("https://mitra.stanford.edu/kundaje/oak/projects/neuro-variants/variant_position/credible/roussos_2024/variant_figures/roussos_2024.childhood.GABA/rs111758996_count_position.png",4,220,900)</f>
        <v/>
      </c>
      <c r="T1189">
        <f>IMAGE("https://mitra.stanford.edu/kundaje/oak/projects/neuro-variants/variant_position/credible/roussos_2024/variant_figures/roussos_2024.childhood.GABA/rs111758996_profile_position.png",4,220,900)</f>
        <v/>
      </c>
    </row>
    <row r="1190">
      <c r="A1190" t="inlineStr">
        <is>
          <t>chr14</t>
        </is>
      </c>
      <c r="B1190" t="n">
        <v>70892347</v>
      </c>
      <c r="C1190" t="inlineStr">
        <is>
          <t>G</t>
        </is>
      </c>
      <c r="D1190" t="inlineStr">
        <is>
          <t>T</t>
        </is>
      </c>
      <c r="E1190" t="inlineStr">
        <is>
          <t>rs2526886</t>
        </is>
      </c>
      <c r="F1190" t="n">
        <v>-0.001484779452</v>
      </c>
      <c r="G1190" t="n">
        <v>0.8205947579164403</v>
      </c>
      <c r="H1190" t="n">
        <v>0.0294205581387599</v>
      </c>
      <c r="I1190" t="n">
        <v>0.0139298442024671</v>
      </c>
      <c r="J1190" t="n">
        <v>0.07145609516031071</v>
      </c>
      <c r="K1190" t="n">
        <v>0.4173741381100235</v>
      </c>
      <c r="L1190" t="b">
        <v>1</v>
      </c>
      <c r="M1190" t="b">
        <v>0</v>
      </c>
      <c r="N1190" t="inlineStr">
        <is>
          <t>ref</t>
        </is>
      </c>
      <c r="O1190" t="n">
        <v>-100</v>
      </c>
      <c r="P1190" t="n">
        <v>0.03012</v>
      </c>
      <c r="Q1190" t="n">
        <v>75</v>
      </c>
      <c r="R1190" t="n">
        <v>0.05362</v>
      </c>
      <c r="S1190">
        <f>IMAGE("https://mitra.stanford.edu/kundaje/oak/projects/neuro-variants/variant_position/credible/roussos_2024/variant_figures/roussos_2024.childhood.GABA/rs2526886_count_position.png",4,220,900)</f>
        <v/>
      </c>
      <c r="T1190">
        <f>IMAGE("https://mitra.stanford.edu/kundaje/oak/projects/neuro-variants/variant_position/credible/roussos_2024/variant_figures/roussos_2024.childhood.GABA/rs2526886_profile_position.png",4,220,900)</f>
        <v/>
      </c>
    </row>
    <row r="1191">
      <c r="A1191" t="inlineStr">
        <is>
          <t>chr14</t>
        </is>
      </c>
      <c r="B1191" t="n">
        <v>70917131</v>
      </c>
      <c r="C1191" t="inlineStr">
        <is>
          <t>T</t>
        </is>
      </c>
      <c r="D1191" t="inlineStr">
        <is>
          <t>C</t>
        </is>
      </c>
      <c r="E1191" t="inlineStr">
        <is>
          <t>rs2810073</t>
        </is>
      </c>
      <c r="F1191" t="n">
        <v>0.01110810878</v>
      </c>
      <c r="G1191" t="n">
        <v>0.61863289121805</v>
      </c>
      <c r="H1191" t="n">
        <v>0.0158521085317128</v>
      </c>
      <c r="I1191" t="n">
        <v>0.1878497682501376</v>
      </c>
      <c r="J1191" t="n">
        <v>0.08656049087977211</v>
      </c>
      <c r="K1191" t="n">
        <v>0.3868181943048638</v>
      </c>
      <c r="L1191" t="b">
        <v>0</v>
      </c>
      <c r="M1191" t="b">
        <v>0</v>
      </c>
      <c r="N1191" t="inlineStr">
        <is>
          <t>alt</t>
        </is>
      </c>
      <c r="O1191" t="n">
        <v>-100</v>
      </c>
      <c r="P1191" t="n">
        <v>0.010544</v>
      </c>
      <c r="Q1191" t="n">
        <v>-100</v>
      </c>
      <c r="R1191" t="n">
        <v>0.26</v>
      </c>
      <c r="S1191">
        <f>IMAGE("https://mitra.stanford.edu/kundaje/oak/projects/neuro-variants/variant_position/credible/roussos_2024/variant_figures/roussos_2024.childhood.GABA/rs2810073_count_position.png",4,220,900)</f>
        <v/>
      </c>
      <c r="T1191">
        <f>IMAGE("https://mitra.stanford.edu/kundaje/oak/projects/neuro-variants/variant_position/credible/roussos_2024/variant_figures/roussos_2024.childhood.GABA/rs2810073_profile_position.png",4,220,900)</f>
        <v/>
      </c>
    </row>
    <row r="1192">
      <c r="A1192" t="inlineStr">
        <is>
          <t>chr14</t>
        </is>
      </c>
      <c r="B1192" t="n">
        <v>70921681</v>
      </c>
      <c r="C1192" t="inlineStr">
        <is>
          <t>T</t>
        </is>
      </c>
      <c r="D1192" t="inlineStr">
        <is>
          <t>A</t>
        </is>
      </c>
      <c r="E1192" t="inlineStr">
        <is>
          <t>rs2189806</t>
        </is>
      </c>
      <c r="F1192" t="n">
        <v>0.009908538559999999</v>
      </c>
      <c r="G1192" t="n">
        <v>0.640684052034187</v>
      </c>
      <c r="H1192" t="n">
        <v>0.0212783176791884</v>
      </c>
      <c r="I1192" t="n">
        <v>0.0587934396508867</v>
      </c>
      <c r="J1192" t="n">
        <v>0.0019413206006156</v>
      </c>
      <c r="K1192" t="n">
        <v>0.8903010763267062</v>
      </c>
      <c r="L1192" t="b">
        <v>0</v>
      </c>
      <c r="M1192" t="b">
        <v>0</v>
      </c>
      <c r="N1192" t="inlineStr">
        <is>
          <t>alt</t>
        </is>
      </c>
      <c r="O1192" t="n">
        <v>-100</v>
      </c>
      <c r="P1192" t="n">
        <v>0.004997</v>
      </c>
      <c r="Q1192" t="n">
        <v>95</v>
      </c>
      <c r="R1192" t="n">
        <v>0.0712</v>
      </c>
      <c r="S1192">
        <f>IMAGE("https://mitra.stanford.edu/kundaje/oak/projects/neuro-variants/variant_position/credible/roussos_2024/variant_figures/roussos_2024.childhood.GABA/rs2189806_count_position.png",4,220,900)</f>
        <v/>
      </c>
      <c r="T1192">
        <f>IMAGE("https://mitra.stanford.edu/kundaje/oak/projects/neuro-variants/variant_position/credible/roussos_2024/variant_figures/roussos_2024.childhood.GABA/rs2189806_profile_position.png",4,220,900)</f>
        <v/>
      </c>
    </row>
    <row r="1193">
      <c r="A1193" t="inlineStr">
        <is>
          <t>chr14</t>
        </is>
      </c>
      <c r="B1193" t="n">
        <v>70936594</v>
      </c>
      <c r="C1193" t="inlineStr">
        <is>
          <t>T</t>
        </is>
      </c>
      <c r="D1193" t="inlineStr">
        <is>
          <t>C</t>
        </is>
      </c>
      <c r="E1193" t="inlineStr">
        <is>
          <t>rs2332477</t>
        </is>
      </c>
      <c r="F1193" t="n">
        <v>0.1106767236</v>
      </c>
      <c r="G1193" t="n">
        <v>0.0246797382578325</v>
      </c>
      <c r="H1193" t="n">
        <v>0.0168811477794588</v>
      </c>
      <c r="I1193" t="n">
        <v>0.1456281696248989</v>
      </c>
      <c r="J1193" t="n">
        <v>0.0035454754874242</v>
      </c>
      <c r="K1193" t="n">
        <v>0.8443484708650641</v>
      </c>
      <c r="L1193" t="b">
        <v>0</v>
      </c>
      <c r="M1193" t="b">
        <v>0</v>
      </c>
      <c r="N1193" t="inlineStr">
        <is>
          <t>alt</t>
        </is>
      </c>
      <c r="O1193" t="n">
        <v>5</v>
      </c>
      <c r="P1193" t="n">
        <v>0.0007706</v>
      </c>
      <c r="Q1193" t="n">
        <v>-80</v>
      </c>
      <c r="R1193" t="n">
        <v>0.0772</v>
      </c>
      <c r="S1193">
        <f>IMAGE("https://mitra.stanford.edu/kundaje/oak/projects/neuro-variants/variant_position/credible/roussos_2024/variant_figures/roussos_2024.childhood.GABA/rs2332477_count_position.png",4,220,900)</f>
        <v/>
      </c>
      <c r="T1193">
        <f>IMAGE("https://mitra.stanford.edu/kundaje/oak/projects/neuro-variants/variant_position/credible/roussos_2024/variant_figures/roussos_2024.childhood.GABA/rs2332477_profile_position.png",4,220,900)</f>
        <v/>
      </c>
    </row>
    <row r="1194">
      <c r="A1194" t="inlineStr">
        <is>
          <t>chr14</t>
        </is>
      </c>
      <c r="B1194" t="n">
        <v>70940939</v>
      </c>
      <c r="C1194" t="inlineStr">
        <is>
          <t>A</t>
        </is>
      </c>
      <c r="D1194" t="inlineStr">
        <is>
          <t>G</t>
        </is>
      </c>
      <c r="E1194" t="inlineStr">
        <is>
          <t>rs2097866</t>
        </is>
      </c>
      <c r="F1194" t="n">
        <v>0.09208313559999989</v>
      </c>
      <c r="G1194" t="n">
        <v>0.0357191311835475</v>
      </c>
      <c r="H1194" t="n">
        <v>0.0122009807797457</v>
      </c>
      <c r="I1194" t="n">
        <v>0.402960168093097</v>
      </c>
      <c r="J1194" t="n">
        <v>0.0108521287512303</v>
      </c>
      <c r="K1194" t="n">
        <v>0.7491989667076245</v>
      </c>
      <c r="L1194" t="b">
        <v>0</v>
      </c>
      <c r="M1194" t="b">
        <v>0</v>
      </c>
      <c r="N1194" t="inlineStr">
        <is>
          <t>alt</t>
        </is>
      </c>
      <c r="O1194" t="n">
        <v>-55</v>
      </c>
      <c r="P1194" t="n">
        <v>0.003017</v>
      </c>
      <c r="Q1194" t="n">
        <v>100</v>
      </c>
      <c r="R1194" t="n">
        <v>0.1174</v>
      </c>
      <c r="S1194">
        <f>IMAGE("https://mitra.stanford.edu/kundaje/oak/projects/neuro-variants/variant_position/credible/roussos_2024/variant_figures/roussos_2024.childhood.GABA/rs2097866_count_position.png",4,220,900)</f>
        <v/>
      </c>
      <c r="T1194">
        <f>IMAGE("https://mitra.stanford.edu/kundaje/oak/projects/neuro-variants/variant_position/credible/roussos_2024/variant_figures/roussos_2024.childhood.GABA/rs2097866_profile_position.png",4,220,900)</f>
        <v/>
      </c>
    </row>
    <row r="1195">
      <c r="A1195" t="inlineStr">
        <is>
          <t>chr14</t>
        </is>
      </c>
      <c r="B1195" t="n">
        <v>70945161</v>
      </c>
      <c r="C1195" t="inlineStr">
        <is>
          <t>T</t>
        </is>
      </c>
      <c r="D1195" t="inlineStr">
        <is>
          <t>C</t>
        </is>
      </c>
      <c r="E1195" t="inlineStr">
        <is>
          <t>rs2526860</t>
        </is>
      </c>
      <c r="F1195" t="n">
        <v>0.00265058308</v>
      </c>
      <c r="G1195" t="n">
        <v>0.6064842092461351</v>
      </c>
      <c r="H1195" t="n">
        <v>0.008477834684083901</v>
      </c>
      <c r="I1195" t="n">
        <v>0.7981161354610276</v>
      </c>
      <c r="J1195" t="n">
        <v>0.02257020795376</v>
      </c>
      <c r="K1195" t="n">
        <v>0.6604246887556298</v>
      </c>
      <c r="L1195" t="b">
        <v>0</v>
      </c>
      <c r="M1195" t="b">
        <v>0</v>
      </c>
      <c r="N1195" t="inlineStr">
        <is>
          <t>alt</t>
        </is>
      </c>
      <c r="O1195" t="n">
        <v>95</v>
      </c>
      <c r="P1195" t="n">
        <v>0.00647</v>
      </c>
      <c r="Q1195" t="n">
        <v>-45</v>
      </c>
      <c r="R1195" t="n">
        <v>0.05457</v>
      </c>
      <c r="S1195">
        <f>IMAGE("https://mitra.stanford.edu/kundaje/oak/projects/neuro-variants/variant_position/credible/roussos_2024/variant_figures/roussos_2024.childhood.GABA/rs2526860_count_position.png",4,220,900)</f>
        <v/>
      </c>
      <c r="T1195">
        <f>IMAGE("https://mitra.stanford.edu/kundaje/oak/projects/neuro-variants/variant_position/credible/roussos_2024/variant_figures/roussos_2024.childhood.GABA/rs2526860_profile_position.png",4,220,900)</f>
        <v/>
      </c>
    </row>
    <row r="1196">
      <c r="A1196" t="inlineStr">
        <is>
          <t>chr14</t>
        </is>
      </c>
      <c r="B1196" t="n">
        <v>70991112</v>
      </c>
      <c r="C1196" t="inlineStr">
        <is>
          <t>T</t>
        </is>
      </c>
      <c r="D1196" t="inlineStr">
        <is>
          <t>C</t>
        </is>
      </c>
      <c r="E1196" t="inlineStr">
        <is>
          <t>rs7157250</t>
        </is>
      </c>
      <c r="F1196" t="n">
        <v>0.0826256464</v>
      </c>
      <c r="G1196" t="n">
        <v>0.0484277380114975</v>
      </c>
      <c r="H1196" t="n">
        <v>0.0119843727324757</v>
      </c>
      <c r="I1196" t="n">
        <v>0.4296870791103476</v>
      </c>
      <c r="J1196" t="n">
        <v>0.0179462210215492</v>
      </c>
      <c r="K1196" t="n">
        <v>0.6645029158434664</v>
      </c>
      <c r="L1196" t="b">
        <v>0</v>
      </c>
      <c r="M1196" t="b">
        <v>0</v>
      </c>
      <c r="N1196" t="inlineStr">
        <is>
          <t>alt</t>
        </is>
      </c>
      <c r="O1196" t="n">
        <v>-20</v>
      </c>
      <c r="P1196" t="n">
        <v>0.00891</v>
      </c>
      <c r="Q1196" t="n">
        <v>45</v>
      </c>
      <c r="R1196" t="n">
        <v>0.07434</v>
      </c>
      <c r="S1196">
        <f>IMAGE("https://mitra.stanford.edu/kundaje/oak/projects/neuro-variants/variant_position/credible/roussos_2024/variant_figures/roussos_2024.childhood.GABA/rs7157250_count_position.png",4,220,900)</f>
        <v/>
      </c>
      <c r="T1196">
        <f>IMAGE("https://mitra.stanford.edu/kundaje/oak/projects/neuro-variants/variant_position/credible/roussos_2024/variant_figures/roussos_2024.childhood.GABA/rs7157250_profile_position.png",4,220,900)</f>
        <v/>
      </c>
    </row>
    <row r="1197">
      <c r="A1197" t="inlineStr">
        <is>
          <t>chr14</t>
        </is>
      </c>
      <c r="B1197" t="n">
        <v>71005509</v>
      </c>
      <c r="C1197" t="inlineStr">
        <is>
          <t>A</t>
        </is>
      </c>
      <c r="D1197" t="inlineStr">
        <is>
          <t>G</t>
        </is>
      </c>
      <c r="E1197" t="inlineStr">
        <is>
          <t>rs67981189</t>
        </is>
      </c>
      <c r="F1197" t="n">
        <v>-0.017370990856</v>
      </c>
      <c r="G1197" t="n">
        <v>0.4814174864702394</v>
      </c>
      <c r="H1197" t="n">
        <v>0.0182065188200732</v>
      </c>
      <c r="I1197" t="n">
        <v>0.1115416661296852</v>
      </c>
      <c r="J1197" t="n">
        <v>0.0220037276706246</v>
      </c>
      <c r="K1197" t="n">
        <v>0.6368376183719483</v>
      </c>
      <c r="L1197" t="b">
        <v>0</v>
      </c>
      <c r="M1197" t="b">
        <v>0</v>
      </c>
      <c r="N1197" t="inlineStr">
        <is>
          <t>ref</t>
        </is>
      </c>
      <c r="O1197" t="n">
        <v>75</v>
      </c>
      <c r="P1197" t="n">
        <v>0.00405</v>
      </c>
      <c r="Q1197" t="n">
        <v>80</v>
      </c>
      <c r="R1197" t="n">
        <v>0.10767</v>
      </c>
      <c r="S1197">
        <f>IMAGE("https://mitra.stanford.edu/kundaje/oak/projects/neuro-variants/variant_position/credible/roussos_2024/variant_figures/roussos_2024.childhood.GABA/rs67981189_count_position.png",4,220,900)</f>
        <v/>
      </c>
      <c r="T1197">
        <f>IMAGE("https://mitra.stanford.edu/kundaje/oak/projects/neuro-variants/variant_position/credible/roussos_2024/variant_figures/roussos_2024.childhood.GABA/rs67981189_profile_position.png",4,220,900)</f>
        <v/>
      </c>
    </row>
    <row r="1198">
      <c r="A1198" t="inlineStr">
        <is>
          <t>chr14</t>
        </is>
      </c>
      <c r="B1198" t="n">
        <v>71010328</v>
      </c>
      <c r="C1198" t="inlineStr">
        <is>
          <t>A</t>
        </is>
      </c>
      <c r="D1198" t="inlineStr">
        <is>
          <t>G</t>
        </is>
      </c>
      <c r="E1198" t="inlineStr">
        <is>
          <t>rs7146932</t>
        </is>
      </c>
      <c r="F1198" t="n">
        <v>0.0965740682</v>
      </c>
      <c r="G1198" t="n">
        <v>0.03236547416868</v>
      </c>
      <c r="H1198" t="n">
        <v>0.0138904925411682</v>
      </c>
      <c r="I1198" t="n">
        <v>0.2909900086520322</v>
      </c>
      <c r="J1198" t="n">
        <v>0.0022010010261564</v>
      </c>
      <c r="K1198" t="n">
        <v>0.8830125621927736</v>
      </c>
      <c r="L1198" t="b">
        <v>0</v>
      </c>
      <c r="M1198" t="b">
        <v>0</v>
      </c>
      <c r="N1198" t="inlineStr">
        <is>
          <t>alt</t>
        </is>
      </c>
      <c r="O1198" t="n">
        <v>-85</v>
      </c>
      <c r="P1198" t="n">
        <v>0.01129</v>
      </c>
      <c r="Q1198" t="n">
        <v>-100</v>
      </c>
      <c r="R1198" t="n">
        <v>0.0461</v>
      </c>
      <c r="S1198">
        <f>IMAGE("https://mitra.stanford.edu/kundaje/oak/projects/neuro-variants/variant_position/credible/roussos_2024/variant_figures/roussos_2024.childhood.GABA/rs7146932_count_position.png",4,220,900)</f>
        <v/>
      </c>
      <c r="T1198">
        <f>IMAGE("https://mitra.stanford.edu/kundaje/oak/projects/neuro-variants/variant_position/credible/roussos_2024/variant_figures/roussos_2024.childhood.GABA/rs7146932_profile_position.png",4,220,900)</f>
        <v/>
      </c>
    </row>
    <row r="1199">
      <c r="A1199" t="inlineStr">
        <is>
          <t>chr14</t>
        </is>
      </c>
      <c r="B1199" t="n">
        <v>71028571</v>
      </c>
      <c r="C1199" t="inlineStr">
        <is>
          <t>C</t>
        </is>
      </c>
      <c r="D1199" t="inlineStr">
        <is>
          <t>T</t>
        </is>
      </c>
      <c r="E1199" t="inlineStr">
        <is>
          <t>rs34488204</t>
        </is>
      </c>
      <c r="F1199" t="n">
        <v>-0.00746108006</v>
      </c>
      <c r="G1199" t="n">
        <v>0.7027132926528756</v>
      </c>
      <c r="H1199" t="n">
        <v>0.0129983301316349</v>
      </c>
      <c r="I1199" t="n">
        <v>0.3572491642700547</v>
      </c>
      <c r="J1199" t="n">
        <v>0.0001214634248497</v>
      </c>
      <c r="K1199" t="n">
        <v>0.9752623662751292</v>
      </c>
      <c r="L1199" t="b">
        <v>0</v>
      </c>
      <c r="M1199" t="b">
        <v>0</v>
      </c>
      <c r="N1199" t="inlineStr">
        <is>
          <t>ref</t>
        </is>
      </c>
      <c r="O1199" t="n">
        <v>0</v>
      </c>
      <c r="P1199" t="n">
        <v>0</v>
      </c>
      <c r="Q1199" t="n">
        <v>55</v>
      </c>
      <c r="R1199" t="n">
        <v>0.0636</v>
      </c>
      <c r="S1199">
        <f>IMAGE("https://mitra.stanford.edu/kundaje/oak/projects/neuro-variants/variant_position/credible/roussos_2024/variant_figures/roussos_2024.childhood.GABA/rs34488204_count_position.png",4,220,900)</f>
        <v/>
      </c>
      <c r="T1199">
        <f>IMAGE("https://mitra.stanford.edu/kundaje/oak/projects/neuro-variants/variant_position/credible/roussos_2024/variant_figures/roussos_2024.childhood.GABA/rs34488204_profile_position.png",4,220,900)</f>
        <v/>
      </c>
    </row>
    <row r="1200">
      <c r="A1200" t="inlineStr">
        <is>
          <t>chr14</t>
        </is>
      </c>
      <c r="B1200" t="n">
        <v>71028982</v>
      </c>
      <c r="C1200" t="inlineStr">
        <is>
          <t>C</t>
        </is>
      </c>
      <c r="D1200" t="inlineStr">
        <is>
          <t>T</t>
        </is>
      </c>
      <c r="E1200" t="inlineStr">
        <is>
          <t>rs3814869</t>
        </is>
      </c>
      <c r="F1200" t="n">
        <v>-0.00301552218</v>
      </c>
      <c r="G1200" t="n">
        <v>0.7484910360670251</v>
      </c>
      <c r="H1200" t="n">
        <v>0.0202186692845714</v>
      </c>
      <c r="I1200" t="n">
        <v>0.0711173223560627</v>
      </c>
      <c r="J1200" t="n">
        <v>0.0006607191472429</v>
      </c>
      <c r="K1200" t="n">
        <v>0.9344644806827792</v>
      </c>
      <c r="L1200" t="b">
        <v>0</v>
      </c>
      <c r="M1200" t="b">
        <v>0</v>
      </c>
      <c r="N1200" t="inlineStr">
        <is>
          <t>ref</t>
        </is>
      </c>
      <c r="O1200" t="n">
        <v>100</v>
      </c>
      <c r="P1200" t="n">
        <v>0.01027</v>
      </c>
      <c r="Q1200" t="n">
        <v>-30</v>
      </c>
      <c r="R1200" t="n">
        <v>0.009679999999999999</v>
      </c>
      <c r="S1200">
        <f>IMAGE("https://mitra.stanford.edu/kundaje/oak/projects/neuro-variants/variant_position/credible/roussos_2024/variant_figures/roussos_2024.childhood.GABA/rs3814869_count_position.png",4,220,900)</f>
        <v/>
      </c>
      <c r="T1200">
        <f>IMAGE("https://mitra.stanford.edu/kundaje/oak/projects/neuro-variants/variant_position/credible/roussos_2024/variant_figures/roussos_2024.childhood.GABA/rs3814869_profile_position.png",4,220,900)</f>
        <v/>
      </c>
    </row>
    <row r="1201">
      <c r="A1201" t="inlineStr">
        <is>
          <t>chr14</t>
        </is>
      </c>
      <c r="B1201" t="n">
        <v>71060982</v>
      </c>
      <c r="C1201" t="inlineStr">
        <is>
          <t>A</t>
        </is>
      </c>
      <c r="D1201" t="inlineStr">
        <is>
          <t>G</t>
        </is>
      </c>
      <c r="E1201" t="inlineStr">
        <is>
          <t>rs4048474</t>
        </is>
      </c>
      <c r="F1201" t="n">
        <v>-0.086125888</v>
      </c>
      <c r="G1201" t="n">
        <v>0.045551363568679</v>
      </c>
      <c r="H1201" t="n">
        <v>0.0206701335543588</v>
      </c>
      <c r="I1201" t="n">
        <v>0.06619599037652581</v>
      </c>
      <c r="J1201" t="n">
        <v>0.1512900253397834</v>
      </c>
      <c r="K1201" t="n">
        <v>0.2707607050484509</v>
      </c>
      <c r="L1201" t="b">
        <v>0</v>
      </c>
      <c r="M1201" t="b">
        <v>0</v>
      </c>
      <c r="N1201" t="inlineStr">
        <is>
          <t>ref</t>
        </is>
      </c>
      <c r="O1201" t="n">
        <v>5</v>
      </c>
      <c r="P1201" t="n">
        <v>6.104e-05</v>
      </c>
      <c r="Q1201" t="n">
        <v>10</v>
      </c>
      <c r="R1201" t="n">
        <v>0.01318</v>
      </c>
      <c r="S1201">
        <f>IMAGE("https://mitra.stanford.edu/kundaje/oak/projects/neuro-variants/variant_position/credible/roussos_2024/variant_figures/roussos_2024.childhood.GABA/rs4048474_count_position.png",4,220,900)</f>
        <v/>
      </c>
      <c r="T1201">
        <f>IMAGE("https://mitra.stanford.edu/kundaje/oak/projects/neuro-variants/variant_position/credible/roussos_2024/variant_figures/roussos_2024.childhood.GABA/rs4048474_profile_position.png",4,220,900)</f>
        <v/>
      </c>
    </row>
    <row r="1202">
      <c r="A1202" t="inlineStr">
        <is>
          <t>chr14</t>
        </is>
      </c>
      <c r="B1202" t="n">
        <v>71117756</v>
      </c>
      <c r="C1202" t="inlineStr">
        <is>
          <t>T</t>
        </is>
      </c>
      <c r="D1202" t="inlineStr">
        <is>
          <t>C</t>
        </is>
      </c>
      <c r="E1202" t="inlineStr">
        <is>
          <t>rs221923</t>
        </is>
      </c>
      <c r="F1202" t="n">
        <v>-0.00449214708</v>
      </c>
      <c r="G1202" t="n">
        <v>0.7529879978882025</v>
      </c>
      <c r="H1202" t="n">
        <v>0.020672502982169</v>
      </c>
      <c r="I1202" t="n">
        <v>0.06486215714243521</v>
      </c>
      <c r="J1202" t="n">
        <v>0.0314956754832359</v>
      </c>
      <c r="K1202" t="n">
        <v>0.5763543228344283</v>
      </c>
      <c r="L1202" t="b">
        <v>0</v>
      </c>
      <c r="M1202" t="b">
        <v>0</v>
      </c>
      <c r="N1202" t="inlineStr">
        <is>
          <t>ref</t>
        </is>
      </c>
      <c r="O1202" t="n">
        <v>-75</v>
      </c>
      <c r="P1202" t="n">
        <v>0.006813</v>
      </c>
      <c r="Q1202" t="n">
        <v>90</v>
      </c>
      <c r="R1202" t="n">
        <v>0.04382</v>
      </c>
      <c r="S1202">
        <f>IMAGE("https://mitra.stanford.edu/kundaje/oak/projects/neuro-variants/variant_position/credible/roussos_2024/variant_figures/roussos_2024.childhood.GABA/rs221923_count_position.png",4,220,900)</f>
        <v/>
      </c>
      <c r="T1202">
        <f>IMAGE("https://mitra.stanford.edu/kundaje/oak/projects/neuro-variants/variant_position/credible/roussos_2024/variant_figures/roussos_2024.childhood.GABA/rs221923_profile_position.png",4,220,900)</f>
        <v/>
      </c>
    </row>
    <row r="1203">
      <c r="A1203" t="inlineStr">
        <is>
          <t>chr14</t>
        </is>
      </c>
      <c r="B1203" t="n">
        <v>71253368</v>
      </c>
      <c r="C1203" t="inlineStr">
        <is>
          <t>G</t>
        </is>
      </c>
      <c r="D1203" t="inlineStr">
        <is>
          <t>C</t>
        </is>
      </c>
      <c r="E1203" t="inlineStr">
        <is>
          <t>rs75982415</t>
        </is>
      </c>
      <c r="F1203" t="n">
        <v>0.0699476084</v>
      </c>
      <c r="G1203" t="n">
        <v>0.0712078391528586</v>
      </c>
      <c r="H1203" t="n">
        <v>0.0142696685486469</v>
      </c>
      <c r="I1203" t="n">
        <v>0.2650819494155698</v>
      </c>
      <c r="J1203" t="n">
        <v>0.0051443948817825</v>
      </c>
      <c r="K1203" t="n">
        <v>0.8093662634406585</v>
      </c>
      <c r="L1203" t="b">
        <v>0</v>
      </c>
      <c r="M1203" t="b">
        <v>0</v>
      </c>
      <c r="N1203" t="inlineStr">
        <is>
          <t>alt</t>
        </is>
      </c>
      <c r="O1203" t="n">
        <v>-85</v>
      </c>
      <c r="P1203" t="n">
        <v>0.0132</v>
      </c>
      <c r="Q1203" t="n">
        <v>-100</v>
      </c>
      <c r="R1203" t="n">
        <v>0.0665</v>
      </c>
      <c r="S1203">
        <f>IMAGE("https://mitra.stanford.edu/kundaje/oak/projects/neuro-variants/variant_position/credible/roussos_2024/variant_figures/roussos_2024.childhood.GABA/rs75982415_count_position.png",4,220,900)</f>
        <v/>
      </c>
      <c r="T1203">
        <f>IMAGE("https://mitra.stanford.edu/kundaje/oak/projects/neuro-variants/variant_position/credible/roussos_2024/variant_figures/roussos_2024.childhood.GABA/rs75982415_profile_position.png",4,220,900)</f>
        <v/>
      </c>
    </row>
    <row r="1204">
      <c r="A1204" t="inlineStr">
        <is>
          <t>chr14</t>
        </is>
      </c>
      <c r="B1204" t="n">
        <v>71255117</v>
      </c>
      <c r="C1204" t="inlineStr">
        <is>
          <t>C</t>
        </is>
      </c>
      <c r="D1204" t="inlineStr">
        <is>
          <t>T</t>
        </is>
      </c>
      <c r="E1204" t="inlineStr">
        <is>
          <t>rs142859468</t>
        </is>
      </c>
      <c r="F1204" t="n">
        <v>-0.08401988740000001</v>
      </c>
      <c r="G1204" t="n">
        <v>0.0518717206652564</v>
      </c>
      <c r="H1204" t="n">
        <v>0.0194983863207202</v>
      </c>
      <c r="I1204" t="n">
        <v>0.0924691937054162</v>
      </c>
      <c r="J1204" t="n">
        <v>0.4295135180415069</v>
      </c>
      <c r="K1204" t="n">
        <v>0.0716058433002654</v>
      </c>
      <c r="L1204" t="b">
        <v>0</v>
      </c>
      <c r="M1204" t="b">
        <v>0</v>
      </c>
      <c r="N1204" t="inlineStr">
        <is>
          <t>ref</t>
        </is>
      </c>
      <c r="O1204" t="n">
        <v>5</v>
      </c>
      <c r="P1204" t="n">
        <v>8.583e-05</v>
      </c>
      <c r="Q1204" t="n">
        <v>90</v>
      </c>
      <c r="R1204" t="n">
        <v>0.1201</v>
      </c>
      <c r="S1204">
        <f>IMAGE("https://mitra.stanford.edu/kundaje/oak/projects/neuro-variants/variant_position/credible/roussos_2024/variant_figures/roussos_2024.childhood.GABA/rs142859468_count_position.png",4,220,900)</f>
        <v/>
      </c>
      <c r="T1204">
        <f>IMAGE("https://mitra.stanford.edu/kundaje/oak/projects/neuro-variants/variant_position/credible/roussos_2024/variant_figures/roussos_2024.childhood.GABA/rs142859468_profile_position.png",4,220,900)</f>
        <v/>
      </c>
    </row>
    <row r="1205">
      <c r="A1205" t="inlineStr">
        <is>
          <t>chr14</t>
        </is>
      </c>
      <c r="B1205" t="n">
        <v>71271317</v>
      </c>
      <c r="C1205" t="inlineStr">
        <is>
          <t>G</t>
        </is>
      </c>
      <c r="D1205" t="inlineStr">
        <is>
          <t>A</t>
        </is>
      </c>
      <c r="E1205" t="inlineStr">
        <is>
          <t>rs57923981</t>
        </is>
      </c>
      <c r="F1205" t="n">
        <v>-0.0675016246</v>
      </c>
      <c r="G1205" t="n">
        <v>0.0819654651831046</v>
      </c>
      <c r="H1205" t="n">
        <v>0.010466290869674</v>
      </c>
      <c r="I1205" t="n">
        <v>0.5953972334791831</v>
      </c>
      <c r="J1205" t="n">
        <v>0.0830265334757386</v>
      </c>
      <c r="K1205" t="n">
        <v>0.3932157258955415</v>
      </c>
      <c r="L1205" t="b">
        <v>0</v>
      </c>
      <c r="M1205" t="b">
        <v>0</v>
      </c>
      <c r="N1205" t="inlineStr">
        <is>
          <t>ref</t>
        </is>
      </c>
      <c r="O1205" t="n">
        <v>-100</v>
      </c>
      <c r="P1205" t="n">
        <v>0.008194</v>
      </c>
      <c r="Q1205" t="n">
        <v>55</v>
      </c>
      <c r="R1205" t="n">
        <v>0.1395</v>
      </c>
      <c r="S1205">
        <f>IMAGE("https://mitra.stanford.edu/kundaje/oak/projects/neuro-variants/variant_position/credible/roussos_2024/variant_figures/roussos_2024.childhood.GABA/rs57923981_count_position.png",4,220,900)</f>
        <v/>
      </c>
      <c r="T1205">
        <f>IMAGE("https://mitra.stanford.edu/kundaje/oak/projects/neuro-variants/variant_position/credible/roussos_2024/variant_figures/roussos_2024.childhood.GABA/rs57923981_profile_position.png",4,220,900)</f>
        <v/>
      </c>
    </row>
    <row r="1206">
      <c r="A1206" t="inlineStr">
        <is>
          <t>chr14</t>
        </is>
      </c>
      <c r="B1206" t="n">
        <v>71299193</v>
      </c>
      <c r="C1206" t="inlineStr">
        <is>
          <t>A</t>
        </is>
      </c>
      <c r="D1206" t="inlineStr">
        <is>
          <t>G</t>
        </is>
      </c>
      <c r="E1206" t="inlineStr">
        <is>
          <t>rs723966</t>
        </is>
      </c>
      <c r="F1206" t="n">
        <v>-0.0408382713199999</v>
      </c>
      <c r="G1206" t="n">
        <v>0.2393229095735196</v>
      </c>
      <c r="H1206" t="n">
        <v>0.0166784547406881</v>
      </c>
      <c r="I1206" t="n">
        <v>0.1674553978764037</v>
      </c>
      <c r="J1206" t="n">
        <v>0.0284863144227345</v>
      </c>
      <c r="K1206" t="n">
        <v>0.5972165631479086</v>
      </c>
      <c r="L1206" t="b">
        <v>0</v>
      </c>
      <c r="M1206" t="b">
        <v>0</v>
      </c>
      <c r="N1206" t="inlineStr">
        <is>
          <t>ref</t>
        </is>
      </c>
      <c r="O1206" t="n">
        <v>-60</v>
      </c>
      <c r="P1206" t="n">
        <v>0.001057</v>
      </c>
      <c r="Q1206" t="n">
        <v>100</v>
      </c>
      <c r="R1206" t="n">
        <v>0.05676</v>
      </c>
      <c r="S1206">
        <f>IMAGE("https://mitra.stanford.edu/kundaje/oak/projects/neuro-variants/variant_position/credible/roussos_2024/variant_figures/roussos_2024.childhood.GABA/rs723966_count_position.png",4,220,900)</f>
        <v/>
      </c>
      <c r="T1206">
        <f>IMAGE("https://mitra.stanford.edu/kundaje/oak/projects/neuro-variants/variant_position/credible/roussos_2024/variant_figures/roussos_2024.childhood.GABA/rs723966_profile_position.png",4,220,900)</f>
        <v/>
      </c>
    </row>
    <row r="1207">
      <c r="A1207" t="inlineStr">
        <is>
          <t>chr14</t>
        </is>
      </c>
      <c r="B1207" t="n">
        <v>71301356</v>
      </c>
      <c r="C1207" t="inlineStr">
        <is>
          <t>C</t>
        </is>
      </c>
      <c r="D1207" t="inlineStr">
        <is>
          <t>T</t>
        </is>
      </c>
      <c r="E1207" t="inlineStr">
        <is>
          <t>rs61991204</t>
        </is>
      </c>
      <c r="F1207" t="n">
        <v>-0.0415119542</v>
      </c>
      <c r="G1207" t="n">
        <v>0.1993859309406903</v>
      </c>
      <c r="H1207" t="n">
        <v>0.008259943908605301</v>
      </c>
      <c r="I1207" t="n">
        <v>0.8282116291945959</v>
      </c>
      <c r="J1207" t="n">
        <v>0.1039370903227156</v>
      </c>
      <c r="K1207" t="n">
        <v>0.3576925871219417</v>
      </c>
      <c r="L1207" t="b">
        <v>0</v>
      </c>
      <c r="M1207" t="b">
        <v>0</v>
      </c>
      <c r="N1207" t="inlineStr">
        <is>
          <t>ref</t>
        </is>
      </c>
      <c r="O1207" t="n">
        <v>100</v>
      </c>
      <c r="P1207" t="n">
        <v>0.009639999999999999</v>
      </c>
      <c r="Q1207" t="n">
        <v>100</v>
      </c>
      <c r="R1207" t="n">
        <v>0.1973</v>
      </c>
      <c r="S1207">
        <f>IMAGE("https://mitra.stanford.edu/kundaje/oak/projects/neuro-variants/variant_position/credible/roussos_2024/variant_figures/roussos_2024.childhood.GABA/rs61991204_count_position.png",4,220,900)</f>
        <v/>
      </c>
      <c r="T1207">
        <f>IMAGE("https://mitra.stanford.edu/kundaje/oak/projects/neuro-variants/variant_position/credible/roussos_2024/variant_figures/roussos_2024.childhood.GABA/rs61991204_profile_position.png",4,220,900)</f>
        <v/>
      </c>
    </row>
    <row r="1208">
      <c r="A1208" t="inlineStr">
        <is>
          <t>chr14</t>
        </is>
      </c>
      <c r="B1208" t="n">
        <v>71305380</v>
      </c>
      <c r="C1208" t="inlineStr">
        <is>
          <t>G</t>
        </is>
      </c>
      <c r="D1208" t="inlineStr">
        <is>
          <t>T</t>
        </is>
      </c>
      <c r="E1208" t="inlineStr">
        <is>
          <t>rs78053899</t>
        </is>
      </c>
      <c r="F1208" t="n">
        <v>-0.0650795492</v>
      </c>
      <c r="G1208" t="n">
        <v>0.0810295372944381</v>
      </c>
      <c r="H1208" t="n">
        <v>0.0132230704818609</v>
      </c>
      <c r="I1208" t="n">
        <v>0.3347990325649732</v>
      </c>
      <c r="J1208" t="n">
        <v>0.1390483968922116</v>
      </c>
      <c r="K1208" t="n">
        <v>0.2881540659629187</v>
      </c>
      <c r="L1208" t="b">
        <v>0</v>
      </c>
      <c r="M1208" t="b">
        <v>0</v>
      </c>
      <c r="N1208" t="inlineStr">
        <is>
          <t>ref</t>
        </is>
      </c>
      <c r="O1208" t="n">
        <v>-15</v>
      </c>
      <c r="P1208" t="n">
        <v>0.0007915</v>
      </c>
      <c r="Q1208" t="n">
        <v>5</v>
      </c>
      <c r="R1208" t="n">
        <v>0.005615</v>
      </c>
      <c r="S1208">
        <f>IMAGE("https://mitra.stanford.edu/kundaje/oak/projects/neuro-variants/variant_position/credible/roussos_2024/variant_figures/roussos_2024.childhood.GABA/rs78053899_count_position.png",4,220,900)</f>
        <v/>
      </c>
      <c r="T1208">
        <f>IMAGE("https://mitra.stanford.edu/kundaje/oak/projects/neuro-variants/variant_position/credible/roussos_2024/variant_figures/roussos_2024.childhood.GABA/rs78053899_profile_position.png",4,220,900)</f>
        <v/>
      </c>
    </row>
    <row r="1209">
      <c r="A1209" t="inlineStr">
        <is>
          <t>chr14</t>
        </is>
      </c>
      <c r="B1209" t="n">
        <v>71307335</v>
      </c>
      <c r="C1209" t="inlineStr">
        <is>
          <t>T</t>
        </is>
      </c>
      <c r="D1209" t="inlineStr">
        <is>
          <t>G</t>
        </is>
      </c>
      <c r="E1209" t="inlineStr">
        <is>
          <t>rs1990241</t>
        </is>
      </c>
      <c r="F1209" t="n">
        <v>-0.00257052046</v>
      </c>
      <c r="G1209" t="n">
        <v>0.5349126767773513</v>
      </c>
      <c r="H1209" t="n">
        <v>0.0140944321454334</v>
      </c>
      <c r="I1209" t="n">
        <v>0.2776669019078644</v>
      </c>
      <c r="J1209" t="n">
        <v>0.0441959330694644</v>
      </c>
      <c r="K1209" t="n">
        <v>0.5098081096289748</v>
      </c>
      <c r="L1209" t="b">
        <v>0</v>
      </c>
      <c r="M1209" t="b">
        <v>0</v>
      </c>
      <c r="N1209" t="inlineStr">
        <is>
          <t>ref</t>
        </is>
      </c>
      <c r="O1209" t="n">
        <v>-90</v>
      </c>
      <c r="P1209" t="n">
        <v>0.03296</v>
      </c>
      <c r="Q1209" t="n">
        <v>100</v>
      </c>
      <c r="R1209" t="n">
        <v>0.01265</v>
      </c>
      <c r="S1209">
        <f>IMAGE("https://mitra.stanford.edu/kundaje/oak/projects/neuro-variants/variant_position/credible/roussos_2024/variant_figures/roussos_2024.childhood.GABA/rs1990241_count_position.png",4,220,900)</f>
        <v/>
      </c>
      <c r="T1209">
        <f>IMAGE("https://mitra.stanford.edu/kundaje/oak/projects/neuro-variants/variant_position/credible/roussos_2024/variant_figures/roussos_2024.childhood.GABA/rs1990241_profile_position.png",4,220,900)</f>
        <v/>
      </c>
    </row>
    <row r="1210">
      <c r="A1210" t="inlineStr">
        <is>
          <t>chr14</t>
        </is>
      </c>
      <c r="B1210" t="n">
        <v>71314024</v>
      </c>
      <c r="C1210" t="inlineStr">
        <is>
          <t>C</t>
        </is>
      </c>
      <c r="D1210" t="inlineStr">
        <is>
          <t>T</t>
        </is>
      </c>
      <c r="E1210" t="inlineStr">
        <is>
          <t>rs34873919</t>
        </is>
      </c>
      <c r="F1210" t="n">
        <v>-0.091440204</v>
      </c>
      <c r="G1210" t="n">
        <v>0.0409404114819985</v>
      </c>
      <c r="H1210" t="n">
        <v>0.0121647757062725</v>
      </c>
      <c r="I1210" t="n">
        <v>0.4209868756542484</v>
      </c>
      <c r="J1210" t="n">
        <v>0.03329249649222</v>
      </c>
      <c r="K1210" t="n">
        <v>0.5720990831163897</v>
      </c>
      <c r="L1210" t="b">
        <v>0</v>
      </c>
      <c r="M1210" t="b">
        <v>0</v>
      </c>
      <c r="N1210" t="inlineStr">
        <is>
          <t>ref</t>
        </is>
      </c>
      <c r="O1210" t="n">
        <v>20</v>
      </c>
      <c r="P1210" t="n">
        <v>0.00232</v>
      </c>
      <c r="Q1210" t="n">
        <v>50</v>
      </c>
      <c r="R1210" t="n">
        <v>0.008359999999999999</v>
      </c>
      <c r="S1210">
        <f>IMAGE("https://mitra.stanford.edu/kundaje/oak/projects/neuro-variants/variant_position/credible/roussos_2024/variant_figures/roussos_2024.childhood.GABA/rs34873919_count_position.png",4,220,900)</f>
        <v/>
      </c>
      <c r="T1210">
        <f>IMAGE("https://mitra.stanford.edu/kundaje/oak/projects/neuro-variants/variant_position/credible/roussos_2024/variant_figures/roussos_2024.childhood.GABA/rs34873919_profile_position.png",4,220,900)</f>
        <v/>
      </c>
    </row>
    <row r="1211">
      <c r="A1211" t="inlineStr">
        <is>
          <t>chr14</t>
        </is>
      </c>
      <c r="B1211" t="n">
        <v>71315393</v>
      </c>
      <c r="C1211" t="inlineStr">
        <is>
          <t>C</t>
        </is>
      </c>
      <c r="D1211" t="inlineStr">
        <is>
          <t>A</t>
        </is>
      </c>
      <c r="E1211" t="inlineStr">
        <is>
          <t>rs80173099</t>
        </is>
      </c>
      <c r="F1211" t="n">
        <v>0.00108092382</v>
      </c>
      <c r="G1211" t="n">
        <v>0.8023631803734442</v>
      </c>
      <c r="H1211" t="n">
        <v>0.0222315874649908</v>
      </c>
      <c r="I1211" t="n">
        <v>0.0481098805286806</v>
      </c>
      <c r="J1211" t="n">
        <v>0.0507329689430587</v>
      </c>
      <c r="K1211" t="n">
        <v>0.5072999651452291</v>
      </c>
      <c r="L1211" t="b">
        <v>0</v>
      </c>
      <c r="M1211" t="b">
        <v>0</v>
      </c>
      <c r="N1211" t="inlineStr">
        <is>
          <t>alt</t>
        </is>
      </c>
      <c r="O1211" t="n">
        <v>70</v>
      </c>
      <c r="P1211" t="n">
        <v>0.003141</v>
      </c>
      <c r="Q1211" t="n">
        <v>100</v>
      </c>
      <c r="R1211" t="n">
        <v>0.1362</v>
      </c>
      <c r="S1211">
        <f>IMAGE("https://mitra.stanford.edu/kundaje/oak/projects/neuro-variants/variant_position/credible/roussos_2024/variant_figures/roussos_2024.childhood.GABA/rs80173099_count_position.png",4,220,900)</f>
        <v/>
      </c>
      <c r="T1211">
        <f>IMAGE("https://mitra.stanford.edu/kundaje/oak/projects/neuro-variants/variant_position/credible/roussos_2024/variant_figures/roussos_2024.childhood.GABA/rs80173099_profile_position.png",4,220,900)</f>
        <v/>
      </c>
    </row>
    <row r="1212">
      <c r="A1212" t="inlineStr">
        <is>
          <t>chr14</t>
        </is>
      </c>
      <c r="B1212" t="n">
        <v>71318485</v>
      </c>
      <c r="C1212" t="inlineStr">
        <is>
          <t>T</t>
        </is>
      </c>
      <c r="D1212" t="inlineStr">
        <is>
          <t>G</t>
        </is>
      </c>
      <c r="E1212" t="inlineStr">
        <is>
          <t>rs35054229</t>
        </is>
      </c>
      <c r="F1212" t="n">
        <v>0.001980973154</v>
      </c>
      <c r="G1212" t="n">
        <v>0.8714853040696239</v>
      </c>
      <c r="H1212" t="n">
        <v>0.0224578551688431</v>
      </c>
      <c r="I1212" t="n">
        <v>0.045760486242175</v>
      </c>
      <c r="J1212" t="n">
        <v>0.0043088102866954</v>
      </c>
      <c r="K1212" t="n">
        <v>0.8241145862651537</v>
      </c>
      <c r="L1212" t="b">
        <v>0</v>
      </c>
      <c r="M1212" t="b">
        <v>0</v>
      </c>
      <c r="N1212" t="inlineStr">
        <is>
          <t>alt</t>
        </is>
      </c>
      <c r="O1212" t="n">
        <v>95</v>
      </c>
      <c r="P1212" t="n">
        <v>0.01651</v>
      </c>
      <c r="Q1212" t="n">
        <v>-100</v>
      </c>
      <c r="R1212" t="n">
        <v>0.10565</v>
      </c>
      <c r="S1212">
        <f>IMAGE("https://mitra.stanford.edu/kundaje/oak/projects/neuro-variants/variant_position/credible/roussos_2024/variant_figures/roussos_2024.childhood.GABA/rs35054229_count_position.png",4,220,900)</f>
        <v/>
      </c>
      <c r="T1212">
        <f>IMAGE("https://mitra.stanford.edu/kundaje/oak/projects/neuro-variants/variant_position/credible/roussos_2024/variant_figures/roussos_2024.childhood.GABA/rs35054229_profile_position.png",4,220,900)</f>
        <v/>
      </c>
    </row>
    <row r="1213">
      <c r="A1213" t="inlineStr">
        <is>
          <t>chr14</t>
        </is>
      </c>
      <c r="B1213" t="n">
        <v>71332956</v>
      </c>
      <c r="C1213" t="inlineStr">
        <is>
          <t>A</t>
        </is>
      </c>
      <c r="D1213" t="inlineStr">
        <is>
          <t>T</t>
        </is>
      </c>
      <c r="E1213" t="inlineStr">
        <is>
          <t>rs116311114</t>
        </is>
      </c>
      <c r="F1213" t="n">
        <v>0.00331567962</v>
      </c>
      <c r="G1213" t="n">
        <v>0.7852460699157527</v>
      </c>
      <c r="H1213" t="n">
        <v>0.0190231639473409</v>
      </c>
      <c r="I1213" t="n">
        <v>0.09153476604543399</v>
      </c>
      <c r="J1213" t="n">
        <v>0.0046616824778538</v>
      </c>
      <c r="K1213" t="n">
        <v>0.8238370199834031</v>
      </c>
      <c r="L1213" t="b">
        <v>0</v>
      </c>
      <c r="M1213" t="b">
        <v>0</v>
      </c>
      <c r="N1213" t="inlineStr">
        <is>
          <t>alt</t>
        </is>
      </c>
      <c r="O1213" t="n">
        <v>10</v>
      </c>
      <c r="P1213" t="n">
        <v>6.104e-05</v>
      </c>
      <c r="Q1213" t="n">
        <v>20</v>
      </c>
      <c r="R1213" t="n">
        <v>0.013855</v>
      </c>
      <c r="S1213">
        <f>IMAGE("https://mitra.stanford.edu/kundaje/oak/projects/neuro-variants/variant_position/credible/roussos_2024/variant_figures/roussos_2024.childhood.GABA/rs116311114_count_position.png",4,220,900)</f>
        <v/>
      </c>
      <c r="T1213">
        <f>IMAGE("https://mitra.stanford.edu/kundaje/oak/projects/neuro-variants/variant_position/credible/roussos_2024/variant_figures/roussos_2024.childhood.GABA/rs116311114_profile_position.png",4,220,900)</f>
        <v/>
      </c>
    </row>
    <row r="1214">
      <c r="A1214" t="inlineStr">
        <is>
          <t>chr14</t>
        </is>
      </c>
      <c r="B1214" t="n">
        <v>71350087</v>
      </c>
      <c r="C1214" t="inlineStr">
        <is>
          <t>C</t>
        </is>
      </c>
      <c r="D1214" t="inlineStr">
        <is>
          <t>A</t>
        </is>
      </c>
      <c r="E1214" t="inlineStr">
        <is>
          <t>rs113102830</t>
        </is>
      </c>
      <c r="F1214" t="n">
        <v>0.001776063282</v>
      </c>
      <c r="G1214" t="n">
        <v>0.761183461858266</v>
      </c>
      <c r="H1214" t="n">
        <v>0.0357517390991124</v>
      </c>
      <c r="I1214" t="n">
        <v>0.0059288309456796</v>
      </c>
      <c r="J1214" t="n">
        <v>0.1764737911247931</v>
      </c>
      <c r="K1214" t="n">
        <v>0.2454823583589177</v>
      </c>
      <c r="L1214" t="b">
        <v>1</v>
      </c>
      <c r="M1214" t="b">
        <v>1</v>
      </c>
      <c r="N1214" t="inlineStr">
        <is>
          <t>alt</t>
        </is>
      </c>
      <c r="O1214" t="n">
        <v>100</v>
      </c>
      <c r="P1214" t="n">
        <v>0.0105</v>
      </c>
      <c r="Q1214" t="n">
        <v>35</v>
      </c>
      <c r="R1214" t="n">
        <v>0.0737</v>
      </c>
      <c r="S1214">
        <f>IMAGE("https://mitra.stanford.edu/kundaje/oak/projects/neuro-variants/variant_position/credible/roussos_2024/variant_figures/roussos_2024.childhood.GABA/rs113102830_count_position.png",4,220,900)</f>
        <v/>
      </c>
      <c r="T1214">
        <f>IMAGE("https://mitra.stanford.edu/kundaje/oak/projects/neuro-variants/variant_position/credible/roussos_2024/variant_figures/roussos_2024.childhood.GABA/rs113102830_profile_position.png",4,220,900)</f>
        <v/>
      </c>
    </row>
    <row r="1215">
      <c r="A1215" t="inlineStr">
        <is>
          <t>chr14</t>
        </is>
      </c>
      <c r="B1215" t="n">
        <v>71357783</v>
      </c>
      <c r="C1215" t="inlineStr">
        <is>
          <t>A</t>
        </is>
      </c>
      <c r="D1215" t="inlineStr">
        <is>
          <t>G</t>
        </is>
      </c>
      <c r="E1215" t="inlineStr">
        <is>
          <t>rs111590846</t>
        </is>
      </c>
      <c r="F1215" t="n">
        <v>0.0515203826</v>
      </c>
      <c r="G1215" t="n">
        <v>0.1240221726456079</v>
      </c>
      <c r="H1215" t="n">
        <v>0.0139959463433599</v>
      </c>
      <c r="I1215" t="n">
        <v>0.2865137842548803</v>
      </c>
      <c r="J1215" t="n">
        <v>0.1326055998827249</v>
      </c>
      <c r="K1215" t="n">
        <v>0.2965115281258432</v>
      </c>
      <c r="L1215" t="b">
        <v>0</v>
      </c>
      <c r="M1215" t="b">
        <v>0</v>
      </c>
      <c r="N1215" t="inlineStr">
        <is>
          <t>alt</t>
        </is>
      </c>
      <c r="O1215" t="n">
        <v>100</v>
      </c>
      <c r="P1215" t="n">
        <v>0.002525</v>
      </c>
      <c r="Q1215" t="n">
        <v>-90</v>
      </c>
      <c r="R1215" t="n">
        <v>0.10767</v>
      </c>
      <c r="S1215">
        <f>IMAGE("https://mitra.stanford.edu/kundaje/oak/projects/neuro-variants/variant_position/credible/roussos_2024/variant_figures/roussos_2024.childhood.GABA/rs111590846_count_position.png",4,220,900)</f>
        <v/>
      </c>
      <c r="T1215">
        <f>IMAGE("https://mitra.stanford.edu/kundaje/oak/projects/neuro-variants/variant_position/credible/roussos_2024/variant_figures/roussos_2024.childhood.GABA/rs111590846_profile_position.png",4,220,900)</f>
        <v/>
      </c>
    </row>
    <row r="1216">
      <c r="A1216" t="inlineStr">
        <is>
          <t>chr14</t>
        </is>
      </c>
      <c r="B1216" t="n">
        <v>71360805</v>
      </c>
      <c r="C1216" t="inlineStr">
        <is>
          <t>C</t>
        </is>
      </c>
      <c r="D1216" t="inlineStr">
        <is>
          <t>G</t>
        </is>
      </c>
      <c r="E1216" t="inlineStr">
        <is>
          <t>rs77942366</t>
        </is>
      </c>
      <c r="F1216" t="n">
        <v>-0.01041214128</v>
      </c>
      <c r="G1216" t="n">
        <v>0.5489023987082795</v>
      </c>
      <c r="H1216" t="n">
        <v>0.009716225444564301</v>
      </c>
      <c r="I1216" t="n">
        <v>0.6630785199181611</v>
      </c>
      <c r="J1216" t="n">
        <v>0.0173148206320286</v>
      </c>
      <c r="K1216" t="n">
        <v>0.6635352351674557</v>
      </c>
      <c r="L1216" t="b">
        <v>0</v>
      </c>
      <c r="M1216" t="b">
        <v>0</v>
      </c>
      <c r="N1216" t="inlineStr">
        <is>
          <t>ref</t>
        </is>
      </c>
      <c r="O1216" t="n">
        <v>100</v>
      </c>
      <c r="P1216" t="n">
        <v>0.01166</v>
      </c>
      <c r="Q1216" t="n">
        <v>100</v>
      </c>
      <c r="R1216" t="n">
        <v>0.05695</v>
      </c>
      <c r="S1216">
        <f>IMAGE("https://mitra.stanford.edu/kundaje/oak/projects/neuro-variants/variant_position/credible/roussos_2024/variant_figures/roussos_2024.childhood.GABA/rs77942366_count_position.png",4,220,900)</f>
        <v/>
      </c>
      <c r="T1216">
        <f>IMAGE("https://mitra.stanford.edu/kundaje/oak/projects/neuro-variants/variant_position/credible/roussos_2024/variant_figures/roussos_2024.childhood.GABA/rs77942366_profile_position.png",4,220,900)</f>
        <v/>
      </c>
    </row>
    <row r="1217">
      <c r="A1217" t="inlineStr">
        <is>
          <t>chr14</t>
        </is>
      </c>
      <c r="B1217" t="n">
        <v>71372567</v>
      </c>
      <c r="C1217" t="inlineStr">
        <is>
          <t>T</t>
        </is>
      </c>
      <c r="D1217" t="inlineStr">
        <is>
          <t>C</t>
        </is>
      </c>
      <c r="E1217" t="inlineStr">
        <is>
          <t>rs76088535</t>
        </is>
      </c>
      <c r="F1217" t="n">
        <v>0.07630365059999999</v>
      </c>
      <c r="G1217" t="n">
        <v>0.0590085931510384</v>
      </c>
      <c r="H1217" t="n">
        <v>0.0130799410646031</v>
      </c>
      <c r="I1217" t="n">
        <v>0.3450668976609148</v>
      </c>
      <c r="J1217" t="n">
        <v>0.0413635316537873</v>
      </c>
      <c r="K1217" t="n">
        <v>0.5217162308275073</v>
      </c>
      <c r="L1217" t="b">
        <v>0</v>
      </c>
      <c r="M1217" t="b">
        <v>0</v>
      </c>
      <c r="N1217" t="inlineStr">
        <is>
          <t>alt</t>
        </is>
      </c>
      <c r="O1217" t="n">
        <v>-100</v>
      </c>
      <c r="P1217" t="n">
        <v>0.0283</v>
      </c>
      <c r="Q1217" t="n">
        <v>-95</v>
      </c>
      <c r="R1217" t="n">
        <v>0.10315</v>
      </c>
      <c r="S1217">
        <f>IMAGE("https://mitra.stanford.edu/kundaje/oak/projects/neuro-variants/variant_position/credible/roussos_2024/variant_figures/roussos_2024.childhood.GABA/rs76088535_count_position.png",4,220,900)</f>
        <v/>
      </c>
      <c r="T1217">
        <f>IMAGE("https://mitra.stanford.edu/kundaje/oak/projects/neuro-variants/variant_position/credible/roussos_2024/variant_figures/roussos_2024.childhood.GABA/rs76088535_profile_position.png",4,220,900)</f>
        <v/>
      </c>
    </row>
    <row r="1218">
      <c r="A1218" t="inlineStr">
        <is>
          <t>chr14</t>
        </is>
      </c>
      <c r="B1218" t="n">
        <v>71376191</v>
      </c>
      <c r="C1218" t="inlineStr">
        <is>
          <t>A</t>
        </is>
      </c>
      <c r="D1218" t="inlineStr">
        <is>
          <t>G</t>
        </is>
      </c>
      <c r="E1218" t="inlineStr">
        <is>
          <t>rs113124653</t>
        </is>
      </c>
      <c r="F1218" t="n">
        <v>0.002504466012</v>
      </c>
      <c r="G1218" t="n">
        <v>0.8680193747711704</v>
      </c>
      <c r="H1218" t="n">
        <v>0.0168703104244144</v>
      </c>
      <c r="I1218" t="n">
        <v>0.1492808535571096</v>
      </c>
      <c r="J1218" t="n">
        <v>0.0001392640991811</v>
      </c>
      <c r="K1218" t="n">
        <v>0.9703562936106532</v>
      </c>
      <c r="L1218" t="b">
        <v>0</v>
      </c>
      <c r="M1218" t="b">
        <v>0</v>
      </c>
      <c r="N1218" t="inlineStr">
        <is>
          <t>alt</t>
        </is>
      </c>
      <c r="O1218" t="n">
        <v>100</v>
      </c>
      <c r="P1218" t="n">
        <v>0.003822</v>
      </c>
      <c r="Q1218" t="n">
        <v>-100</v>
      </c>
      <c r="R1218" t="n">
        <v>0.09204</v>
      </c>
      <c r="S1218">
        <f>IMAGE("https://mitra.stanford.edu/kundaje/oak/projects/neuro-variants/variant_position/credible/roussos_2024/variant_figures/roussos_2024.childhood.GABA/rs113124653_count_position.png",4,220,900)</f>
        <v/>
      </c>
      <c r="T1218">
        <f>IMAGE("https://mitra.stanford.edu/kundaje/oak/projects/neuro-variants/variant_position/credible/roussos_2024/variant_figures/roussos_2024.childhood.GABA/rs113124653_profile_position.png",4,220,900)</f>
        <v/>
      </c>
    </row>
    <row r="1219">
      <c r="A1219" t="inlineStr">
        <is>
          <t>chr14</t>
        </is>
      </c>
      <c r="B1219" t="n">
        <v>71377271</v>
      </c>
      <c r="C1219" t="inlineStr">
        <is>
          <t>G</t>
        </is>
      </c>
      <c r="D1219" t="inlineStr">
        <is>
          <t>A</t>
        </is>
      </c>
      <c r="E1219" t="inlineStr">
        <is>
          <t>rs116767752</t>
        </is>
      </c>
      <c r="F1219" t="n">
        <v>0.0294989338</v>
      </c>
      <c r="G1219" t="n">
        <v>0.2025962197292014</v>
      </c>
      <c r="H1219" t="n">
        <v>0.0197694367476046</v>
      </c>
      <c r="I1219" t="n">
        <v>0.0851442955758909</v>
      </c>
      <c r="J1219" t="n">
        <v>0.4432116604887855</v>
      </c>
      <c r="K1219" t="n">
        <v>0.0674682618269669</v>
      </c>
      <c r="L1219" t="b">
        <v>0</v>
      </c>
      <c r="M1219" t="b">
        <v>0</v>
      </c>
      <c r="N1219" t="inlineStr">
        <is>
          <t>alt</t>
        </is>
      </c>
      <c r="O1219" t="n">
        <v>-50</v>
      </c>
      <c r="P1219" t="n">
        <v>0.004974</v>
      </c>
      <c r="Q1219" t="n">
        <v>-15</v>
      </c>
      <c r="R1219" t="n">
        <v>0.03564</v>
      </c>
      <c r="S1219">
        <f>IMAGE("https://mitra.stanford.edu/kundaje/oak/projects/neuro-variants/variant_position/credible/roussos_2024/variant_figures/roussos_2024.childhood.GABA/rs116767752_count_position.png",4,220,900)</f>
        <v/>
      </c>
      <c r="T1219">
        <f>IMAGE("https://mitra.stanford.edu/kundaje/oak/projects/neuro-variants/variant_position/credible/roussos_2024/variant_figures/roussos_2024.childhood.GABA/rs116767752_profile_position.png",4,220,900)</f>
        <v/>
      </c>
    </row>
    <row r="1220">
      <c r="A1220" t="inlineStr">
        <is>
          <t>chr14</t>
        </is>
      </c>
      <c r="B1220" t="n">
        <v>71935714</v>
      </c>
      <c r="C1220" t="inlineStr">
        <is>
          <t>C</t>
        </is>
      </c>
      <c r="D1220" t="inlineStr">
        <is>
          <t>T</t>
        </is>
      </c>
      <c r="E1220" t="inlineStr">
        <is>
          <t>rs71427137</t>
        </is>
      </c>
      <c r="F1220" t="n">
        <v>-0.00193418068</v>
      </c>
      <c r="G1220" t="n">
        <v>0.8081298368688321</v>
      </c>
      <c r="H1220" t="n">
        <v>0.0122582259696295</v>
      </c>
      <c r="I1220" t="n">
        <v>0.414304878131058</v>
      </c>
      <c r="J1220" t="n">
        <v>0.0063213335846369</v>
      </c>
      <c r="K1220" t="n">
        <v>0.7908307460722919</v>
      </c>
      <c r="L1220" t="b">
        <v>0</v>
      </c>
      <c r="M1220" t="b">
        <v>0</v>
      </c>
      <c r="N1220" t="inlineStr">
        <is>
          <t>ref</t>
        </is>
      </c>
      <c r="O1220" t="n">
        <v>-85</v>
      </c>
      <c r="P1220" t="n">
        <v>0.00908</v>
      </c>
      <c r="Q1220" t="n">
        <v>100</v>
      </c>
      <c r="R1220" t="n">
        <v>0.03827</v>
      </c>
      <c r="S1220">
        <f>IMAGE("https://mitra.stanford.edu/kundaje/oak/projects/neuro-variants/variant_position/credible/roussos_2024/variant_figures/roussos_2024.childhood.GABA/rs71427137_count_position.png",4,220,900)</f>
        <v/>
      </c>
      <c r="T1220">
        <f>IMAGE("https://mitra.stanford.edu/kundaje/oak/projects/neuro-variants/variant_position/credible/roussos_2024/variant_figures/roussos_2024.childhood.GABA/rs71427137_profile_position.png",4,220,900)</f>
        <v/>
      </c>
    </row>
    <row r="1221">
      <c r="A1221" t="inlineStr">
        <is>
          <t>chr14</t>
        </is>
      </c>
      <c r="B1221" t="n">
        <v>71938968</v>
      </c>
      <c r="C1221" t="inlineStr">
        <is>
          <t>C</t>
        </is>
      </c>
      <c r="D1221" t="inlineStr">
        <is>
          <t>T</t>
        </is>
      </c>
      <c r="E1221" t="inlineStr">
        <is>
          <t>rs2332687</t>
        </is>
      </c>
      <c r="F1221" t="n">
        <v>0.0081956719</v>
      </c>
      <c r="G1221" t="n">
        <v>0.6659050023031912</v>
      </c>
      <c r="H1221" t="n">
        <v>0.0094993725651844</v>
      </c>
      <c r="I1221" t="n">
        <v>0.6916581148430321</v>
      </c>
      <c r="J1221" t="n">
        <v>0.0732686226466461</v>
      </c>
      <c r="K1221" t="n">
        <v>0.459597440577748</v>
      </c>
      <c r="L1221" t="b">
        <v>0</v>
      </c>
      <c r="M1221" t="b">
        <v>0</v>
      </c>
      <c r="N1221" t="inlineStr">
        <is>
          <t>alt</t>
        </is>
      </c>
      <c r="O1221" t="n">
        <v>-100</v>
      </c>
      <c r="P1221" t="n">
        <v>0.00365</v>
      </c>
      <c r="Q1221" t="n">
        <v>100</v>
      </c>
      <c r="R1221" t="n">
        <v>0.05795</v>
      </c>
      <c r="S1221">
        <f>IMAGE("https://mitra.stanford.edu/kundaje/oak/projects/neuro-variants/variant_position/credible/roussos_2024/variant_figures/roussos_2024.childhood.GABA/rs2332687_count_position.png",4,220,900)</f>
        <v/>
      </c>
      <c r="T1221">
        <f>IMAGE("https://mitra.stanford.edu/kundaje/oak/projects/neuro-variants/variant_position/credible/roussos_2024/variant_figures/roussos_2024.childhood.GABA/rs2332687_profile_position.png",4,220,900)</f>
        <v/>
      </c>
    </row>
    <row r="1222">
      <c r="A1222" t="inlineStr">
        <is>
          <t>chr14</t>
        </is>
      </c>
      <c r="B1222" t="n">
        <v>71949502</v>
      </c>
      <c r="C1222" t="inlineStr">
        <is>
          <t>T</t>
        </is>
      </c>
      <c r="D1222" t="inlineStr">
        <is>
          <t>C</t>
        </is>
      </c>
      <c r="E1222" t="inlineStr">
        <is>
          <t>rs2190864</t>
        </is>
      </c>
      <c r="F1222" t="n">
        <v>0.0058683518</v>
      </c>
      <c r="G1222" t="n">
        <v>0.6186209680900269</v>
      </c>
      <c r="H1222" t="n">
        <v>0.0240086486819948</v>
      </c>
      <c r="I1222" t="n">
        <v>0.0358466884667496</v>
      </c>
      <c r="J1222" t="n">
        <v>0.0173001612531674</v>
      </c>
      <c r="K1222" t="n">
        <v>0.6645193920249749</v>
      </c>
      <c r="L1222" t="b">
        <v>0</v>
      </c>
      <c r="M1222" t="b">
        <v>0</v>
      </c>
      <c r="N1222" t="inlineStr">
        <is>
          <t>alt</t>
        </is>
      </c>
      <c r="O1222" t="n">
        <v>-20</v>
      </c>
      <c r="P1222" t="n">
        <v>0.002747</v>
      </c>
      <c r="Q1222" t="n">
        <v>-20</v>
      </c>
      <c r="R1222" t="n">
        <v>0.01611</v>
      </c>
      <c r="S1222">
        <f>IMAGE("https://mitra.stanford.edu/kundaje/oak/projects/neuro-variants/variant_position/credible/roussos_2024/variant_figures/roussos_2024.childhood.GABA/rs2190864_count_position.png",4,220,900)</f>
        <v/>
      </c>
      <c r="T1222">
        <f>IMAGE("https://mitra.stanford.edu/kundaje/oak/projects/neuro-variants/variant_position/credible/roussos_2024/variant_figures/roussos_2024.childhood.GABA/rs2190864_profile_position.png",4,220,900)</f>
        <v/>
      </c>
    </row>
    <row r="1223">
      <c r="A1223" t="inlineStr">
        <is>
          <t>chr14</t>
        </is>
      </c>
      <c r="B1223" t="n">
        <v>71973898</v>
      </c>
      <c r="C1223" t="inlineStr">
        <is>
          <t>G</t>
        </is>
      </c>
      <c r="D1223" t="inlineStr">
        <is>
          <t>C</t>
        </is>
      </c>
      <c r="E1223" t="inlineStr">
        <is>
          <t>rs2877774</t>
        </is>
      </c>
      <c r="F1223" t="n">
        <v>0.02898593</v>
      </c>
      <c r="G1223" t="n">
        <v>0.2844011196942679</v>
      </c>
      <c r="H1223" t="n">
        <v>0.0120635443193898</v>
      </c>
      <c r="I1223" t="n">
        <v>0.4104768675061411</v>
      </c>
      <c r="J1223" t="n">
        <v>0.0464252057548532</v>
      </c>
      <c r="K1223" t="n">
        <v>0.4990010056175989</v>
      </c>
      <c r="L1223" t="b">
        <v>0</v>
      </c>
      <c r="M1223" t="b">
        <v>0</v>
      </c>
      <c r="N1223" t="inlineStr">
        <is>
          <t>alt</t>
        </is>
      </c>
      <c r="O1223" t="n">
        <v>-20</v>
      </c>
      <c r="P1223" t="n">
        <v>0.0057</v>
      </c>
      <c r="Q1223" t="n">
        <v>75</v>
      </c>
      <c r="R1223" t="n">
        <v>0.02979</v>
      </c>
      <c r="S1223">
        <f>IMAGE("https://mitra.stanford.edu/kundaje/oak/projects/neuro-variants/variant_position/credible/roussos_2024/variant_figures/roussos_2024.childhood.GABA/rs2877774_count_position.png",4,220,900)</f>
        <v/>
      </c>
      <c r="T1223">
        <f>IMAGE("https://mitra.stanford.edu/kundaje/oak/projects/neuro-variants/variant_position/credible/roussos_2024/variant_figures/roussos_2024.childhood.GABA/rs2877774_profile_position.png",4,220,900)</f>
        <v/>
      </c>
    </row>
    <row r="1224">
      <c r="A1224" t="inlineStr">
        <is>
          <t>chr14</t>
        </is>
      </c>
      <c r="B1224" t="n">
        <v>71981278</v>
      </c>
      <c r="C1224" t="inlineStr">
        <is>
          <t>C</t>
        </is>
      </c>
      <c r="D1224" t="inlineStr">
        <is>
          <t>T</t>
        </is>
      </c>
      <c r="E1224" t="inlineStr">
        <is>
          <t>rs145192742</t>
        </is>
      </c>
      <c r="F1224" t="n">
        <v>-0.0508372472</v>
      </c>
      <c r="G1224" t="n">
        <v>0.1367021651550472</v>
      </c>
      <c r="H1224" t="n">
        <v>0.0130125793205209</v>
      </c>
      <c r="I1224" t="n">
        <v>0.3409513749111764</v>
      </c>
      <c r="J1224" t="n">
        <v>0.186497664970367</v>
      </c>
      <c r="K1224" t="n">
        <v>0.2428839372220195</v>
      </c>
      <c r="L1224" t="b">
        <v>0</v>
      </c>
      <c r="M1224" t="b">
        <v>0</v>
      </c>
      <c r="N1224" t="inlineStr">
        <is>
          <t>ref</t>
        </is>
      </c>
      <c r="O1224" t="n">
        <v>25</v>
      </c>
      <c r="P1224" t="n">
        <v>0.0009940000000000001</v>
      </c>
      <c r="Q1224" t="n">
        <v>-55</v>
      </c>
      <c r="R1224" t="n">
        <v>0.04993</v>
      </c>
      <c r="S1224">
        <f>IMAGE("https://mitra.stanford.edu/kundaje/oak/projects/neuro-variants/variant_position/credible/roussos_2024/variant_figures/roussos_2024.childhood.GABA/rs145192742_count_position.png",4,220,900)</f>
        <v/>
      </c>
      <c r="T1224">
        <f>IMAGE("https://mitra.stanford.edu/kundaje/oak/projects/neuro-variants/variant_position/credible/roussos_2024/variant_figures/roussos_2024.childhood.GABA/rs145192742_profile_position.png",4,220,900)</f>
        <v/>
      </c>
    </row>
    <row r="1225">
      <c r="A1225" t="inlineStr">
        <is>
          <t>chr14</t>
        </is>
      </c>
      <c r="B1225" t="n">
        <v>84174900</v>
      </c>
      <c r="C1225" t="inlineStr">
        <is>
          <t>T</t>
        </is>
      </c>
      <c r="D1225" t="inlineStr">
        <is>
          <t>C</t>
        </is>
      </c>
      <c r="E1225" t="inlineStr">
        <is>
          <t>rs1779550</t>
        </is>
      </c>
      <c r="F1225" t="n">
        <v>0.0928695906</v>
      </c>
      <c r="G1225" t="n">
        <v>0.0374984719860773</v>
      </c>
      <c r="H1225" t="n">
        <v>0.0124472027522345</v>
      </c>
      <c r="I1225" t="n">
        <v>0.3992486580777439</v>
      </c>
      <c r="J1225" t="n">
        <v>0.2161221754518229</v>
      </c>
      <c r="K1225" t="n">
        <v>0.1990253308462388</v>
      </c>
      <c r="L1225" t="b">
        <v>0</v>
      </c>
      <c r="M1225" t="b">
        <v>0</v>
      </c>
      <c r="N1225" t="inlineStr">
        <is>
          <t>alt</t>
        </is>
      </c>
      <c r="O1225" t="n">
        <v>-70</v>
      </c>
      <c r="P1225" t="n">
        <v>0.001976</v>
      </c>
      <c r="Q1225" t="n">
        <v>70</v>
      </c>
      <c r="R1225" t="n">
        <v>0.0421</v>
      </c>
      <c r="S1225">
        <f>IMAGE("https://mitra.stanford.edu/kundaje/oak/projects/neuro-variants/variant_position/credible/roussos_2024/variant_figures/roussos_2024.childhood.GABA/rs1779550_count_position.png",4,220,900)</f>
        <v/>
      </c>
      <c r="T1225">
        <f>IMAGE("https://mitra.stanford.edu/kundaje/oak/projects/neuro-variants/variant_position/credible/roussos_2024/variant_figures/roussos_2024.childhood.GABA/rs1779550_profile_position.png",4,220,900)</f>
        <v/>
      </c>
    </row>
    <row r="1226">
      <c r="A1226" t="inlineStr">
        <is>
          <t>chr14</t>
        </is>
      </c>
      <c r="B1226" t="n">
        <v>84176590</v>
      </c>
      <c r="C1226" t="inlineStr">
        <is>
          <t>C</t>
        </is>
      </c>
      <c r="D1226" t="inlineStr">
        <is>
          <t>T</t>
        </is>
      </c>
      <c r="E1226" t="inlineStr">
        <is>
          <t>rs2841157</t>
        </is>
      </c>
      <c r="F1226" t="n">
        <v>-0.0308845016</v>
      </c>
      <c r="G1226" t="n">
        <v>0.317975290980594</v>
      </c>
      <c r="H1226" t="n">
        <v>0.0095895870271555</v>
      </c>
      <c r="I1226" t="n">
        <v>0.6750921003213376</v>
      </c>
      <c r="J1226" t="n">
        <v>0.08655734958430179</v>
      </c>
      <c r="K1226" t="n">
        <v>0.3846227288095092</v>
      </c>
      <c r="L1226" t="b">
        <v>0</v>
      </c>
      <c r="M1226" t="b">
        <v>0</v>
      </c>
      <c r="N1226" t="inlineStr">
        <is>
          <t>ref</t>
        </is>
      </c>
      <c r="O1226" t="n">
        <v>-25</v>
      </c>
      <c r="P1226" t="n">
        <v>0.006676</v>
      </c>
      <c r="Q1226" t="n">
        <v>-30</v>
      </c>
      <c r="R1226" t="n">
        <v>0.0359</v>
      </c>
      <c r="S1226">
        <f>IMAGE("https://mitra.stanford.edu/kundaje/oak/projects/neuro-variants/variant_position/credible/roussos_2024/variant_figures/roussos_2024.childhood.GABA/rs2841157_count_position.png",4,220,900)</f>
        <v/>
      </c>
      <c r="T1226">
        <f>IMAGE("https://mitra.stanford.edu/kundaje/oak/projects/neuro-variants/variant_position/credible/roussos_2024/variant_figures/roussos_2024.childhood.GABA/rs2841157_profile_position.png",4,220,900)</f>
        <v/>
      </c>
    </row>
    <row r="1227">
      <c r="A1227" t="inlineStr">
        <is>
          <t>chr14</t>
        </is>
      </c>
      <c r="B1227" t="n">
        <v>84185848</v>
      </c>
      <c r="C1227" t="inlineStr">
        <is>
          <t>C</t>
        </is>
      </c>
      <c r="D1227" t="inlineStr">
        <is>
          <t>T</t>
        </is>
      </c>
      <c r="E1227" t="inlineStr">
        <is>
          <t>rs995791</t>
        </is>
      </c>
      <c r="F1227" t="n">
        <v>0.095333182</v>
      </c>
      <c r="G1227" t="n">
        <v>0.0359153519538994</v>
      </c>
      <c r="H1227" t="n">
        <v>0.0262621109388379</v>
      </c>
      <c r="I1227" t="n">
        <v>0.0232588567685594</v>
      </c>
      <c r="J1227" t="n">
        <v>0.3813323281187828</v>
      </c>
      <c r="K1227" t="n">
        <v>0.0930009977844749</v>
      </c>
      <c r="L1227" t="b">
        <v>0</v>
      </c>
      <c r="M1227" t="b">
        <v>0</v>
      </c>
      <c r="N1227" t="inlineStr">
        <is>
          <t>alt</t>
        </is>
      </c>
      <c r="O1227" t="n">
        <v>40</v>
      </c>
      <c r="P1227" t="n">
        <v>0.00641</v>
      </c>
      <c r="Q1227" t="n">
        <v>95</v>
      </c>
      <c r="R1227" t="n">
        <v>0.2085</v>
      </c>
      <c r="S1227">
        <f>IMAGE("https://mitra.stanford.edu/kundaje/oak/projects/neuro-variants/variant_position/credible/roussos_2024/variant_figures/roussos_2024.childhood.GABA/rs995791_count_position.png",4,220,900)</f>
        <v/>
      </c>
      <c r="T1227">
        <f>IMAGE("https://mitra.stanford.edu/kundaje/oak/projects/neuro-variants/variant_position/credible/roussos_2024/variant_figures/roussos_2024.childhood.GABA/rs995791_profile_position.png",4,220,900)</f>
        <v/>
      </c>
    </row>
    <row r="1228">
      <c r="A1228" t="inlineStr">
        <is>
          <t>chr14</t>
        </is>
      </c>
      <c r="B1228" t="n">
        <v>84185979</v>
      </c>
      <c r="C1228" t="inlineStr">
        <is>
          <t>G</t>
        </is>
      </c>
      <c r="D1228" t="inlineStr">
        <is>
          <t>A</t>
        </is>
      </c>
      <c r="E1228" t="inlineStr">
        <is>
          <t>rs1157827</t>
        </is>
      </c>
      <c r="F1228" t="n">
        <v>-0.09948029</v>
      </c>
      <c r="G1228" t="n">
        <v>0.0311223046536564</v>
      </c>
      <c r="H1228" t="n">
        <v>0.0141451692826532</v>
      </c>
      <c r="I1228" t="n">
        <v>0.2718399918350384</v>
      </c>
      <c r="J1228" t="n">
        <v>0.274726183744843</v>
      </c>
      <c r="K1228" t="n">
        <v>0.1508670741589693</v>
      </c>
      <c r="L1228" t="b">
        <v>0</v>
      </c>
      <c r="M1228" t="b">
        <v>0</v>
      </c>
      <c r="N1228" t="inlineStr">
        <is>
          <t>ref</t>
        </is>
      </c>
      <c r="O1228" t="n">
        <v>-90</v>
      </c>
      <c r="P1228" t="n">
        <v>0.01416</v>
      </c>
      <c r="Q1228" t="n">
        <v>-20</v>
      </c>
      <c r="R1228" t="n">
        <v>0.05322</v>
      </c>
      <c r="S1228">
        <f>IMAGE("https://mitra.stanford.edu/kundaje/oak/projects/neuro-variants/variant_position/credible/roussos_2024/variant_figures/roussos_2024.childhood.GABA/rs1157827_count_position.png",4,220,900)</f>
        <v/>
      </c>
      <c r="T1228">
        <f>IMAGE("https://mitra.stanford.edu/kundaje/oak/projects/neuro-variants/variant_position/credible/roussos_2024/variant_figures/roussos_2024.childhood.GABA/rs1157827_profile_position.png",4,220,900)</f>
        <v/>
      </c>
    </row>
    <row r="1229">
      <c r="A1229" t="inlineStr">
        <is>
          <t>chr14</t>
        </is>
      </c>
      <c r="B1229" t="n">
        <v>84209066</v>
      </c>
      <c r="C1229" t="inlineStr">
        <is>
          <t>A</t>
        </is>
      </c>
      <c r="D1229" t="inlineStr">
        <is>
          <t>G</t>
        </is>
      </c>
      <c r="E1229" t="inlineStr">
        <is>
          <t>rs67517866</t>
        </is>
      </c>
      <c r="F1229" t="n">
        <v>-0.002331005366</v>
      </c>
      <c r="G1229" t="n">
        <v>0.8553504479766553</v>
      </c>
      <c r="H1229" t="n">
        <v>0.0238254711926566</v>
      </c>
      <c r="I1229" t="n">
        <v>0.0347713605071871</v>
      </c>
      <c r="J1229" t="n">
        <v>0.0495738309145357</v>
      </c>
      <c r="K1229" t="n">
        <v>0.5050126706070058</v>
      </c>
      <c r="L1229" t="b">
        <v>0</v>
      </c>
      <c r="M1229" t="b">
        <v>0</v>
      </c>
      <c r="N1229" t="inlineStr">
        <is>
          <t>ref</t>
        </is>
      </c>
      <c r="O1229" t="n">
        <v>95</v>
      </c>
      <c r="P1229" t="n">
        <v>0.009155</v>
      </c>
      <c r="Q1229" t="n">
        <v>80</v>
      </c>
      <c r="R1229" t="n">
        <v>0.1056</v>
      </c>
      <c r="S1229">
        <f>IMAGE("https://mitra.stanford.edu/kundaje/oak/projects/neuro-variants/variant_position/credible/roussos_2024/variant_figures/roussos_2024.childhood.GABA/rs67517866_count_position.png",4,220,900)</f>
        <v/>
      </c>
      <c r="T1229">
        <f>IMAGE("https://mitra.stanford.edu/kundaje/oak/projects/neuro-variants/variant_position/credible/roussos_2024/variant_figures/roussos_2024.childhood.GABA/rs67517866_profile_position.png",4,220,900)</f>
        <v/>
      </c>
    </row>
    <row r="1230">
      <c r="A1230" t="inlineStr">
        <is>
          <t>chr14</t>
        </is>
      </c>
      <c r="B1230" t="n">
        <v>84209125</v>
      </c>
      <c r="C1230" t="inlineStr">
        <is>
          <t>C</t>
        </is>
      </c>
      <c r="D1230" t="inlineStr">
        <is>
          <t>T</t>
        </is>
      </c>
      <c r="E1230" t="inlineStr">
        <is>
          <t>rs28637508</t>
        </is>
      </c>
      <c r="F1230" t="n">
        <v>-0.0293254606</v>
      </c>
      <c r="G1230" t="n">
        <v>0.30159774598224</v>
      </c>
      <c r="H1230" t="n">
        <v>0.0200280398429413</v>
      </c>
      <c r="I1230" t="n">
        <v>0.0767054669372058</v>
      </c>
      <c r="J1230" t="n">
        <v>0.0388138468304328</v>
      </c>
      <c r="K1230" t="n">
        <v>0.5499335600351073</v>
      </c>
      <c r="L1230" t="b">
        <v>0</v>
      </c>
      <c r="M1230" t="b">
        <v>0</v>
      </c>
      <c r="N1230" t="inlineStr">
        <is>
          <t>ref</t>
        </is>
      </c>
      <c r="O1230" t="n">
        <v>35</v>
      </c>
      <c r="P1230" t="n">
        <v>0.00522</v>
      </c>
      <c r="Q1230" t="n">
        <v>20</v>
      </c>
      <c r="R1230" t="n">
        <v>0.05038</v>
      </c>
      <c r="S1230">
        <f>IMAGE("https://mitra.stanford.edu/kundaje/oak/projects/neuro-variants/variant_position/credible/roussos_2024/variant_figures/roussos_2024.childhood.GABA/rs28637508_count_position.png",4,220,900)</f>
        <v/>
      </c>
      <c r="T1230">
        <f>IMAGE("https://mitra.stanford.edu/kundaje/oak/projects/neuro-variants/variant_position/credible/roussos_2024/variant_figures/roussos_2024.childhood.GABA/rs28637508_profile_position.png",4,220,900)</f>
        <v/>
      </c>
    </row>
    <row r="1231">
      <c r="A1231" t="inlineStr">
        <is>
          <t>chr14</t>
        </is>
      </c>
      <c r="B1231" t="n">
        <v>84211361</v>
      </c>
      <c r="C1231" t="inlineStr">
        <is>
          <t>C</t>
        </is>
      </c>
      <c r="D1231" t="inlineStr">
        <is>
          <t>A</t>
        </is>
      </c>
      <c r="E1231" t="inlineStr">
        <is>
          <t>rs7145105</t>
        </is>
      </c>
      <c r="F1231" t="n">
        <v>0.00123805856</v>
      </c>
      <c r="G1231" t="n">
        <v>0.8023082326064122</v>
      </c>
      <c r="H1231" t="n">
        <v>0.0406000923861526</v>
      </c>
      <c r="I1231" t="n">
        <v>0.0037046054108623</v>
      </c>
      <c r="J1231" t="n">
        <v>0.0114615400724591</v>
      </c>
      <c r="K1231" t="n">
        <v>0.7269437175245899</v>
      </c>
      <c r="L1231" t="b">
        <v>1</v>
      </c>
      <c r="M1231" t="b">
        <v>0</v>
      </c>
      <c r="N1231" t="inlineStr">
        <is>
          <t>alt</t>
        </is>
      </c>
      <c r="O1231" t="n">
        <v>5</v>
      </c>
      <c r="P1231" t="n">
        <v>0.0006104</v>
      </c>
      <c r="Q1231" t="n">
        <v>-80</v>
      </c>
      <c r="R1231" t="n">
        <v>0.0854</v>
      </c>
      <c r="S1231">
        <f>IMAGE("https://mitra.stanford.edu/kundaje/oak/projects/neuro-variants/variant_position/credible/roussos_2024/variant_figures/roussos_2024.childhood.GABA/rs7145105_count_position.png",4,220,900)</f>
        <v/>
      </c>
      <c r="T1231">
        <f>IMAGE("https://mitra.stanford.edu/kundaje/oak/projects/neuro-variants/variant_position/credible/roussos_2024/variant_figures/roussos_2024.childhood.GABA/rs7145105_profile_position.png",4,220,900)</f>
        <v/>
      </c>
    </row>
    <row r="1232">
      <c r="A1232" t="inlineStr">
        <is>
          <t>chr14</t>
        </is>
      </c>
      <c r="B1232" t="n">
        <v>84218958</v>
      </c>
      <c r="C1232" t="inlineStr">
        <is>
          <t>A</t>
        </is>
      </c>
      <c r="D1232" t="inlineStr">
        <is>
          <t>C</t>
        </is>
      </c>
      <c r="E1232" t="inlineStr">
        <is>
          <t>rs12717596</t>
        </is>
      </c>
      <c r="F1232" t="n">
        <v>0.0151643860199999</v>
      </c>
      <c r="G1232" t="n">
        <v>0.4964292715042864</v>
      </c>
      <c r="H1232" t="n">
        <v>0.0067511778978586</v>
      </c>
      <c r="I1232" t="n">
        <v>0.9571778307826204</v>
      </c>
      <c r="J1232" t="n">
        <v>0.054964293941488</v>
      </c>
      <c r="K1232" t="n">
        <v>0.4778630427927889</v>
      </c>
      <c r="L1232" t="b">
        <v>0</v>
      </c>
      <c r="M1232" t="b">
        <v>0</v>
      </c>
      <c r="N1232" t="inlineStr">
        <is>
          <t>alt</t>
        </is>
      </c>
      <c r="O1232" t="n">
        <v>-90</v>
      </c>
      <c r="P1232" t="n">
        <v>0.006687</v>
      </c>
      <c r="Q1232" t="n">
        <v>65</v>
      </c>
      <c r="R1232" t="n">
        <v>0.0712</v>
      </c>
      <c r="S1232">
        <f>IMAGE("https://mitra.stanford.edu/kundaje/oak/projects/neuro-variants/variant_position/credible/roussos_2024/variant_figures/roussos_2024.childhood.GABA/rs12717596_count_position.png",4,220,900)</f>
        <v/>
      </c>
      <c r="T1232">
        <f>IMAGE("https://mitra.stanford.edu/kundaje/oak/projects/neuro-variants/variant_position/credible/roussos_2024/variant_figures/roussos_2024.childhood.GABA/rs12717596_profile_position.png",4,220,900)</f>
        <v/>
      </c>
    </row>
    <row r="1233">
      <c r="A1233" t="inlineStr">
        <is>
          <t>chr14</t>
        </is>
      </c>
      <c r="B1233" t="n">
        <v>84221664</v>
      </c>
      <c r="C1233" t="inlineStr">
        <is>
          <t>C</t>
        </is>
      </c>
      <c r="D1233" t="inlineStr">
        <is>
          <t>T</t>
        </is>
      </c>
      <c r="E1233" t="inlineStr">
        <is>
          <t>rs7148526</t>
        </is>
      </c>
      <c r="F1233" t="n">
        <v>-0.1011459908</v>
      </c>
      <c r="G1233" t="n">
        <v>0.0352596231643078</v>
      </c>
      <c r="H1233" t="n">
        <v>0.0191723752160263</v>
      </c>
      <c r="I1233" t="n">
        <v>0.0927447911588489</v>
      </c>
      <c r="J1233" t="n">
        <v>0.0633714477183723</v>
      </c>
      <c r="K1233" t="n">
        <v>0.4697938649111264</v>
      </c>
      <c r="L1233" t="b">
        <v>0</v>
      </c>
      <c r="M1233" t="b">
        <v>0</v>
      </c>
      <c r="N1233" t="inlineStr">
        <is>
          <t>ref</t>
        </is>
      </c>
      <c r="O1233" t="n">
        <v>90</v>
      </c>
      <c r="P1233" t="n">
        <v>0.00419</v>
      </c>
      <c r="Q1233" t="n">
        <v>20</v>
      </c>
      <c r="R1233" t="n">
        <v>0.02905</v>
      </c>
      <c r="S1233">
        <f>IMAGE("https://mitra.stanford.edu/kundaje/oak/projects/neuro-variants/variant_position/credible/roussos_2024/variant_figures/roussos_2024.childhood.GABA/rs7148526_count_position.png",4,220,900)</f>
        <v/>
      </c>
      <c r="T1233">
        <f>IMAGE("https://mitra.stanford.edu/kundaje/oak/projects/neuro-variants/variant_position/credible/roussos_2024/variant_figures/roussos_2024.childhood.GABA/rs7148526_profile_position.png",4,220,900)</f>
        <v/>
      </c>
    </row>
    <row r="1234">
      <c r="A1234" t="inlineStr">
        <is>
          <t>chr14</t>
        </is>
      </c>
      <c r="B1234" t="n">
        <v>84225088</v>
      </c>
      <c r="C1234" t="inlineStr">
        <is>
          <t>T</t>
        </is>
      </c>
      <c r="D1234" t="inlineStr">
        <is>
          <t>C</t>
        </is>
      </c>
      <c r="E1234" t="inlineStr">
        <is>
          <t>rs3001377</t>
        </is>
      </c>
      <c r="F1234" t="n">
        <v>-0.009650249959999999</v>
      </c>
      <c r="G1234" t="n">
        <v>0.5443531152270802</v>
      </c>
      <c r="H1234" t="n">
        <v>0.0262299260254309</v>
      </c>
      <c r="I1234" t="n">
        <v>0.0234848729377674</v>
      </c>
      <c r="J1234" t="n">
        <v>0.0064532679943875</v>
      </c>
      <c r="K1234" t="n">
        <v>0.7946862195062081</v>
      </c>
      <c r="L1234" t="b">
        <v>0</v>
      </c>
      <c r="M1234" t="b">
        <v>0</v>
      </c>
      <c r="N1234" t="inlineStr">
        <is>
          <t>ref</t>
        </is>
      </c>
      <c r="O1234" t="n">
        <v>-35</v>
      </c>
      <c r="P1234" t="n">
        <v>0.0327</v>
      </c>
      <c r="Q1234" t="n">
        <v>-90</v>
      </c>
      <c r="R1234" t="n">
        <v>0.01677</v>
      </c>
      <c r="S1234">
        <f>IMAGE("https://mitra.stanford.edu/kundaje/oak/projects/neuro-variants/variant_position/credible/roussos_2024/variant_figures/roussos_2024.childhood.GABA/rs3001377_count_position.png",4,220,900)</f>
        <v/>
      </c>
      <c r="T1234">
        <f>IMAGE("https://mitra.stanford.edu/kundaje/oak/projects/neuro-variants/variant_position/credible/roussos_2024/variant_figures/roussos_2024.childhood.GABA/rs3001377_profile_position.png",4,220,900)</f>
        <v/>
      </c>
    </row>
    <row r="1235">
      <c r="A1235" t="inlineStr">
        <is>
          <t>chr14</t>
        </is>
      </c>
      <c r="B1235" t="n">
        <v>84225401</v>
      </c>
      <c r="C1235" t="inlineStr">
        <is>
          <t>G</t>
        </is>
      </c>
      <c r="D1235" t="inlineStr">
        <is>
          <t>A</t>
        </is>
      </c>
      <c r="E1235" t="inlineStr">
        <is>
          <t>rs77782646</t>
        </is>
      </c>
      <c r="F1235" t="n">
        <v>-0.165048059</v>
      </c>
      <c r="G1235" t="n">
        <v>0.00859552756462</v>
      </c>
      <c r="H1235" t="n">
        <v>0.0283095576808881</v>
      </c>
      <c r="I1235" t="n">
        <v>0.0165852382972105</v>
      </c>
      <c r="J1235" t="n">
        <v>0.0067684446399027</v>
      </c>
      <c r="K1235" t="n">
        <v>0.7977138105971671</v>
      </c>
      <c r="L1235" t="b">
        <v>1</v>
      </c>
      <c r="M1235" t="b">
        <v>1</v>
      </c>
      <c r="N1235" t="inlineStr">
        <is>
          <t>ref</t>
        </is>
      </c>
      <c r="O1235" t="n">
        <v>-30</v>
      </c>
      <c r="P1235" t="n">
        <v>0.002499</v>
      </c>
      <c r="Q1235" t="n">
        <v>30</v>
      </c>
      <c r="R1235" t="n">
        <v>0.0393</v>
      </c>
      <c r="S1235">
        <f>IMAGE("https://mitra.stanford.edu/kundaje/oak/projects/neuro-variants/variant_position/credible/roussos_2024/variant_figures/roussos_2024.childhood.GABA/rs77782646_count_position.png",4,220,900)</f>
        <v/>
      </c>
      <c r="T1235">
        <f>IMAGE("https://mitra.stanford.edu/kundaje/oak/projects/neuro-variants/variant_position/credible/roussos_2024/variant_figures/roussos_2024.childhood.GABA/rs77782646_profile_position.png",4,220,900)</f>
        <v/>
      </c>
    </row>
    <row r="1236">
      <c r="A1236" t="inlineStr">
        <is>
          <t>chr14</t>
        </is>
      </c>
      <c r="B1236" t="n">
        <v>84225694</v>
      </c>
      <c r="C1236" t="inlineStr">
        <is>
          <t>T</t>
        </is>
      </c>
      <c r="D1236" t="inlineStr">
        <is>
          <t>G</t>
        </is>
      </c>
      <c r="E1236" t="inlineStr">
        <is>
          <t>rs8004742</t>
        </is>
      </c>
      <c r="F1236" t="n">
        <v>-0.01104568986</v>
      </c>
      <c r="G1236" t="n">
        <v>0.631661060770526</v>
      </c>
      <c r="H1236" t="n">
        <v>0.0229633453424633</v>
      </c>
      <c r="I1236" t="n">
        <v>0.0413247534594659</v>
      </c>
      <c r="J1236" t="n">
        <v>0.0077391049402106</v>
      </c>
      <c r="K1236" t="n">
        <v>0.7831147952590416</v>
      </c>
      <c r="L1236" t="b">
        <v>0</v>
      </c>
      <c r="M1236" t="b">
        <v>0</v>
      </c>
      <c r="N1236" t="inlineStr">
        <is>
          <t>ref</t>
        </is>
      </c>
      <c r="O1236" t="n">
        <v>90</v>
      </c>
      <c r="P1236" t="n">
        <v>0.01273</v>
      </c>
      <c r="Q1236" t="n">
        <v>-90</v>
      </c>
      <c r="R1236" t="n">
        <v>0.1696</v>
      </c>
      <c r="S1236">
        <f>IMAGE("https://mitra.stanford.edu/kundaje/oak/projects/neuro-variants/variant_position/credible/roussos_2024/variant_figures/roussos_2024.childhood.GABA/rs8004742_count_position.png",4,220,900)</f>
        <v/>
      </c>
      <c r="T1236">
        <f>IMAGE("https://mitra.stanford.edu/kundaje/oak/projects/neuro-variants/variant_position/credible/roussos_2024/variant_figures/roussos_2024.childhood.GABA/rs8004742_profile_position.png",4,220,900)</f>
        <v/>
      </c>
    </row>
    <row r="1237">
      <c r="A1237" t="inlineStr">
        <is>
          <t>chr14</t>
        </is>
      </c>
      <c r="B1237" t="n">
        <v>84225890</v>
      </c>
      <c r="C1237" t="inlineStr">
        <is>
          <t>A</t>
        </is>
      </c>
      <c r="D1237" t="inlineStr">
        <is>
          <t>G</t>
        </is>
      </c>
      <c r="E1237" t="inlineStr">
        <is>
          <t>rs146120508</t>
        </is>
      </c>
      <c r="F1237" t="n">
        <v>-0.004682244532</v>
      </c>
      <c r="G1237" t="n">
        <v>0.8264776974746728</v>
      </c>
      <c r="H1237" t="n">
        <v>0.0235149668709326</v>
      </c>
      <c r="I1237" t="n">
        <v>0.0393702782015152</v>
      </c>
      <c r="J1237" t="n">
        <v>0.0154729743879708</v>
      </c>
      <c r="K1237" t="n">
        <v>0.6937472218177806</v>
      </c>
      <c r="L1237" t="b">
        <v>0</v>
      </c>
      <c r="M1237" t="b">
        <v>0</v>
      </c>
      <c r="N1237" t="inlineStr">
        <is>
          <t>ref</t>
        </is>
      </c>
      <c r="O1237" t="n">
        <v>-100</v>
      </c>
      <c r="P1237" t="n">
        <v>0.0064</v>
      </c>
      <c r="Q1237" t="n">
        <v>-85</v>
      </c>
      <c r="R1237" t="n">
        <v>0.0876</v>
      </c>
      <c r="S1237">
        <f>IMAGE("https://mitra.stanford.edu/kundaje/oak/projects/neuro-variants/variant_position/credible/roussos_2024/variant_figures/roussos_2024.childhood.GABA/rs146120508_count_position.png",4,220,900)</f>
        <v/>
      </c>
      <c r="T1237">
        <f>IMAGE("https://mitra.stanford.edu/kundaje/oak/projects/neuro-variants/variant_position/credible/roussos_2024/variant_figures/roussos_2024.childhood.GABA/rs146120508_profile_position.png",4,220,900)</f>
        <v/>
      </c>
    </row>
    <row r="1238">
      <c r="A1238" t="inlineStr">
        <is>
          <t>chr14</t>
        </is>
      </c>
      <c r="B1238" t="n">
        <v>84226209</v>
      </c>
      <c r="C1238" t="inlineStr">
        <is>
          <t>G</t>
        </is>
      </c>
      <c r="D1238" t="inlineStr">
        <is>
          <t>T</t>
        </is>
      </c>
      <c r="E1238" t="inlineStr">
        <is>
          <t>rs8004689</t>
        </is>
      </c>
      <c r="F1238" t="n">
        <v>-0.0034286716999999</v>
      </c>
      <c r="G1238" t="n">
        <v>0.7519975971835664</v>
      </c>
      <c r="H1238" t="n">
        <v>0.0208702404418619</v>
      </c>
      <c r="I1238" t="n">
        <v>0.0636477668266416</v>
      </c>
      <c r="J1238" t="n">
        <v>0.0424765973487465</v>
      </c>
      <c r="K1238" t="n">
        <v>0.5258299746334788</v>
      </c>
      <c r="L1238" t="b">
        <v>0</v>
      </c>
      <c r="M1238" t="b">
        <v>0</v>
      </c>
      <c r="N1238" t="inlineStr">
        <is>
          <t>ref</t>
        </is>
      </c>
      <c r="O1238" t="n">
        <v>100</v>
      </c>
      <c r="P1238" t="n">
        <v>0.0692</v>
      </c>
      <c r="Q1238" t="n">
        <v>100</v>
      </c>
      <c r="R1238" t="n">
        <v>0.476</v>
      </c>
      <c r="S1238">
        <f>IMAGE("https://mitra.stanford.edu/kundaje/oak/projects/neuro-variants/variant_position/credible/roussos_2024/variant_figures/roussos_2024.childhood.GABA/rs8004689_count_position.png",4,220,900)</f>
        <v/>
      </c>
      <c r="T1238">
        <f>IMAGE("https://mitra.stanford.edu/kundaje/oak/projects/neuro-variants/variant_position/credible/roussos_2024/variant_figures/roussos_2024.childhood.GABA/rs8004689_profile_position.png",4,220,900)</f>
        <v/>
      </c>
    </row>
    <row r="1239">
      <c r="A1239" t="inlineStr">
        <is>
          <t>chr14</t>
        </is>
      </c>
      <c r="B1239" t="n">
        <v>84226409</v>
      </c>
      <c r="C1239" t="inlineStr">
        <is>
          <t>A</t>
        </is>
      </c>
      <c r="D1239" t="inlineStr">
        <is>
          <t>G</t>
        </is>
      </c>
      <c r="E1239" t="inlineStr">
        <is>
          <t>rs184858889</t>
        </is>
      </c>
      <c r="F1239" t="n">
        <v>0.0211978683</v>
      </c>
      <c r="G1239" t="n">
        <v>0.3909786935180354</v>
      </c>
      <c r="H1239" t="n">
        <v>0.0230272989895602</v>
      </c>
      <c r="I1239" t="n">
        <v>0.0405151634089659</v>
      </c>
      <c r="J1239" t="n">
        <v>0.08902954911939009</v>
      </c>
      <c r="K1239" t="n">
        <v>0.3793599224873343</v>
      </c>
      <c r="L1239" t="b">
        <v>0</v>
      </c>
      <c r="M1239" t="b">
        <v>0</v>
      </c>
      <c r="N1239" t="inlineStr">
        <is>
          <t>alt</t>
        </is>
      </c>
      <c r="O1239" t="n">
        <v>65</v>
      </c>
      <c r="P1239" t="n">
        <v>0.003174</v>
      </c>
      <c r="Q1239" t="n">
        <v>10</v>
      </c>
      <c r="R1239" t="n">
        <v>0.01904</v>
      </c>
      <c r="S1239">
        <f>IMAGE("https://mitra.stanford.edu/kundaje/oak/projects/neuro-variants/variant_position/credible/roussos_2024/variant_figures/roussos_2024.childhood.GABA/rs184858889_count_position.png",4,220,900)</f>
        <v/>
      </c>
      <c r="T1239">
        <f>IMAGE("https://mitra.stanford.edu/kundaje/oak/projects/neuro-variants/variant_position/credible/roussos_2024/variant_figures/roussos_2024.childhood.GABA/rs184858889_profile_position.png",4,220,900)</f>
        <v/>
      </c>
    </row>
    <row r="1240">
      <c r="A1240" t="inlineStr">
        <is>
          <t>chr14</t>
        </is>
      </c>
      <c r="B1240" t="n">
        <v>84227306</v>
      </c>
      <c r="C1240" t="inlineStr">
        <is>
          <t>T</t>
        </is>
      </c>
      <c r="D1240" t="inlineStr">
        <is>
          <t>G</t>
        </is>
      </c>
      <c r="E1240" t="inlineStr">
        <is>
          <t>rs4144366</t>
        </is>
      </c>
      <c r="F1240" t="n">
        <v>0.15419781</v>
      </c>
      <c r="G1240" t="n">
        <v>0.0093195498226703</v>
      </c>
      <c r="H1240" t="n">
        <v>0.023859281806337</v>
      </c>
      <c r="I1240" t="n">
        <v>0.0398485183055817</v>
      </c>
      <c r="J1240" t="n">
        <v>0.0651577977424556</v>
      </c>
      <c r="K1240" t="n">
        <v>0.4377085963129757</v>
      </c>
      <c r="L1240" t="b">
        <v>1</v>
      </c>
      <c r="M1240" t="b">
        <v>1</v>
      </c>
      <c r="N1240" t="inlineStr">
        <is>
          <t>alt</t>
        </is>
      </c>
      <c r="O1240" t="n">
        <v>-55</v>
      </c>
      <c r="P1240" t="n">
        <v>0.01122</v>
      </c>
      <c r="Q1240" t="n">
        <v>-100</v>
      </c>
      <c r="R1240" t="n">
        <v>0.01874</v>
      </c>
      <c r="S1240">
        <f>IMAGE("https://mitra.stanford.edu/kundaje/oak/projects/neuro-variants/variant_position/credible/roussos_2024/variant_figures/roussos_2024.childhood.GABA/rs4144366_count_position.png",4,220,900)</f>
        <v/>
      </c>
      <c r="T1240">
        <f>IMAGE("https://mitra.stanford.edu/kundaje/oak/projects/neuro-variants/variant_position/credible/roussos_2024/variant_figures/roussos_2024.childhood.GABA/rs4144366_profile_position.png",4,220,900)</f>
        <v/>
      </c>
    </row>
    <row r="1241">
      <c r="A1241" t="inlineStr">
        <is>
          <t>chr14</t>
        </is>
      </c>
      <c r="B1241" t="n">
        <v>84228495</v>
      </c>
      <c r="C1241" t="inlineStr">
        <is>
          <t>A</t>
        </is>
      </c>
      <c r="D1241" t="inlineStr">
        <is>
          <t>G</t>
        </is>
      </c>
      <c r="E1241" t="inlineStr">
        <is>
          <t>rs186989036</t>
        </is>
      </c>
      <c r="F1241" t="n">
        <v>-0.01969234868</v>
      </c>
      <c r="G1241" t="n">
        <v>0.4493601449546303</v>
      </c>
      <c r="H1241" t="n">
        <v>0.0183672677250377</v>
      </c>
      <c r="I1241" t="n">
        <v>0.1053411466076703</v>
      </c>
      <c r="J1241" t="n">
        <v>0.035687210739042</v>
      </c>
      <c r="K1241" t="n">
        <v>0.545756547031615</v>
      </c>
      <c r="L1241" t="b">
        <v>0</v>
      </c>
      <c r="M1241" t="b">
        <v>0</v>
      </c>
      <c r="N1241" t="inlineStr">
        <is>
          <t>ref</t>
        </is>
      </c>
      <c r="O1241" t="n">
        <v>-100</v>
      </c>
      <c r="P1241" t="n">
        <v>0.00354</v>
      </c>
      <c r="Q1241" t="n">
        <v>-55</v>
      </c>
      <c r="R1241" t="n">
        <v>0.04257</v>
      </c>
      <c r="S1241">
        <f>IMAGE("https://mitra.stanford.edu/kundaje/oak/projects/neuro-variants/variant_position/credible/roussos_2024/variant_figures/roussos_2024.childhood.GABA/rs186989036_count_position.png",4,220,900)</f>
        <v/>
      </c>
      <c r="T1241">
        <f>IMAGE("https://mitra.stanford.edu/kundaje/oak/projects/neuro-variants/variant_position/credible/roussos_2024/variant_figures/roussos_2024.childhood.GABA/rs186989036_profile_position.png",4,220,900)</f>
        <v/>
      </c>
    </row>
    <row r="1242">
      <c r="A1242" t="inlineStr">
        <is>
          <t>chr14</t>
        </is>
      </c>
      <c r="B1242" t="n">
        <v>84453509</v>
      </c>
      <c r="C1242" t="inlineStr">
        <is>
          <t>A</t>
        </is>
      </c>
      <c r="D1242" t="inlineStr">
        <is>
          <t>G</t>
        </is>
      </c>
      <c r="E1242" t="inlineStr">
        <is>
          <t>rs67378160</t>
        </is>
      </c>
      <c r="F1242" t="n">
        <v>-0.08781124279999999</v>
      </c>
      <c r="G1242" t="n">
        <v>0.0476824771985089</v>
      </c>
      <c r="H1242" t="n">
        <v>0.0245067084659778</v>
      </c>
      <c r="I1242" t="n">
        <v>0.0321783022414593</v>
      </c>
      <c r="J1242" t="n">
        <v>0.1740047328851751</v>
      </c>
      <c r="K1242" t="n">
        <v>0.2409404344198468</v>
      </c>
      <c r="L1242" t="b">
        <v>0</v>
      </c>
      <c r="M1242" t="b">
        <v>0</v>
      </c>
      <c r="N1242" t="inlineStr">
        <is>
          <t>ref</t>
        </is>
      </c>
      <c r="O1242" t="n">
        <v>100</v>
      </c>
      <c r="P1242" t="n">
        <v>0.0419</v>
      </c>
      <c r="Q1242" t="n">
        <v>100</v>
      </c>
      <c r="R1242" t="n">
        <v>0.1947</v>
      </c>
      <c r="S1242">
        <f>IMAGE("https://mitra.stanford.edu/kundaje/oak/projects/neuro-variants/variant_position/credible/roussos_2024/variant_figures/roussos_2024.childhood.GABA/rs67378160_count_position.png",4,220,900)</f>
        <v/>
      </c>
      <c r="T1242">
        <f>IMAGE("https://mitra.stanford.edu/kundaje/oak/projects/neuro-variants/variant_position/credible/roussos_2024/variant_figures/roussos_2024.childhood.GABA/rs67378160_profile_position.png",4,220,900)</f>
        <v/>
      </c>
    </row>
    <row r="1243">
      <c r="A1243" t="inlineStr">
        <is>
          <t>chr14</t>
        </is>
      </c>
      <c r="B1243" t="n">
        <v>93274787</v>
      </c>
      <c r="C1243" t="inlineStr">
        <is>
          <t>A</t>
        </is>
      </c>
      <c r="D1243" t="inlineStr">
        <is>
          <t>C</t>
        </is>
      </c>
      <c r="E1243" t="inlineStr">
        <is>
          <t>rs7146851</t>
        </is>
      </c>
      <c r="F1243" t="n">
        <v>0.0125379682999999</v>
      </c>
      <c r="G1243" t="n">
        <v>0.5439106204833146</v>
      </c>
      <c r="H1243" t="n">
        <v>0.0172157117783056</v>
      </c>
      <c r="I1243" t="n">
        <v>0.1362479152846571</v>
      </c>
      <c r="J1243" t="n">
        <v>0.012419635190886</v>
      </c>
      <c r="K1243" t="n">
        <v>0.7123522326674853</v>
      </c>
      <c r="L1243" t="b">
        <v>0</v>
      </c>
      <c r="M1243" t="b">
        <v>0</v>
      </c>
      <c r="N1243" t="inlineStr">
        <is>
          <t>alt</t>
        </is>
      </c>
      <c r="O1243" t="n">
        <v>-5</v>
      </c>
      <c r="P1243" t="n">
        <v>0.001205</v>
      </c>
      <c r="Q1243" t="n">
        <v>-50</v>
      </c>
      <c r="R1243" t="n">
        <v>0.08484</v>
      </c>
      <c r="S1243">
        <f>IMAGE("https://mitra.stanford.edu/kundaje/oak/projects/neuro-variants/variant_position/credible/roussos_2024/variant_figures/roussos_2024.childhood.GABA/rs7146851_count_position.png",4,220,900)</f>
        <v/>
      </c>
      <c r="T1243">
        <f>IMAGE("https://mitra.stanford.edu/kundaje/oak/projects/neuro-variants/variant_position/credible/roussos_2024/variant_figures/roussos_2024.childhood.GABA/rs7146851_profile_position.png",4,220,900)</f>
        <v/>
      </c>
    </row>
    <row r="1244">
      <c r="A1244" t="inlineStr">
        <is>
          <t>chr14</t>
        </is>
      </c>
      <c r="B1244" t="n">
        <v>93353198</v>
      </c>
      <c r="C1244" t="inlineStr">
        <is>
          <t>C</t>
        </is>
      </c>
      <c r="D1244" t="inlineStr">
        <is>
          <t>T</t>
        </is>
      </c>
      <c r="E1244" t="inlineStr">
        <is>
          <t>rs17129021</t>
        </is>
      </c>
      <c r="F1244" t="n">
        <v>0.0076764756019999</v>
      </c>
      <c r="G1244" t="n">
        <v>0.6951832408089123</v>
      </c>
      <c r="H1244" t="n">
        <v>0.0247096604987017</v>
      </c>
      <c r="I1244" t="n">
        <v>0.0302598988279041</v>
      </c>
      <c r="J1244" t="n">
        <v>0.0032700885845322</v>
      </c>
      <c r="K1244" t="n">
        <v>0.8505967478197374</v>
      </c>
      <c r="L1244" t="b">
        <v>0</v>
      </c>
      <c r="M1244" t="b">
        <v>0</v>
      </c>
      <c r="N1244" t="inlineStr">
        <is>
          <t>alt</t>
        </is>
      </c>
      <c r="O1244" t="n">
        <v>45</v>
      </c>
      <c r="P1244" t="n">
        <v>0.001465</v>
      </c>
      <c r="Q1244" t="n">
        <v>-25</v>
      </c>
      <c r="R1244" t="n">
        <v>0.0818</v>
      </c>
      <c r="S1244">
        <f>IMAGE("https://mitra.stanford.edu/kundaje/oak/projects/neuro-variants/variant_position/credible/roussos_2024/variant_figures/roussos_2024.childhood.GABA/rs17129021_count_position.png",4,220,900)</f>
        <v/>
      </c>
      <c r="T1244">
        <f>IMAGE("https://mitra.stanford.edu/kundaje/oak/projects/neuro-variants/variant_position/credible/roussos_2024/variant_figures/roussos_2024.childhood.GABA/rs17129021_profile_position.png",4,220,900)</f>
        <v/>
      </c>
    </row>
    <row r="1245">
      <c r="A1245" t="inlineStr">
        <is>
          <t>chr14</t>
        </is>
      </c>
      <c r="B1245" t="n">
        <v>93557014</v>
      </c>
      <c r="C1245" t="inlineStr">
        <is>
          <t>G</t>
        </is>
      </c>
      <c r="D1245" t="inlineStr">
        <is>
          <t>T</t>
        </is>
      </c>
      <c r="E1245" t="inlineStr">
        <is>
          <t>rs12591010</t>
        </is>
      </c>
      <c r="F1245" t="n">
        <v>0.009869589240000001</v>
      </c>
      <c r="G1245" t="n">
        <v>0.6495035337782246</v>
      </c>
      <c r="H1245" t="n">
        <v>0.0069135728651029</v>
      </c>
      <c r="I1245" t="n">
        <v>0.9336221577868732</v>
      </c>
      <c r="J1245" t="n">
        <v>0.0286287198173859</v>
      </c>
      <c r="K1245" t="n">
        <v>0.5963154862734322</v>
      </c>
      <c r="L1245" t="b">
        <v>0</v>
      </c>
      <c r="M1245" t="b">
        <v>0</v>
      </c>
      <c r="N1245" t="inlineStr">
        <is>
          <t>alt</t>
        </is>
      </c>
      <c r="O1245" t="n">
        <v>60</v>
      </c>
      <c r="P1245" t="n">
        <v>0.006897</v>
      </c>
      <c r="Q1245" t="n">
        <v>-80</v>
      </c>
      <c r="R1245" t="n">
        <v>0.02695</v>
      </c>
      <c r="S1245">
        <f>IMAGE("https://mitra.stanford.edu/kundaje/oak/projects/neuro-variants/variant_position/credible/roussos_2024/variant_figures/roussos_2024.childhood.GABA/rs12591010_count_position.png",4,220,900)</f>
        <v/>
      </c>
      <c r="T1245">
        <f>IMAGE("https://mitra.stanford.edu/kundaje/oak/projects/neuro-variants/variant_position/credible/roussos_2024/variant_figures/roussos_2024.childhood.GABA/rs12591010_profile_position.png",4,220,900)</f>
        <v/>
      </c>
    </row>
    <row r="1246">
      <c r="A1246" t="inlineStr">
        <is>
          <t>chr14</t>
        </is>
      </c>
      <c r="B1246" t="n">
        <v>93565719</v>
      </c>
      <c r="C1246" t="inlineStr">
        <is>
          <t>G</t>
        </is>
      </c>
      <c r="D1246" t="inlineStr">
        <is>
          <t>A</t>
        </is>
      </c>
      <c r="E1246" t="inlineStr">
        <is>
          <t>rs942065</t>
        </is>
      </c>
      <c r="F1246" t="n">
        <v>0.00333867866</v>
      </c>
      <c r="G1246" t="n">
        <v>0.5835222633186592</v>
      </c>
      <c r="H1246" t="n">
        <v>0.0089836817818102</v>
      </c>
      <c r="I1246" t="n">
        <v>0.7569165646052501</v>
      </c>
      <c r="J1246" t="n">
        <v>0.1931362693974995</v>
      </c>
      <c r="K1246" t="n">
        <v>0.2243725913495754</v>
      </c>
      <c r="L1246" t="b">
        <v>0</v>
      </c>
      <c r="M1246" t="b">
        <v>0</v>
      </c>
      <c r="N1246" t="inlineStr">
        <is>
          <t>alt</t>
        </is>
      </c>
      <c r="O1246" t="n">
        <v>100</v>
      </c>
      <c r="P1246" t="n">
        <v>0.007053</v>
      </c>
      <c r="Q1246" t="n">
        <v>30</v>
      </c>
      <c r="R1246" t="n">
        <v>0.02309</v>
      </c>
      <c r="S1246">
        <f>IMAGE("https://mitra.stanford.edu/kundaje/oak/projects/neuro-variants/variant_position/credible/roussos_2024/variant_figures/roussos_2024.childhood.GABA/rs942065_count_position.png",4,220,900)</f>
        <v/>
      </c>
      <c r="T1246">
        <f>IMAGE("https://mitra.stanford.edu/kundaje/oak/projects/neuro-variants/variant_position/credible/roussos_2024/variant_figures/roussos_2024.childhood.GABA/rs942065_profile_position.png",4,220,900)</f>
        <v/>
      </c>
    </row>
    <row r="1247">
      <c r="A1247" t="inlineStr">
        <is>
          <t>chr14</t>
        </is>
      </c>
      <c r="B1247" t="n">
        <v>99157759</v>
      </c>
      <c r="C1247" t="inlineStr">
        <is>
          <t>T</t>
        </is>
      </c>
      <c r="D1247" t="inlineStr">
        <is>
          <t>C</t>
        </is>
      </c>
      <c r="E1247" t="inlineStr">
        <is>
          <t>rs947191</t>
        </is>
      </c>
      <c r="F1247" t="n">
        <v>0.099838723</v>
      </c>
      <c r="G1247" t="n">
        <v>0.029396090195464</v>
      </c>
      <c r="H1247" t="n">
        <v>0.0137697802654978</v>
      </c>
      <c r="I1247" t="n">
        <v>0.2925333936171962</v>
      </c>
      <c r="J1247" t="n">
        <v>0.244003266947289</v>
      </c>
      <c r="K1247" t="n">
        <v>0.1817284842056243</v>
      </c>
      <c r="L1247" t="b">
        <v>0</v>
      </c>
      <c r="M1247" t="b">
        <v>0</v>
      </c>
      <c r="N1247" t="inlineStr">
        <is>
          <t>alt</t>
        </is>
      </c>
      <c r="O1247" t="n">
        <v>75</v>
      </c>
      <c r="P1247" t="n">
        <v>0.0002823</v>
      </c>
      <c r="Q1247" t="n">
        <v>15</v>
      </c>
      <c r="R1247" t="n">
        <v>0.0299</v>
      </c>
      <c r="S1247">
        <f>IMAGE("https://mitra.stanford.edu/kundaje/oak/projects/neuro-variants/variant_position/credible/roussos_2024/variant_figures/roussos_2024.childhood.GABA/rs947191_count_position.png",4,220,900)</f>
        <v/>
      </c>
      <c r="T1247">
        <f>IMAGE("https://mitra.stanford.edu/kundaje/oak/projects/neuro-variants/variant_position/credible/roussos_2024/variant_figures/roussos_2024.childhood.GABA/rs947191_profile_position.png",4,220,900)</f>
        <v/>
      </c>
    </row>
    <row r="1248">
      <c r="A1248" t="inlineStr">
        <is>
          <t>chr14</t>
        </is>
      </c>
      <c r="B1248" t="n">
        <v>99220196</v>
      </c>
      <c r="C1248" t="inlineStr">
        <is>
          <t>A</t>
        </is>
      </c>
      <c r="D1248" t="inlineStr">
        <is>
          <t>G</t>
        </is>
      </c>
      <c r="E1248" t="inlineStr">
        <is>
          <t>rs2614457</t>
        </is>
      </c>
      <c r="F1248" t="n">
        <v>0.0425731831999999</v>
      </c>
      <c r="G1248" t="n">
        <v>0.2059895463558042</v>
      </c>
      <c r="H1248" t="n">
        <v>0.0258474330045155</v>
      </c>
      <c r="I1248" t="n">
        <v>0.0245485784875403</v>
      </c>
      <c r="J1248" t="n">
        <v>0.1680509308705576</v>
      </c>
      <c r="K1248" t="n">
        <v>0.2535217157384506</v>
      </c>
      <c r="L1248" t="b">
        <v>0</v>
      </c>
      <c r="M1248" t="b">
        <v>0</v>
      </c>
      <c r="N1248" t="inlineStr">
        <is>
          <t>alt</t>
        </is>
      </c>
      <c r="O1248" t="n">
        <v>-35</v>
      </c>
      <c r="P1248" t="n">
        <v>0.002747</v>
      </c>
      <c r="Q1248" t="n">
        <v>5</v>
      </c>
      <c r="R1248" t="n">
        <v>0.00903</v>
      </c>
      <c r="S1248">
        <f>IMAGE("https://mitra.stanford.edu/kundaje/oak/projects/neuro-variants/variant_position/credible/roussos_2024/variant_figures/roussos_2024.childhood.GABA/rs2614457_count_position.png",4,220,900)</f>
        <v/>
      </c>
      <c r="T1248">
        <f>IMAGE("https://mitra.stanford.edu/kundaje/oak/projects/neuro-variants/variant_position/credible/roussos_2024/variant_figures/roussos_2024.childhood.GABA/rs2614457_profile_position.png",4,220,900)</f>
        <v/>
      </c>
    </row>
    <row r="1249">
      <c r="A1249" t="inlineStr">
        <is>
          <t>chr14</t>
        </is>
      </c>
      <c r="B1249" t="n">
        <v>99220277</v>
      </c>
      <c r="C1249" t="inlineStr">
        <is>
          <t>A</t>
        </is>
      </c>
      <c r="D1249" t="inlineStr">
        <is>
          <t>G</t>
        </is>
      </c>
      <c r="E1249" t="inlineStr">
        <is>
          <t>rs2693695</t>
        </is>
      </c>
      <c r="F1249" t="n">
        <v>0.0303646022999999</v>
      </c>
      <c r="G1249" t="n">
        <v>0.2880498252720314</v>
      </c>
      <c r="H1249" t="n">
        <v>0.0091711360144268</v>
      </c>
      <c r="I1249" t="n">
        <v>0.7314292949583362</v>
      </c>
      <c r="J1249" t="n">
        <v>0.1580961655253293</v>
      </c>
      <c r="K1249" t="n">
        <v>0.2663478678861529</v>
      </c>
      <c r="L1249" t="b">
        <v>0</v>
      </c>
      <c r="M1249" t="b">
        <v>0</v>
      </c>
      <c r="N1249" t="inlineStr">
        <is>
          <t>alt</t>
        </is>
      </c>
      <c r="O1249" t="n">
        <v>50</v>
      </c>
      <c r="P1249" t="n">
        <v>0.006935</v>
      </c>
      <c r="Q1249" t="n">
        <v>-75</v>
      </c>
      <c r="R1249" t="n">
        <v>0.07043000000000001</v>
      </c>
      <c r="S1249">
        <f>IMAGE("https://mitra.stanford.edu/kundaje/oak/projects/neuro-variants/variant_position/credible/roussos_2024/variant_figures/roussos_2024.childhood.GABA/rs2693695_count_position.png",4,220,900)</f>
        <v/>
      </c>
      <c r="T1249">
        <f>IMAGE("https://mitra.stanford.edu/kundaje/oak/projects/neuro-variants/variant_position/credible/roussos_2024/variant_figures/roussos_2024.childhood.GABA/rs2693695_profile_position.png",4,220,900)</f>
        <v/>
      </c>
    </row>
    <row r="1250">
      <c r="A1250" t="inlineStr">
        <is>
          <t>chr14</t>
        </is>
      </c>
      <c r="B1250" t="n">
        <v>99246457</v>
      </c>
      <c r="C1250" t="inlineStr">
        <is>
          <t>C</t>
        </is>
      </c>
      <c r="D1250" t="inlineStr">
        <is>
          <t>T</t>
        </is>
      </c>
      <c r="E1250" t="inlineStr">
        <is>
          <t>rs12895055</t>
        </is>
      </c>
      <c r="F1250" t="n">
        <v>-0.0743576868</v>
      </c>
      <c r="G1250" t="n">
        <v>0.0696975843986463</v>
      </c>
      <c r="H1250" t="n">
        <v>0.0223840037935361</v>
      </c>
      <c r="I1250" t="n">
        <v>0.0528472775041811</v>
      </c>
      <c r="J1250" t="n">
        <v>0.8070532554292058</v>
      </c>
      <c r="K1250" t="n">
        <v>0.0063754730095733</v>
      </c>
      <c r="L1250" t="b">
        <v>0</v>
      </c>
      <c r="M1250" t="b">
        <v>0</v>
      </c>
      <c r="N1250" t="inlineStr">
        <is>
          <t>ref</t>
        </is>
      </c>
      <c r="O1250" t="n">
        <v>100</v>
      </c>
      <c r="P1250" t="n">
        <v>0.005707</v>
      </c>
      <c r="Q1250" t="n">
        <v>-75</v>
      </c>
      <c r="R1250" t="n">
        <v>0.0309</v>
      </c>
      <c r="S1250">
        <f>IMAGE("https://mitra.stanford.edu/kundaje/oak/projects/neuro-variants/variant_position/credible/roussos_2024/variant_figures/roussos_2024.childhood.GABA/rs12895055_count_position.png",4,220,900)</f>
        <v/>
      </c>
      <c r="T1250">
        <f>IMAGE("https://mitra.stanford.edu/kundaje/oak/projects/neuro-variants/variant_position/credible/roussos_2024/variant_figures/roussos_2024.childhood.GABA/rs12895055_profile_position.png",4,220,900)</f>
        <v/>
      </c>
    </row>
    <row r="1251">
      <c r="A1251" t="inlineStr">
        <is>
          <t>chr14</t>
        </is>
      </c>
      <c r="B1251" t="n">
        <v>102833379</v>
      </c>
      <c r="C1251" t="inlineStr">
        <is>
          <t>T</t>
        </is>
      </c>
      <c r="D1251" t="inlineStr">
        <is>
          <t>C</t>
        </is>
      </c>
      <c r="E1251" t="inlineStr">
        <is>
          <t>rs7147531</t>
        </is>
      </c>
      <c r="F1251" t="n">
        <v>0.00385452834</v>
      </c>
      <c r="G1251" t="n">
        <v>0.7645038354210907</v>
      </c>
      <c r="H1251" t="n">
        <v>0.0189450643331067</v>
      </c>
      <c r="I1251" t="n">
        <v>0.0958904782308711</v>
      </c>
      <c r="J1251" t="n">
        <v>0.0572720990136331</v>
      </c>
      <c r="K1251" t="n">
        <v>0.4732254117973104</v>
      </c>
      <c r="L1251" t="b">
        <v>0</v>
      </c>
      <c r="M1251" t="b">
        <v>0</v>
      </c>
      <c r="N1251" t="inlineStr">
        <is>
          <t>alt</t>
        </is>
      </c>
      <c r="O1251" t="n">
        <v>-95</v>
      </c>
      <c r="P1251" t="n">
        <v>0.006203</v>
      </c>
      <c r="Q1251" t="n">
        <v>100</v>
      </c>
      <c r="R1251" t="n">
        <v>0.1334</v>
      </c>
      <c r="S1251">
        <f>IMAGE("https://mitra.stanford.edu/kundaje/oak/projects/neuro-variants/variant_position/credible/roussos_2024/variant_figures/roussos_2024.childhood.GABA/rs7147531_count_position.png",4,220,900)</f>
        <v/>
      </c>
      <c r="T1251">
        <f>IMAGE("https://mitra.stanford.edu/kundaje/oak/projects/neuro-variants/variant_position/credible/roussos_2024/variant_figures/roussos_2024.childhood.GABA/rs7147531_profile_position.png",4,220,900)</f>
        <v/>
      </c>
    </row>
    <row r="1252">
      <c r="A1252" t="inlineStr">
        <is>
          <t>chr14</t>
        </is>
      </c>
      <c r="B1252" t="n">
        <v>102839878</v>
      </c>
      <c r="C1252" t="inlineStr">
        <is>
          <t>G</t>
        </is>
      </c>
      <c r="D1252" t="inlineStr">
        <is>
          <t>A</t>
        </is>
      </c>
      <c r="E1252" t="inlineStr">
        <is>
          <t>rs2403102</t>
        </is>
      </c>
      <c r="F1252" t="n">
        <v>0.0351968384</v>
      </c>
      <c r="G1252" t="n">
        <v>0.2432354348467019</v>
      </c>
      <c r="H1252" t="n">
        <v>0.012202897789713</v>
      </c>
      <c r="I1252" t="n">
        <v>0.3992767662535633</v>
      </c>
      <c r="J1252" t="n">
        <v>0.037744759272057</v>
      </c>
      <c r="K1252" t="n">
        <v>0.547389000598289</v>
      </c>
      <c r="L1252" t="b">
        <v>0</v>
      </c>
      <c r="M1252" t="b">
        <v>0</v>
      </c>
      <c r="N1252" t="inlineStr">
        <is>
          <t>alt</t>
        </is>
      </c>
      <c r="O1252" t="n">
        <v>80</v>
      </c>
      <c r="P1252" t="n">
        <v>0.00298</v>
      </c>
      <c r="Q1252" t="n">
        <v>100</v>
      </c>
      <c r="R1252" t="n">
        <v>0.06335</v>
      </c>
      <c r="S1252">
        <f>IMAGE("https://mitra.stanford.edu/kundaje/oak/projects/neuro-variants/variant_position/credible/roussos_2024/variant_figures/roussos_2024.childhood.GABA/rs2403102_count_position.png",4,220,900)</f>
        <v/>
      </c>
      <c r="T1252">
        <f>IMAGE("https://mitra.stanford.edu/kundaje/oak/projects/neuro-variants/variant_position/credible/roussos_2024/variant_figures/roussos_2024.childhood.GABA/rs2403102_profile_position.png",4,220,900)</f>
        <v/>
      </c>
    </row>
    <row r="1253">
      <c r="A1253" t="inlineStr">
        <is>
          <t>chr14</t>
        </is>
      </c>
      <c r="B1253" t="n">
        <v>102875712</v>
      </c>
      <c r="C1253" t="inlineStr">
        <is>
          <t>T</t>
        </is>
      </c>
      <c r="D1253" t="inlineStr">
        <is>
          <t>C</t>
        </is>
      </c>
      <c r="E1253" t="inlineStr">
        <is>
          <t>rs1131877</t>
        </is>
      </c>
      <c r="F1253" t="n">
        <v>-0.102335631</v>
      </c>
      <c r="G1253" t="n">
        <v>0.0475896029075506</v>
      </c>
      <c r="H1253" t="n">
        <v>0.033707695586852</v>
      </c>
      <c r="I1253" t="n">
        <v>0.0175589087664663</v>
      </c>
      <c r="J1253" t="n">
        <v>0.1655159054260643</v>
      </c>
      <c r="K1253" t="n">
        <v>0.247406580008011</v>
      </c>
      <c r="L1253" t="b">
        <v>1</v>
      </c>
      <c r="M1253" t="b">
        <v>0</v>
      </c>
      <c r="N1253" t="inlineStr">
        <is>
          <t>ref</t>
        </is>
      </c>
      <c r="O1253" t="n">
        <v>-95</v>
      </c>
      <c r="P1253" t="n">
        <v>0.00432</v>
      </c>
      <c r="Q1253" t="n">
        <v>75</v>
      </c>
      <c r="R1253" t="n">
        <v>0.1079</v>
      </c>
      <c r="S1253">
        <f>IMAGE("https://mitra.stanford.edu/kundaje/oak/projects/neuro-variants/variant_position/credible/roussos_2024/variant_figures/roussos_2024.childhood.GABA/rs1131877_count_position.png",4,220,900)</f>
        <v/>
      </c>
      <c r="T1253">
        <f>IMAGE("https://mitra.stanford.edu/kundaje/oak/projects/neuro-variants/variant_position/credible/roussos_2024/variant_figures/roussos_2024.childhood.GABA/rs1131877_profile_position.png",4,220,900)</f>
        <v/>
      </c>
    </row>
    <row r="1254">
      <c r="A1254" t="inlineStr">
        <is>
          <t>chr14</t>
        </is>
      </c>
      <c r="B1254" t="n">
        <v>103303151</v>
      </c>
      <c r="C1254" t="inlineStr">
        <is>
          <t>C</t>
        </is>
      </c>
      <c r="D1254" t="inlineStr">
        <is>
          <t>G</t>
        </is>
      </c>
      <c r="E1254" t="inlineStr">
        <is>
          <t>rs8007609</t>
        </is>
      </c>
      <c r="F1254" t="n">
        <v>-0.132209387</v>
      </c>
      <c r="G1254" t="n">
        <v>0.0174778989865297</v>
      </c>
      <c r="H1254" t="n">
        <v>0.0219540301250345</v>
      </c>
      <c r="I1254" t="n">
        <v>0.0543139037046646</v>
      </c>
      <c r="J1254" t="n">
        <v>0.0325448681703</v>
      </c>
      <c r="K1254" t="n">
        <v>0.5706436954369728</v>
      </c>
      <c r="L1254" t="b">
        <v>1</v>
      </c>
      <c r="M1254" t="b">
        <v>0</v>
      </c>
      <c r="N1254" t="inlineStr">
        <is>
          <t>ref</t>
        </is>
      </c>
      <c r="O1254" t="n">
        <v>-100</v>
      </c>
      <c r="P1254" t="n">
        <v>0.00784</v>
      </c>
      <c r="Q1254" t="n">
        <v>-60</v>
      </c>
      <c r="R1254" t="n">
        <v>0.06616</v>
      </c>
      <c r="S1254">
        <f>IMAGE("https://mitra.stanford.edu/kundaje/oak/projects/neuro-variants/variant_position/credible/roussos_2024/variant_figures/roussos_2024.childhood.GABA/rs8007609_count_position.png",4,220,900)</f>
        <v/>
      </c>
      <c r="T1254">
        <f>IMAGE("https://mitra.stanford.edu/kundaje/oak/projects/neuro-variants/variant_position/credible/roussos_2024/variant_figures/roussos_2024.childhood.GABA/rs8007609_profile_position.png",4,220,900)</f>
        <v/>
      </c>
    </row>
    <row r="1255">
      <c r="A1255" t="inlineStr">
        <is>
          <t>chr14</t>
        </is>
      </c>
      <c r="B1255" t="n">
        <v>103303723</v>
      </c>
      <c r="C1255" t="inlineStr">
        <is>
          <t>A</t>
        </is>
      </c>
      <c r="D1255" t="inlineStr">
        <is>
          <t>C</t>
        </is>
      </c>
      <c r="E1255" t="inlineStr">
        <is>
          <t>rs58026845</t>
        </is>
      </c>
      <c r="F1255" t="n">
        <v>0.0169131093</v>
      </c>
      <c r="G1255" t="n">
        <v>0.4475648114072757</v>
      </c>
      <c r="H1255" t="n">
        <v>0.0069595151524455</v>
      </c>
      <c r="I1255" t="n">
        <v>0.941983883711636</v>
      </c>
      <c r="J1255" t="n">
        <v>0.0090458838558354</v>
      </c>
      <c r="K1255" t="n">
        <v>0.7527088225766519</v>
      </c>
      <c r="L1255" t="b">
        <v>0</v>
      </c>
      <c r="M1255" t="b">
        <v>0</v>
      </c>
      <c r="N1255" t="inlineStr">
        <is>
          <t>alt</t>
        </is>
      </c>
      <c r="O1255" t="n">
        <v>55</v>
      </c>
      <c r="P1255" t="n">
        <v>0.0565</v>
      </c>
      <c r="Q1255" t="n">
        <v>10</v>
      </c>
      <c r="R1255" t="n">
        <v>0.00812</v>
      </c>
      <c r="S1255">
        <f>IMAGE("https://mitra.stanford.edu/kundaje/oak/projects/neuro-variants/variant_position/credible/roussos_2024/variant_figures/roussos_2024.childhood.GABA/rs58026845_count_position.png",4,220,900)</f>
        <v/>
      </c>
      <c r="T1255">
        <f>IMAGE("https://mitra.stanford.edu/kundaje/oak/projects/neuro-variants/variant_position/credible/roussos_2024/variant_figures/roussos_2024.childhood.GABA/rs58026845_profile_position.png",4,220,900)</f>
        <v/>
      </c>
    </row>
    <row r="1256">
      <c r="A1256" t="inlineStr">
        <is>
          <t>chr14</t>
        </is>
      </c>
      <c r="B1256" t="n">
        <v>103304973</v>
      </c>
      <c r="C1256" t="inlineStr">
        <is>
          <t>C</t>
        </is>
      </c>
      <c r="D1256" t="inlineStr">
        <is>
          <t>T</t>
        </is>
      </c>
      <c r="E1256" t="inlineStr">
        <is>
          <t>rs8008665</t>
        </is>
      </c>
      <c r="F1256" t="n">
        <v>-0.064088806</v>
      </c>
      <c r="G1256" t="n">
        <v>0.0898354885073155</v>
      </c>
      <c r="H1256" t="n">
        <v>0.0134546443209168</v>
      </c>
      <c r="I1256" t="n">
        <v>0.3173552318836731</v>
      </c>
      <c r="J1256" t="n">
        <v>0.06316412221733569</v>
      </c>
      <c r="K1256" t="n">
        <v>0.4645000664780376</v>
      </c>
      <c r="L1256" t="b">
        <v>0</v>
      </c>
      <c r="M1256" t="b">
        <v>0</v>
      </c>
      <c r="N1256" t="inlineStr">
        <is>
          <t>ref</t>
        </is>
      </c>
      <c r="O1256" t="n">
        <v>-40</v>
      </c>
      <c r="P1256" t="n">
        <v>0.001514</v>
      </c>
      <c r="Q1256" t="n">
        <v>-75</v>
      </c>
      <c r="R1256" t="n">
        <v>0.0238</v>
      </c>
      <c r="S1256">
        <f>IMAGE("https://mitra.stanford.edu/kundaje/oak/projects/neuro-variants/variant_position/credible/roussos_2024/variant_figures/roussos_2024.childhood.GABA/rs8008665_count_position.png",4,220,900)</f>
        <v/>
      </c>
      <c r="T1256">
        <f>IMAGE("https://mitra.stanford.edu/kundaje/oak/projects/neuro-variants/variant_position/credible/roussos_2024/variant_figures/roussos_2024.childhood.GABA/rs8008665_profile_position.png",4,220,900)</f>
        <v/>
      </c>
    </row>
    <row r="1257">
      <c r="A1257" t="inlineStr">
        <is>
          <t>chr14</t>
        </is>
      </c>
      <c r="B1257" t="n">
        <v>103309178</v>
      </c>
      <c r="C1257" t="inlineStr">
        <is>
          <t>C</t>
        </is>
      </c>
      <c r="D1257" t="inlineStr">
        <is>
          <t>G</t>
        </is>
      </c>
      <c r="E1257" t="inlineStr">
        <is>
          <t>rs17101455</t>
        </is>
      </c>
      <c r="F1257" t="n">
        <v>0.0808850944</v>
      </c>
      <c r="G1257" t="n">
        <v>0.0467598847331233</v>
      </c>
      <c r="H1257" t="n">
        <v>0.013323439304778</v>
      </c>
      <c r="I1257" t="n">
        <v>0.3292460375948268</v>
      </c>
      <c r="J1257" t="n">
        <v>0.2039119599589537</v>
      </c>
      <c r="K1257" t="n">
        <v>0.2265645365802407</v>
      </c>
      <c r="L1257" t="b">
        <v>0</v>
      </c>
      <c r="M1257" t="b">
        <v>0</v>
      </c>
      <c r="N1257" t="inlineStr">
        <is>
          <t>alt</t>
        </is>
      </c>
      <c r="O1257" t="n">
        <v>-70</v>
      </c>
      <c r="P1257" t="n">
        <v>0.004547</v>
      </c>
      <c r="Q1257" t="n">
        <v>50</v>
      </c>
      <c r="R1257" t="n">
        <v>0.1023</v>
      </c>
      <c r="S1257">
        <f>IMAGE("https://mitra.stanford.edu/kundaje/oak/projects/neuro-variants/variant_position/credible/roussos_2024/variant_figures/roussos_2024.childhood.GABA/rs17101455_count_position.png",4,220,900)</f>
        <v/>
      </c>
      <c r="T1257">
        <f>IMAGE("https://mitra.stanford.edu/kundaje/oak/projects/neuro-variants/variant_position/credible/roussos_2024/variant_figures/roussos_2024.childhood.GABA/rs17101455_profile_position.png",4,220,900)</f>
        <v/>
      </c>
    </row>
    <row r="1258">
      <c r="A1258" t="inlineStr">
        <is>
          <t>chr14</t>
        </is>
      </c>
      <c r="B1258" t="n">
        <v>103312029</v>
      </c>
      <c r="C1258" t="inlineStr">
        <is>
          <t>C</t>
        </is>
      </c>
      <c r="D1258" t="inlineStr">
        <is>
          <t>T</t>
        </is>
      </c>
      <c r="E1258" t="inlineStr">
        <is>
          <t>rs7145682</t>
        </is>
      </c>
      <c r="F1258" t="n">
        <v>-0.0301786518</v>
      </c>
      <c r="G1258" t="n">
        <v>0.2990123205067792</v>
      </c>
      <c r="H1258" t="n">
        <v>0.008485286513001599</v>
      </c>
      <c r="I1258" t="n">
        <v>0.8086555170761724</v>
      </c>
      <c r="J1258" t="n">
        <v>0.4579893614793408</v>
      </c>
      <c r="K1258" t="n">
        <v>0.0636988506540843</v>
      </c>
      <c r="L1258" t="b">
        <v>0</v>
      </c>
      <c r="M1258" t="b">
        <v>0</v>
      </c>
      <c r="N1258" t="inlineStr">
        <is>
          <t>ref</t>
        </is>
      </c>
      <c r="O1258" t="n">
        <v>-90</v>
      </c>
      <c r="P1258" t="n">
        <v>0.002838</v>
      </c>
      <c r="Q1258" t="n">
        <v>-100</v>
      </c>
      <c r="R1258" t="n">
        <v>0.083</v>
      </c>
      <c r="S1258">
        <f>IMAGE("https://mitra.stanford.edu/kundaje/oak/projects/neuro-variants/variant_position/credible/roussos_2024/variant_figures/roussos_2024.childhood.GABA/rs7145682_count_position.png",4,220,900)</f>
        <v/>
      </c>
      <c r="T1258">
        <f>IMAGE("https://mitra.stanford.edu/kundaje/oak/projects/neuro-variants/variant_position/credible/roussos_2024/variant_figures/roussos_2024.childhood.GABA/rs7145682_profile_position.png",4,220,900)</f>
        <v/>
      </c>
    </row>
    <row r="1259">
      <c r="A1259" t="inlineStr">
        <is>
          <t>chr14</t>
        </is>
      </c>
      <c r="B1259" t="n">
        <v>103315762</v>
      </c>
      <c r="C1259" t="inlineStr">
        <is>
          <t>C</t>
        </is>
      </c>
      <c r="D1259" t="inlineStr">
        <is>
          <t>G</t>
        </is>
      </c>
      <c r="E1259" t="inlineStr">
        <is>
          <t>rs7150297</t>
        </is>
      </c>
      <c r="F1259" t="n">
        <v>0.0006972256</v>
      </c>
      <c r="G1259" t="n">
        <v>0.8635544650975914</v>
      </c>
      <c r="H1259" t="n">
        <v>0.0081064363039539</v>
      </c>
      <c r="I1259" t="n">
        <v>0.8421823793146866</v>
      </c>
      <c r="J1259" t="n">
        <v>0.5147326757554815</v>
      </c>
      <c r="K1259" t="n">
        <v>0.0476550627150603</v>
      </c>
      <c r="L1259" t="b">
        <v>0</v>
      </c>
      <c r="M1259" t="b">
        <v>0</v>
      </c>
      <c r="N1259" t="inlineStr">
        <is>
          <t>alt</t>
        </is>
      </c>
      <c r="O1259" t="n">
        <v>100</v>
      </c>
      <c r="P1259" t="n">
        <v>0.003117</v>
      </c>
      <c r="Q1259" t="n">
        <v>40</v>
      </c>
      <c r="R1259" t="n">
        <v>0.0347</v>
      </c>
      <c r="S1259">
        <f>IMAGE("https://mitra.stanford.edu/kundaje/oak/projects/neuro-variants/variant_position/credible/roussos_2024/variant_figures/roussos_2024.childhood.GABA/rs7150297_count_position.png",4,220,900)</f>
        <v/>
      </c>
      <c r="T1259">
        <f>IMAGE("https://mitra.stanford.edu/kundaje/oak/projects/neuro-variants/variant_position/credible/roussos_2024/variant_figures/roussos_2024.childhood.GABA/rs7150297_profile_position.png",4,220,900)</f>
        <v/>
      </c>
    </row>
    <row r="1260">
      <c r="A1260" t="inlineStr">
        <is>
          <t>chr14</t>
        </is>
      </c>
      <c r="B1260" t="n">
        <v>103315839</v>
      </c>
      <c r="C1260" t="inlineStr">
        <is>
          <t>C</t>
        </is>
      </c>
      <c r="D1260" t="inlineStr">
        <is>
          <t>A</t>
        </is>
      </c>
      <c r="E1260" t="inlineStr">
        <is>
          <t>rs72708820</t>
        </is>
      </c>
      <c r="F1260" t="n">
        <v>-0.0222343384</v>
      </c>
      <c r="G1260" t="n">
        <v>0.3894059985490041</v>
      </c>
      <c r="H1260" t="n">
        <v>0.009149537302315601</v>
      </c>
      <c r="I1260" t="n">
        <v>0.7375955118697394</v>
      </c>
      <c r="J1260" t="n">
        <v>0.5157755858516052</v>
      </c>
      <c r="K1260" t="n">
        <v>0.047366742975899</v>
      </c>
      <c r="L1260" t="b">
        <v>0</v>
      </c>
      <c r="M1260" t="b">
        <v>0</v>
      </c>
      <c r="N1260" t="inlineStr">
        <is>
          <t>ref</t>
        </is>
      </c>
      <c r="O1260" t="n">
        <v>65</v>
      </c>
      <c r="P1260" t="n">
        <v>0.003674</v>
      </c>
      <c r="Q1260" t="n">
        <v>-30</v>
      </c>
      <c r="R1260" t="n">
        <v>0.02487</v>
      </c>
      <c r="S1260">
        <f>IMAGE("https://mitra.stanford.edu/kundaje/oak/projects/neuro-variants/variant_position/credible/roussos_2024/variant_figures/roussos_2024.childhood.GABA/rs72708820_count_position.png",4,220,900)</f>
        <v/>
      </c>
      <c r="T1260">
        <f>IMAGE("https://mitra.stanford.edu/kundaje/oak/projects/neuro-variants/variant_position/credible/roussos_2024/variant_figures/roussos_2024.childhood.GABA/rs72708820_profile_position.png",4,220,900)</f>
        <v/>
      </c>
    </row>
    <row r="1261">
      <c r="A1261" t="inlineStr">
        <is>
          <t>chr14</t>
        </is>
      </c>
      <c r="B1261" t="n">
        <v>103320219</v>
      </c>
      <c r="C1261" t="inlineStr">
        <is>
          <t>G</t>
        </is>
      </c>
      <c r="D1261" t="inlineStr">
        <is>
          <t>A</t>
        </is>
      </c>
      <c r="E1261" t="inlineStr">
        <is>
          <t>rs11850831</t>
        </is>
      </c>
      <c r="F1261" t="n">
        <v>-0.0406354322</v>
      </c>
      <c r="G1261" t="n">
        <v>0.1995319150042346</v>
      </c>
      <c r="H1261" t="n">
        <v>0.0122405106034101</v>
      </c>
      <c r="I1261" t="n">
        <v>0.4168446585417835</v>
      </c>
      <c r="J1261" t="n">
        <v>0.0319940943645159</v>
      </c>
      <c r="K1261" t="n">
        <v>0.5883499018494706</v>
      </c>
      <c r="L1261" t="b">
        <v>0</v>
      </c>
      <c r="M1261" t="b">
        <v>0</v>
      </c>
      <c r="N1261" t="inlineStr">
        <is>
          <t>ref</t>
        </is>
      </c>
      <c r="O1261" t="n">
        <v>-90</v>
      </c>
      <c r="P1261" t="n">
        <v>0.007584</v>
      </c>
      <c r="Q1261" t="n">
        <v>-95</v>
      </c>
      <c r="R1261" t="n">
        <v>0.0503</v>
      </c>
      <c r="S1261">
        <f>IMAGE("https://mitra.stanford.edu/kundaje/oak/projects/neuro-variants/variant_position/credible/roussos_2024/variant_figures/roussos_2024.childhood.GABA/rs11850831_count_position.png",4,220,900)</f>
        <v/>
      </c>
      <c r="T1261">
        <f>IMAGE("https://mitra.stanford.edu/kundaje/oak/projects/neuro-variants/variant_position/credible/roussos_2024/variant_figures/roussos_2024.childhood.GABA/rs11850831_profile_position.png",4,220,900)</f>
        <v/>
      </c>
    </row>
    <row r="1262">
      <c r="A1262" t="inlineStr">
        <is>
          <t>chr14</t>
        </is>
      </c>
      <c r="B1262" t="n">
        <v>103330758</v>
      </c>
      <c r="C1262" t="inlineStr">
        <is>
          <t>A</t>
        </is>
      </c>
      <c r="D1262" t="inlineStr">
        <is>
          <t>G</t>
        </is>
      </c>
      <c r="E1262" t="inlineStr">
        <is>
          <t>rs8007383</t>
        </is>
      </c>
      <c r="F1262" t="n">
        <v>-0.0193269342599999</v>
      </c>
      <c r="G1262" t="n">
        <v>0.4515762382235816</v>
      </c>
      <c r="H1262" t="n">
        <v>0.0119339094361884</v>
      </c>
      <c r="I1262" t="n">
        <v>0.4273253604846266</v>
      </c>
      <c r="J1262" t="n">
        <v>0.0836139557286758</v>
      </c>
      <c r="K1262" t="n">
        <v>0.4068654663965781</v>
      </c>
      <c r="L1262" t="b">
        <v>0</v>
      </c>
      <c r="M1262" t="b">
        <v>0</v>
      </c>
      <c r="N1262" t="inlineStr">
        <is>
          <t>ref</t>
        </is>
      </c>
      <c r="O1262" t="n">
        <v>-45</v>
      </c>
      <c r="P1262" t="n">
        <v>0.01082</v>
      </c>
      <c r="Q1262" t="n">
        <v>75</v>
      </c>
      <c r="R1262" t="n">
        <v>0.0809</v>
      </c>
      <c r="S1262">
        <f>IMAGE("https://mitra.stanford.edu/kundaje/oak/projects/neuro-variants/variant_position/credible/roussos_2024/variant_figures/roussos_2024.childhood.GABA/rs8007383_count_position.png",4,220,900)</f>
        <v/>
      </c>
      <c r="T1262">
        <f>IMAGE("https://mitra.stanford.edu/kundaje/oak/projects/neuro-variants/variant_position/credible/roussos_2024/variant_figures/roussos_2024.childhood.GABA/rs8007383_profile_position.png",4,220,900)</f>
        <v/>
      </c>
    </row>
    <row r="1263">
      <c r="A1263" t="inlineStr">
        <is>
          <t>chr14</t>
        </is>
      </c>
      <c r="B1263" t="n">
        <v>103345983</v>
      </c>
      <c r="C1263" t="inlineStr">
        <is>
          <t>G</t>
        </is>
      </c>
      <c r="D1263" t="inlineStr">
        <is>
          <t>T</t>
        </is>
      </c>
      <c r="E1263" t="inlineStr">
        <is>
          <t>rs12432904</t>
        </is>
      </c>
      <c r="F1263" t="n">
        <v>0.015586544</v>
      </c>
      <c r="G1263" t="n">
        <v>0.4910640602408548</v>
      </c>
      <c r="H1263" t="n">
        <v>0.0121599316892694</v>
      </c>
      <c r="I1263" t="n">
        <v>0.4165186089489521</v>
      </c>
      <c r="J1263" t="n">
        <v>0.1011413373541915</v>
      </c>
      <c r="K1263" t="n">
        <v>0.364712360133909</v>
      </c>
      <c r="L1263" t="b">
        <v>0</v>
      </c>
      <c r="M1263" t="b">
        <v>0</v>
      </c>
      <c r="N1263" t="inlineStr">
        <is>
          <t>alt</t>
        </is>
      </c>
      <c r="O1263" t="n">
        <v>20</v>
      </c>
      <c r="P1263" t="n">
        <v>0.00296</v>
      </c>
      <c r="Q1263" t="n">
        <v>-10</v>
      </c>
      <c r="R1263" t="n">
        <v>0.0268</v>
      </c>
      <c r="S1263">
        <f>IMAGE("https://mitra.stanford.edu/kundaje/oak/projects/neuro-variants/variant_position/credible/roussos_2024/variant_figures/roussos_2024.childhood.GABA/rs12432904_count_position.png",4,220,900)</f>
        <v/>
      </c>
      <c r="T1263">
        <f>IMAGE("https://mitra.stanford.edu/kundaje/oak/projects/neuro-variants/variant_position/credible/roussos_2024/variant_figures/roussos_2024.childhood.GABA/rs12432904_profile_position.png",4,220,900)</f>
        <v/>
      </c>
    </row>
    <row r="1264">
      <c r="A1264" t="inlineStr">
        <is>
          <t>chr14</t>
        </is>
      </c>
      <c r="B1264" t="n">
        <v>103568955</v>
      </c>
      <c r="C1264" t="inlineStr">
        <is>
          <t>G</t>
        </is>
      </c>
      <c r="D1264" t="inlineStr">
        <is>
          <t>A</t>
        </is>
      </c>
      <c r="E1264" t="inlineStr">
        <is>
          <t>rs12894729</t>
        </is>
      </c>
      <c r="F1264" t="n">
        <v>-0.149226384</v>
      </c>
      <c r="G1264" t="n">
        <v>0.0101512363485518</v>
      </c>
      <c r="H1264" t="n">
        <v>0.0223365691494989</v>
      </c>
      <c r="I1264" t="n">
        <v>0.0492707033048936</v>
      </c>
      <c r="J1264" t="n">
        <v>0.3526282172101108</v>
      </c>
      <c r="K1264" t="n">
        <v>0.1071888771046139</v>
      </c>
      <c r="L1264" t="b">
        <v>1</v>
      </c>
      <c r="M1264" t="b">
        <v>0</v>
      </c>
      <c r="N1264" t="inlineStr">
        <is>
          <t>ref</t>
        </is>
      </c>
      <c r="O1264" t="n">
        <v>-85</v>
      </c>
      <c r="P1264" t="n">
        <v>0.005623</v>
      </c>
      <c r="Q1264" t="n">
        <v>90</v>
      </c>
      <c r="R1264" t="n">
        <v>0.2281</v>
      </c>
      <c r="S1264">
        <f>IMAGE("https://mitra.stanford.edu/kundaje/oak/projects/neuro-variants/variant_position/credible/roussos_2024/variant_figures/roussos_2024.childhood.GABA/rs12894729_count_position.png",4,220,900)</f>
        <v/>
      </c>
      <c r="T1264">
        <f>IMAGE("https://mitra.stanford.edu/kundaje/oak/projects/neuro-variants/variant_position/credible/roussos_2024/variant_figures/roussos_2024.childhood.GABA/rs12894729_profile_position.png",4,220,900)</f>
        <v/>
      </c>
    </row>
    <row r="1265">
      <c r="A1265" t="inlineStr">
        <is>
          <t>chr14</t>
        </is>
      </c>
      <c r="B1265" t="n">
        <v>103573728</v>
      </c>
      <c r="C1265" t="inlineStr">
        <is>
          <t>T</t>
        </is>
      </c>
      <c r="D1265" t="inlineStr">
        <is>
          <t>C</t>
        </is>
      </c>
      <c r="E1265" t="inlineStr">
        <is>
          <t>rs10431750</t>
        </is>
      </c>
      <c r="F1265" t="n">
        <v>-0.001524536899</v>
      </c>
      <c r="G1265" t="n">
        <v>0.9410218326654006</v>
      </c>
      <c r="H1265" t="n">
        <v>0.0292042397463533</v>
      </c>
      <c r="I1265" t="n">
        <v>0.0142523744238636</v>
      </c>
      <c r="J1265" t="n">
        <v>0.0443885991916399</v>
      </c>
      <c r="K1265" t="n">
        <v>0.5332076359646755</v>
      </c>
      <c r="L1265" t="b">
        <v>1</v>
      </c>
      <c r="M1265" t="b">
        <v>0</v>
      </c>
      <c r="N1265" t="inlineStr">
        <is>
          <t>ref</t>
        </is>
      </c>
      <c r="O1265" t="n">
        <v>-20</v>
      </c>
      <c r="P1265" t="n">
        <v>0.000746</v>
      </c>
      <c r="Q1265" t="n">
        <v>20</v>
      </c>
      <c r="R1265" t="n">
        <v>0.03333</v>
      </c>
      <c r="S1265">
        <f>IMAGE("https://mitra.stanford.edu/kundaje/oak/projects/neuro-variants/variant_position/credible/roussos_2024/variant_figures/roussos_2024.childhood.GABA/rs10431750_count_position.png",4,220,900)</f>
        <v/>
      </c>
      <c r="T1265">
        <f>IMAGE("https://mitra.stanford.edu/kundaje/oak/projects/neuro-variants/variant_position/credible/roussos_2024/variant_figures/roussos_2024.childhood.GABA/rs10431750_profile_position.png",4,220,900)</f>
        <v/>
      </c>
    </row>
    <row r="1266">
      <c r="A1266" t="inlineStr">
        <is>
          <t>chr14</t>
        </is>
      </c>
      <c r="B1266" t="n">
        <v>103580255</v>
      </c>
      <c r="C1266" t="inlineStr">
        <is>
          <t>A</t>
        </is>
      </c>
      <c r="D1266" t="inlineStr">
        <is>
          <t>T</t>
        </is>
      </c>
      <c r="E1266" t="inlineStr">
        <is>
          <t>rs71417868</t>
        </is>
      </c>
      <c r="F1266" t="n">
        <v>-0.001426656006</v>
      </c>
      <c r="G1266" t="n">
        <v>0.8945696028647292</v>
      </c>
      <c r="H1266" t="n">
        <v>0.0224558923006671</v>
      </c>
      <c r="I1266" t="n">
        <v>0.0461354723824036</v>
      </c>
      <c r="J1266" t="n">
        <v>0.0460712864652048</v>
      </c>
      <c r="K1266" t="n">
        <v>0.5241763800961727</v>
      </c>
      <c r="L1266" t="b">
        <v>0</v>
      </c>
      <c r="M1266" t="b">
        <v>0</v>
      </c>
      <c r="N1266" t="inlineStr">
        <is>
          <t>ref</t>
        </is>
      </c>
      <c r="O1266" t="n">
        <v>100</v>
      </c>
      <c r="P1266" t="n">
        <v>0.00177</v>
      </c>
      <c r="Q1266" t="n">
        <v>10</v>
      </c>
      <c r="R1266" t="n">
        <v>0.04736</v>
      </c>
      <c r="S1266">
        <f>IMAGE("https://mitra.stanford.edu/kundaje/oak/projects/neuro-variants/variant_position/credible/roussos_2024/variant_figures/roussos_2024.childhood.GABA/rs71417868_count_position.png",4,220,900)</f>
        <v/>
      </c>
      <c r="T1266">
        <f>IMAGE("https://mitra.stanford.edu/kundaje/oak/projects/neuro-variants/variant_position/credible/roussos_2024/variant_figures/roussos_2024.childhood.GABA/rs71417868_profile_position.png",4,220,900)</f>
        <v/>
      </c>
    </row>
    <row r="1267">
      <c r="A1267" t="inlineStr">
        <is>
          <t>chr14</t>
        </is>
      </c>
      <c r="B1267" t="n">
        <v>103593729</v>
      </c>
      <c r="C1267" t="inlineStr">
        <is>
          <t>A</t>
        </is>
      </c>
      <c r="D1267" t="inlineStr">
        <is>
          <t>T</t>
        </is>
      </c>
      <c r="E1267" t="inlineStr">
        <is>
          <t>rs67899457</t>
        </is>
      </c>
      <c r="F1267" t="n">
        <v>-0.0061245465199999</v>
      </c>
      <c r="G1267" t="n">
        <v>0.6382920943342953</v>
      </c>
      <c r="H1267" t="n">
        <v>0.0065834176597828</v>
      </c>
      <c r="I1267" t="n">
        <v>0.958837188164099</v>
      </c>
      <c r="J1267" t="n">
        <v>0.1179284203472178</v>
      </c>
      <c r="K1267" t="n">
        <v>0.334139715029579</v>
      </c>
      <c r="L1267" t="b">
        <v>0</v>
      </c>
      <c r="M1267" t="b">
        <v>0</v>
      </c>
      <c r="N1267" t="inlineStr">
        <is>
          <t>ref</t>
        </is>
      </c>
      <c r="O1267" t="n">
        <v>-70</v>
      </c>
      <c r="P1267" t="n">
        <v>0.01279</v>
      </c>
      <c r="Q1267" t="n">
        <v>100</v>
      </c>
      <c r="R1267" t="n">
        <v>0.10767</v>
      </c>
      <c r="S1267">
        <f>IMAGE("https://mitra.stanford.edu/kundaje/oak/projects/neuro-variants/variant_position/credible/roussos_2024/variant_figures/roussos_2024.childhood.GABA/rs67899457_count_position.png",4,220,900)</f>
        <v/>
      </c>
      <c r="T1267">
        <f>IMAGE("https://mitra.stanford.edu/kundaje/oak/projects/neuro-variants/variant_position/credible/roussos_2024/variant_figures/roussos_2024.childhood.GABA/rs67899457_profile_position.png",4,220,900)</f>
        <v/>
      </c>
    </row>
    <row r="1268">
      <c r="A1268" t="inlineStr">
        <is>
          <t>chr14</t>
        </is>
      </c>
      <c r="B1268" t="n">
        <v>103723520</v>
      </c>
      <c r="C1268" t="inlineStr">
        <is>
          <t>G</t>
        </is>
      </c>
      <c r="D1268" t="inlineStr">
        <is>
          <t>A</t>
        </is>
      </c>
      <c r="E1268" t="inlineStr">
        <is>
          <t>rs56168984</t>
        </is>
      </c>
      <c r="F1268" t="n">
        <v>-0.0308351358</v>
      </c>
      <c r="G1268" t="n">
        <v>0.2921923031011896</v>
      </c>
      <c r="H1268" t="n">
        <v>0.009747556888573599</v>
      </c>
      <c r="I1268" t="n">
        <v>0.6699708809167915</v>
      </c>
      <c r="J1268" t="n">
        <v>0.5477361730644384</v>
      </c>
      <c r="K1268" t="n">
        <v>0.0392159783349218</v>
      </c>
      <c r="L1268" t="b">
        <v>0</v>
      </c>
      <c r="M1268" t="b">
        <v>0</v>
      </c>
      <c r="N1268" t="inlineStr">
        <is>
          <t>ref</t>
        </is>
      </c>
      <c r="O1268" t="n">
        <v>100</v>
      </c>
      <c r="P1268" t="n">
        <v>0.003468</v>
      </c>
      <c r="Q1268" t="n">
        <v>-100</v>
      </c>
      <c r="R1268" t="n">
        <v>0.0465</v>
      </c>
      <c r="S1268">
        <f>IMAGE("https://mitra.stanford.edu/kundaje/oak/projects/neuro-variants/variant_position/credible/roussos_2024/variant_figures/roussos_2024.childhood.GABA/rs56168984_count_position.png",4,220,900)</f>
        <v/>
      </c>
      <c r="T1268">
        <f>IMAGE("https://mitra.stanford.edu/kundaje/oak/projects/neuro-variants/variant_position/credible/roussos_2024/variant_figures/roussos_2024.childhood.GABA/rs56168984_profile_position.png",4,220,900)</f>
        <v/>
      </c>
    </row>
    <row r="1269">
      <c r="A1269" t="inlineStr">
        <is>
          <t>chr14</t>
        </is>
      </c>
      <c r="B1269" t="n">
        <v>103767290</v>
      </c>
      <c r="C1269" t="inlineStr">
        <is>
          <t>G</t>
        </is>
      </c>
      <c r="D1269" t="inlineStr">
        <is>
          <t>C</t>
        </is>
      </c>
      <c r="E1269" t="inlineStr">
        <is>
          <t>rs12878682</t>
        </is>
      </c>
      <c r="F1269" t="n">
        <v>0.0568260001999999</v>
      </c>
      <c r="G1269" t="n">
        <v>0.1036358456898189</v>
      </c>
      <c r="H1269" t="n">
        <v>0.0149904563533683</v>
      </c>
      <c r="I1269" t="n">
        <v>0.221889939303261</v>
      </c>
      <c r="J1269" t="n">
        <v>0.0709335930137588</v>
      </c>
      <c r="K1269" t="n">
        <v>0.4270159040901942</v>
      </c>
      <c r="L1269" t="b">
        <v>0</v>
      </c>
      <c r="M1269" t="b">
        <v>0</v>
      </c>
      <c r="N1269" t="inlineStr">
        <is>
          <t>alt</t>
        </is>
      </c>
      <c r="O1269" t="n">
        <v>60</v>
      </c>
      <c r="P1269" t="n">
        <v>0.001404</v>
      </c>
      <c r="Q1269" t="n">
        <v>95</v>
      </c>
      <c r="R1269" t="n">
        <v>0.10187</v>
      </c>
      <c r="S1269">
        <f>IMAGE("https://mitra.stanford.edu/kundaje/oak/projects/neuro-variants/variant_position/credible/roussos_2024/variant_figures/roussos_2024.childhood.GABA/rs12878682_count_position.png",4,220,900)</f>
        <v/>
      </c>
      <c r="T1269">
        <f>IMAGE("https://mitra.stanford.edu/kundaje/oak/projects/neuro-variants/variant_position/credible/roussos_2024/variant_figures/roussos_2024.childhood.GABA/rs12878682_profile_position.png",4,220,900)</f>
        <v/>
      </c>
    </row>
    <row r="1270">
      <c r="A1270" t="inlineStr">
        <is>
          <t>chr14</t>
        </is>
      </c>
      <c r="B1270" t="n">
        <v>103772310</v>
      </c>
      <c r="C1270" t="inlineStr">
        <is>
          <t>T</t>
        </is>
      </c>
      <c r="D1270" t="inlineStr">
        <is>
          <t>C</t>
        </is>
      </c>
      <c r="E1270" t="inlineStr">
        <is>
          <t>rs12888002</t>
        </is>
      </c>
      <c r="F1270" t="n">
        <v>0.0724678406</v>
      </c>
      <c r="G1270" t="n">
        <v>0.0720820155198714</v>
      </c>
      <c r="H1270" t="n">
        <v>0.0196555748416972</v>
      </c>
      <c r="I1270" t="n">
        <v>0.08174153103752251</v>
      </c>
      <c r="J1270" t="n">
        <v>0.0268120039370902</v>
      </c>
      <c r="K1270" t="n">
        <v>0.602253610422624</v>
      </c>
      <c r="L1270" t="b">
        <v>0</v>
      </c>
      <c r="M1270" t="b">
        <v>0</v>
      </c>
      <c r="N1270" t="inlineStr">
        <is>
          <t>alt</t>
        </is>
      </c>
      <c r="O1270" t="n">
        <v>50</v>
      </c>
      <c r="P1270" t="n">
        <v>0.000931</v>
      </c>
      <c r="Q1270" t="n">
        <v>-100</v>
      </c>
      <c r="R1270" t="n">
        <v>0.10535</v>
      </c>
      <c r="S1270">
        <f>IMAGE("https://mitra.stanford.edu/kundaje/oak/projects/neuro-variants/variant_position/credible/roussos_2024/variant_figures/roussos_2024.childhood.GABA/rs12888002_count_position.png",4,220,900)</f>
        <v/>
      </c>
      <c r="T1270">
        <f>IMAGE("https://mitra.stanford.edu/kundaje/oak/projects/neuro-variants/variant_position/credible/roussos_2024/variant_figures/roussos_2024.childhood.GABA/rs12888002_profile_position.png",4,220,900)</f>
        <v/>
      </c>
    </row>
    <row r="1271">
      <c r="A1271" t="inlineStr">
        <is>
          <t>chr14</t>
        </is>
      </c>
      <c r="B1271" t="n">
        <v>103787716</v>
      </c>
      <c r="C1271" t="inlineStr">
        <is>
          <t>A</t>
        </is>
      </c>
      <c r="D1271" t="inlineStr">
        <is>
          <t>G</t>
        </is>
      </c>
      <c r="E1271" t="inlineStr">
        <is>
          <t>rs66509671</t>
        </is>
      </c>
      <c r="F1271" t="n">
        <v>0.008928976599999999</v>
      </c>
      <c r="G1271" t="n">
        <v>0.4978103295974557</v>
      </c>
      <c r="H1271" t="n">
        <v>0.0118614528998202</v>
      </c>
      <c r="I1271" t="n">
        <v>0.4445777668224204</v>
      </c>
      <c r="J1271" t="n">
        <v>0.0714372473874892</v>
      </c>
      <c r="K1271" t="n">
        <v>0.4459507200469994</v>
      </c>
      <c r="L1271" t="b">
        <v>0</v>
      </c>
      <c r="M1271" t="b">
        <v>0</v>
      </c>
      <c r="N1271" t="inlineStr">
        <is>
          <t>alt</t>
        </is>
      </c>
      <c r="O1271" t="n">
        <v>25</v>
      </c>
      <c r="P1271" t="n">
        <v>0.0001831</v>
      </c>
      <c r="Q1271" t="n">
        <v>100</v>
      </c>
      <c r="R1271" t="n">
        <v>0.07697</v>
      </c>
      <c r="S1271">
        <f>IMAGE("https://mitra.stanford.edu/kundaje/oak/projects/neuro-variants/variant_position/credible/roussos_2024/variant_figures/roussos_2024.childhood.GABA/rs66509671_count_position.png",4,220,900)</f>
        <v/>
      </c>
      <c r="T1271">
        <f>IMAGE("https://mitra.stanford.edu/kundaje/oak/projects/neuro-variants/variant_position/credible/roussos_2024/variant_figures/roussos_2024.childhood.GABA/rs66509671_profile_position.png",4,220,900)</f>
        <v/>
      </c>
    </row>
    <row r="1272">
      <c r="A1272" t="inlineStr">
        <is>
          <t>chr14</t>
        </is>
      </c>
      <c r="B1272" t="n">
        <v>103788746</v>
      </c>
      <c r="C1272" t="inlineStr">
        <is>
          <t>G</t>
        </is>
      </c>
      <c r="D1272" t="inlineStr">
        <is>
          <t>A</t>
        </is>
      </c>
      <c r="E1272" t="inlineStr">
        <is>
          <t>rs11160762</t>
        </is>
      </c>
      <c r="F1272" t="n">
        <v>-0.0582936584399999</v>
      </c>
      <c r="G1272" t="n">
        <v>0.110252557352765</v>
      </c>
      <c r="H1272" t="n">
        <v>0.0245871056712714</v>
      </c>
      <c r="I1272" t="n">
        <v>0.0378330865284573</v>
      </c>
      <c r="J1272" t="n">
        <v>0.1364913823794265</v>
      </c>
      <c r="K1272" t="n">
        <v>0.2943469720657193</v>
      </c>
      <c r="L1272" t="b">
        <v>0</v>
      </c>
      <c r="M1272" t="b">
        <v>0</v>
      </c>
      <c r="N1272" t="inlineStr">
        <is>
          <t>ref</t>
        </is>
      </c>
      <c r="O1272" t="n">
        <v>40</v>
      </c>
      <c r="P1272" t="n">
        <v>0.002838</v>
      </c>
      <c r="Q1272" t="n">
        <v>-100</v>
      </c>
      <c r="R1272" t="n">
        <v>0.0989</v>
      </c>
      <c r="S1272">
        <f>IMAGE("https://mitra.stanford.edu/kundaje/oak/projects/neuro-variants/variant_position/credible/roussos_2024/variant_figures/roussos_2024.childhood.GABA/rs11160762_count_position.png",4,220,900)</f>
        <v/>
      </c>
      <c r="T1272">
        <f>IMAGE("https://mitra.stanford.edu/kundaje/oak/projects/neuro-variants/variant_position/credible/roussos_2024/variant_figures/roussos_2024.childhood.GABA/rs11160762_profile_position.png",4,220,900)</f>
        <v/>
      </c>
    </row>
    <row r="1273">
      <c r="A1273" t="inlineStr">
        <is>
          <t>chr14</t>
        </is>
      </c>
      <c r="B1273" t="n">
        <v>103797800</v>
      </c>
      <c r="C1273" t="inlineStr">
        <is>
          <t>G</t>
        </is>
      </c>
      <c r="D1273" t="inlineStr">
        <is>
          <t>C</t>
        </is>
      </c>
      <c r="E1273" t="inlineStr">
        <is>
          <t>rs12883337</t>
        </is>
      </c>
      <c r="F1273" t="n">
        <v>0.136760048</v>
      </c>
      <c r="G1273" t="n">
        <v>0.0142547923225715</v>
      </c>
      <c r="H1273" t="n">
        <v>0.0208274772255876</v>
      </c>
      <c r="I1273" t="n">
        <v>0.066542433102937</v>
      </c>
      <c r="J1273" t="n">
        <v>0.0989623253963267</v>
      </c>
      <c r="K1273" t="n">
        <v>0.3520090107235682</v>
      </c>
      <c r="L1273" t="b">
        <v>1</v>
      </c>
      <c r="M1273" t="b">
        <v>0</v>
      </c>
      <c r="N1273" t="inlineStr">
        <is>
          <t>alt</t>
        </is>
      </c>
      <c r="O1273" t="n">
        <v>-90</v>
      </c>
      <c r="P1273" t="n">
        <v>0.005104</v>
      </c>
      <c r="Q1273" t="n">
        <v>-100</v>
      </c>
      <c r="R1273" t="n">
        <v>0.1431</v>
      </c>
      <c r="S1273">
        <f>IMAGE("https://mitra.stanford.edu/kundaje/oak/projects/neuro-variants/variant_position/credible/roussos_2024/variant_figures/roussos_2024.childhood.GABA/rs12883337_count_position.png",4,220,900)</f>
        <v/>
      </c>
      <c r="T1273">
        <f>IMAGE("https://mitra.stanford.edu/kundaje/oak/projects/neuro-variants/variant_position/credible/roussos_2024/variant_figures/roussos_2024.childhood.GABA/rs12883337_profile_position.png",4,220,900)</f>
        <v/>
      </c>
    </row>
    <row r="1274">
      <c r="A1274" t="inlineStr">
        <is>
          <t>chr14</t>
        </is>
      </c>
      <c r="B1274" t="n">
        <v>103805167</v>
      </c>
      <c r="C1274" t="inlineStr">
        <is>
          <t>G</t>
        </is>
      </c>
      <c r="D1274" t="inlineStr">
        <is>
          <t>A</t>
        </is>
      </c>
      <c r="E1274" t="inlineStr">
        <is>
          <t>rs66676135</t>
        </is>
      </c>
      <c r="F1274" t="n">
        <v>0.0078339300959999</v>
      </c>
      <c r="G1274" t="n">
        <v>0.6638561627180188</v>
      </c>
      <c r="H1274" t="n">
        <v>0.0078893391898628</v>
      </c>
      <c r="I1274" t="n">
        <v>0.8619570240544143</v>
      </c>
      <c r="J1274" t="n">
        <v>0.0171315783962639</v>
      </c>
      <c r="K1274" t="n">
        <v>0.6907977780568578</v>
      </c>
      <c r="L1274" t="b">
        <v>0</v>
      </c>
      <c r="M1274" t="b">
        <v>0</v>
      </c>
      <c r="N1274" t="inlineStr">
        <is>
          <t>alt</t>
        </is>
      </c>
      <c r="O1274" t="n">
        <v>-95</v>
      </c>
      <c r="P1274" t="n">
        <v>0.015305</v>
      </c>
      <c r="Q1274" t="n">
        <v>15</v>
      </c>
      <c r="R1274" t="n">
        <v>0.03</v>
      </c>
      <c r="S1274">
        <f>IMAGE("https://mitra.stanford.edu/kundaje/oak/projects/neuro-variants/variant_position/credible/roussos_2024/variant_figures/roussos_2024.childhood.GABA/rs66676135_count_position.png",4,220,900)</f>
        <v/>
      </c>
      <c r="T1274">
        <f>IMAGE("https://mitra.stanford.edu/kundaje/oak/projects/neuro-variants/variant_position/credible/roussos_2024/variant_figures/roussos_2024.childhood.GABA/rs66676135_profile_position.png",4,220,900)</f>
        <v/>
      </c>
    </row>
    <row r="1275">
      <c r="A1275" t="inlineStr">
        <is>
          <t>chr14</t>
        </is>
      </c>
      <c r="B1275" t="n">
        <v>103855689</v>
      </c>
      <c r="C1275" t="inlineStr">
        <is>
          <t>A</t>
        </is>
      </c>
      <c r="D1275" t="inlineStr">
        <is>
          <t>G</t>
        </is>
      </c>
      <c r="E1275" t="inlineStr">
        <is>
          <t>rs3861678</t>
        </is>
      </c>
      <c r="F1275" t="n">
        <v>0.146257391</v>
      </c>
      <c r="G1275" t="n">
        <v>0.0106770296834027</v>
      </c>
      <c r="H1275" t="n">
        <v>0.0179130821858584</v>
      </c>
      <c r="I1275" t="n">
        <v>0.1171551486197704</v>
      </c>
      <c r="J1275" t="n">
        <v>0.6135159473100039</v>
      </c>
      <c r="K1275" t="n">
        <v>0.0270001715509324</v>
      </c>
      <c r="L1275" t="b">
        <v>1</v>
      </c>
      <c r="M1275" t="b">
        <v>0</v>
      </c>
      <c r="N1275" t="inlineStr">
        <is>
          <t>alt</t>
        </is>
      </c>
      <c r="O1275" t="n">
        <v>5</v>
      </c>
      <c r="P1275" t="n">
        <v>0.0002441</v>
      </c>
      <c r="Q1275" t="n">
        <v>-100</v>
      </c>
      <c r="R1275" t="n">
        <v>0.10645</v>
      </c>
      <c r="S1275">
        <f>IMAGE("https://mitra.stanford.edu/kundaje/oak/projects/neuro-variants/variant_position/credible/roussos_2024/variant_figures/roussos_2024.childhood.GABA/rs3861678_count_position.png",4,220,900)</f>
        <v/>
      </c>
      <c r="T1275">
        <f>IMAGE("https://mitra.stanford.edu/kundaje/oak/projects/neuro-variants/variant_position/credible/roussos_2024/variant_figures/roussos_2024.childhood.GABA/rs3861678_profile_position.png",4,220,900)</f>
        <v/>
      </c>
    </row>
    <row r="1276">
      <c r="A1276" t="inlineStr">
        <is>
          <t>chr14</t>
        </is>
      </c>
      <c r="B1276" t="n">
        <v>103857440</v>
      </c>
      <c r="C1276" t="inlineStr">
        <is>
          <t>G</t>
        </is>
      </c>
      <c r="D1276" t="inlineStr">
        <is>
          <t>T</t>
        </is>
      </c>
      <c r="E1276" t="inlineStr">
        <is>
          <t>rs6576007</t>
        </is>
      </c>
      <c r="F1276" t="n">
        <v>-0.0813951076</v>
      </c>
      <c r="G1276" t="n">
        <v>0.0575383992370316</v>
      </c>
      <c r="H1276" t="n">
        <v>0.0142733201320418</v>
      </c>
      <c r="I1276" t="n">
        <v>0.2645737171825099</v>
      </c>
      <c r="J1276" t="n">
        <v>0.3651117254088919</v>
      </c>
      <c r="K1276" t="n">
        <v>0.1005104145900409</v>
      </c>
      <c r="L1276" t="b">
        <v>0</v>
      </c>
      <c r="M1276" t="b">
        <v>0</v>
      </c>
      <c r="N1276" t="inlineStr">
        <is>
          <t>ref</t>
        </is>
      </c>
      <c r="O1276" t="n">
        <v>-45</v>
      </c>
      <c r="P1276" t="n">
        <v>0.001244</v>
      </c>
      <c r="Q1276" t="n">
        <v>30</v>
      </c>
      <c r="R1276" t="n">
        <v>0.01611</v>
      </c>
      <c r="S1276">
        <f>IMAGE("https://mitra.stanford.edu/kundaje/oak/projects/neuro-variants/variant_position/credible/roussos_2024/variant_figures/roussos_2024.childhood.GABA/rs6576007_count_position.png",4,220,900)</f>
        <v/>
      </c>
      <c r="T1276">
        <f>IMAGE("https://mitra.stanford.edu/kundaje/oak/projects/neuro-variants/variant_position/credible/roussos_2024/variant_figures/roussos_2024.childhood.GABA/rs6576007_profile_position.png",4,220,900)</f>
        <v/>
      </c>
    </row>
    <row r="1277">
      <c r="A1277" t="inlineStr">
        <is>
          <t>chr15</t>
        </is>
      </c>
      <c r="B1277" t="n">
        <v>34365388</v>
      </c>
      <c r="C1277" t="inlineStr">
        <is>
          <t>A</t>
        </is>
      </c>
      <c r="D1277" t="inlineStr">
        <is>
          <t>G</t>
        </is>
      </c>
      <c r="E1277" t="inlineStr">
        <is>
          <t>rs4984237</t>
        </is>
      </c>
      <c r="F1277" t="n">
        <v>0.042147784</v>
      </c>
      <c r="G1277" t="n">
        <v>0.1900671596868875</v>
      </c>
      <c r="H1277" t="n">
        <v>0.0101791099227909</v>
      </c>
      <c r="I1277" t="n">
        <v>0.6201084271004901</v>
      </c>
      <c r="J1277" t="n">
        <v>0.4145305857468953</v>
      </c>
      <c r="K1277" t="n">
        <v>0.0796947752987341</v>
      </c>
      <c r="L1277" t="b">
        <v>0</v>
      </c>
      <c r="M1277" t="b">
        <v>0</v>
      </c>
      <c r="N1277" t="inlineStr">
        <is>
          <t>alt</t>
        </is>
      </c>
      <c r="O1277" t="n">
        <v>0</v>
      </c>
      <c r="P1277" t="n">
        <v>0</v>
      </c>
      <c r="Q1277" t="n">
        <v>-85</v>
      </c>
      <c r="R1277" t="n">
        <v>0.02826</v>
      </c>
      <c r="S1277">
        <f>IMAGE("https://mitra.stanford.edu/kundaje/oak/projects/neuro-variants/variant_position/credible/roussos_2024/variant_figures/roussos_2024.childhood.GABA/rs4984237_count_position.png",4,220,900)</f>
        <v/>
      </c>
      <c r="T1277">
        <f>IMAGE("https://mitra.stanford.edu/kundaje/oak/projects/neuro-variants/variant_position/credible/roussos_2024/variant_figures/roussos_2024.childhood.GABA/rs4984237_profile_position.png",4,220,900)</f>
        <v/>
      </c>
    </row>
    <row r="1278">
      <c r="A1278" t="inlineStr">
        <is>
          <t>chr15</t>
        </is>
      </c>
      <c r="B1278" t="n">
        <v>34367316</v>
      </c>
      <c r="C1278" t="inlineStr">
        <is>
          <t>G</t>
        </is>
      </c>
      <c r="D1278" t="inlineStr">
        <is>
          <t>C</t>
        </is>
      </c>
      <c r="E1278" t="inlineStr">
        <is>
          <t>rs117799466</t>
        </is>
      </c>
      <c r="F1278" t="n">
        <v>0.193071858</v>
      </c>
      <c r="G1278" t="n">
        <v>0.0049184047507201</v>
      </c>
      <c r="H1278" t="n">
        <v>0.0500755670975726</v>
      </c>
      <c r="I1278" t="n">
        <v>0.0018006647731752</v>
      </c>
      <c r="J1278" t="n">
        <v>0.958805051203116</v>
      </c>
      <c r="K1278" t="n">
        <v>0.0001633158863527</v>
      </c>
      <c r="L1278" t="b">
        <v>1</v>
      </c>
      <c r="M1278" t="b">
        <v>1</v>
      </c>
      <c r="N1278" t="inlineStr">
        <is>
          <t>alt</t>
        </is>
      </c>
      <c r="O1278" t="n">
        <v>-50</v>
      </c>
      <c r="P1278" t="n">
        <v>0.003784</v>
      </c>
      <c r="Q1278" t="n">
        <v>-60</v>
      </c>
      <c r="R1278" t="n">
        <v>0.02148</v>
      </c>
      <c r="S1278">
        <f>IMAGE("https://mitra.stanford.edu/kundaje/oak/projects/neuro-variants/variant_position/credible/roussos_2024/variant_figures/roussos_2024.childhood.GABA/rs117799466_count_position.png",4,220,900)</f>
        <v/>
      </c>
      <c r="T1278">
        <f>IMAGE("https://mitra.stanford.edu/kundaje/oak/projects/neuro-variants/variant_position/credible/roussos_2024/variant_figures/roussos_2024.childhood.GABA/rs117799466_profile_position.png",4,220,900)</f>
        <v/>
      </c>
    </row>
    <row r="1279">
      <c r="A1279" t="inlineStr">
        <is>
          <t>chr15</t>
        </is>
      </c>
      <c r="B1279" t="n">
        <v>40319660</v>
      </c>
      <c r="C1279" t="inlineStr">
        <is>
          <t>T</t>
        </is>
      </c>
      <c r="D1279" t="inlineStr">
        <is>
          <t>C</t>
        </is>
      </c>
      <c r="E1279" t="inlineStr">
        <is>
          <t>rs11070264</t>
        </is>
      </c>
      <c r="F1279" t="n">
        <v>-0.0238000094</v>
      </c>
      <c r="G1279" t="n">
        <v>0.343044773945663</v>
      </c>
      <c r="H1279" t="n">
        <v>0.010514448294442</v>
      </c>
      <c r="I1279" t="n">
        <v>0.5782893751833953</v>
      </c>
      <c r="J1279" t="n">
        <v>0.0618322129379489</v>
      </c>
      <c r="K1279" t="n">
        <v>0.4620825429529594</v>
      </c>
      <c r="L1279" t="b">
        <v>0</v>
      </c>
      <c r="M1279" t="b">
        <v>0</v>
      </c>
      <c r="N1279" t="inlineStr">
        <is>
          <t>ref</t>
        </is>
      </c>
      <c r="O1279" t="n">
        <v>-100</v>
      </c>
      <c r="P1279" t="n">
        <v>0.02255</v>
      </c>
      <c r="Q1279" t="n">
        <v>95</v>
      </c>
      <c r="R1279" t="n">
        <v>0.0289</v>
      </c>
      <c r="S1279">
        <f>IMAGE("https://mitra.stanford.edu/kundaje/oak/projects/neuro-variants/variant_position/credible/roussos_2024/variant_figures/roussos_2024.childhood.GABA/rs11070264_count_position.png",4,220,900)</f>
        <v/>
      </c>
      <c r="T1279">
        <f>IMAGE("https://mitra.stanford.edu/kundaje/oak/projects/neuro-variants/variant_position/credible/roussos_2024/variant_figures/roussos_2024.childhood.GABA/rs11070264_profile_position.png",4,220,900)</f>
        <v/>
      </c>
    </row>
    <row r="1280">
      <c r="A1280" t="inlineStr">
        <is>
          <t>chr15</t>
        </is>
      </c>
      <c r="B1280" t="n">
        <v>40324785</v>
      </c>
      <c r="C1280" t="inlineStr">
        <is>
          <t>T</t>
        </is>
      </c>
      <c r="D1280" t="inlineStr">
        <is>
          <t>C</t>
        </is>
      </c>
      <c r="E1280" t="inlineStr">
        <is>
          <t>rs2289334</t>
        </is>
      </c>
      <c r="F1280" t="n">
        <v>0.0545968032</v>
      </c>
      <c r="G1280" t="n">
        <v>0.1123930519485533</v>
      </c>
      <c r="H1280" t="n">
        <v>0.0110815894112185</v>
      </c>
      <c r="I1280" t="n">
        <v>0.5094620890876765</v>
      </c>
      <c r="J1280" t="n">
        <v>0.6923697933027582</v>
      </c>
      <c r="K1280" t="n">
        <v>0.0157422330047455</v>
      </c>
      <c r="L1280" t="b">
        <v>0</v>
      </c>
      <c r="M1280" t="b">
        <v>0</v>
      </c>
      <c r="N1280" t="inlineStr">
        <is>
          <t>alt</t>
        </is>
      </c>
      <c r="O1280" t="n">
        <v>100</v>
      </c>
      <c r="P1280" t="n">
        <v>0.01714</v>
      </c>
      <c r="Q1280" t="n">
        <v>-95</v>
      </c>
      <c r="R1280" t="n">
        <v>0.07306</v>
      </c>
      <c r="S1280">
        <f>IMAGE("https://mitra.stanford.edu/kundaje/oak/projects/neuro-variants/variant_position/credible/roussos_2024/variant_figures/roussos_2024.childhood.GABA/rs2289334_count_position.png",4,220,900)</f>
        <v/>
      </c>
      <c r="T1280">
        <f>IMAGE("https://mitra.stanford.edu/kundaje/oak/projects/neuro-variants/variant_position/credible/roussos_2024/variant_figures/roussos_2024.childhood.GABA/rs2289334_profile_position.png",4,220,900)</f>
        <v/>
      </c>
    </row>
    <row r="1281">
      <c r="A1281" t="inlineStr">
        <is>
          <t>chr15</t>
        </is>
      </c>
      <c r="B1281" t="n">
        <v>40327542</v>
      </c>
      <c r="C1281" t="inlineStr">
        <is>
          <t>T</t>
        </is>
      </c>
      <c r="D1281" t="inlineStr">
        <is>
          <t>G</t>
        </is>
      </c>
      <c r="E1281" t="inlineStr">
        <is>
          <t>rs1077476</t>
        </is>
      </c>
      <c r="F1281" t="n">
        <v>0.0659510336</v>
      </c>
      <c r="G1281" t="n">
        <v>0.0771544262121401</v>
      </c>
      <c r="H1281" t="n">
        <v>0.0132518797168228</v>
      </c>
      <c r="I1281" t="n">
        <v>0.3356134567418876</v>
      </c>
      <c r="J1281" t="n">
        <v>0.2445226277983706</v>
      </c>
      <c r="K1281" t="n">
        <v>0.1771372409850376</v>
      </c>
      <c r="L1281" t="b">
        <v>0</v>
      </c>
      <c r="M1281" t="b">
        <v>0</v>
      </c>
      <c r="N1281" t="inlineStr">
        <is>
          <t>alt</t>
        </is>
      </c>
      <c r="O1281" t="n">
        <v>-100</v>
      </c>
      <c r="P1281" t="n">
        <v>0.00547</v>
      </c>
      <c r="Q1281" t="n">
        <v>90</v>
      </c>
      <c r="R1281" t="n">
        <v>0.07715</v>
      </c>
      <c r="S1281">
        <f>IMAGE("https://mitra.stanford.edu/kundaje/oak/projects/neuro-variants/variant_position/credible/roussos_2024/variant_figures/roussos_2024.childhood.GABA/rs1077476_count_position.png",4,220,900)</f>
        <v/>
      </c>
      <c r="T1281">
        <f>IMAGE("https://mitra.stanford.edu/kundaje/oak/projects/neuro-variants/variant_position/credible/roussos_2024/variant_figures/roussos_2024.childhood.GABA/rs1077476_profile_position.png",4,220,900)</f>
        <v/>
      </c>
    </row>
    <row r="1282">
      <c r="A1282" t="inlineStr">
        <is>
          <t>chr15</t>
        </is>
      </c>
      <c r="B1282" t="n">
        <v>43458039</v>
      </c>
      <c r="C1282" t="inlineStr">
        <is>
          <t>C</t>
        </is>
      </c>
      <c r="D1282" t="inlineStr">
        <is>
          <t>A</t>
        </is>
      </c>
      <c r="E1282" t="inlineStr">
        <is>
          <t>rs2467742</t>
        </is>
      </c>
      <c r="F1282" t="n">
        <v>0.006805906394</v>
      </c>
      <c r="G1282" t="n">
        <v>0.7152719623051996</v>
      </c>
      <c r="H1282" t="n">
        <v>0.0249773017862463</v>
      </c>
      <c r="I1282" t="n">
        <v>0.0288050397086133</v>
      </c>
      <c r="J1282" t="n">
        <v>0.0074616238403383</v>
      </c>
      <c r="K1282" t="n">
        <v>0.7736625237450577</v>
      </c>
      <c r="L1282" t="b">
        <v>0</v>
      </c>
      <c r="M1282" t="b">
        <v>0</v>
      </c>
      <c r="N1282" t="inlineStr">
        <is>
          <t>alt</t>
        </is>
      </c>
      <c r="O1282" t="n">
        <v>100</v>
      </c>
      <c r="P1282" t="n">
        <v>0.00505</v>
      </c>
      <c r="Q1282" t="n">
        <v>-80</v>
      </c>
      <c r="R1282" t="n">
        <v>0.06354</v>
      </c>
      <c r="S1282">
        <f>IMAGE("https://mitra.stanford.edu/kundaje/oak/projects/neuro-variants/variant_position/credible/roussos_2024/variant_figures/roussos_2024.childhood.GABA/rs2467742_count_position.png",4,220,900)</f>
        <v/>
      </c>
      <c r="T1282">
        <f>IMAGE("https://mitra.stanford.edu/kundaje/oak/projects/neuro-variants/variant_position/credible/roussos_2024/variant_figures/roussos_2024.childhood.GABA/rs2467742_profile_position.png",4,220,900)</f>
        <v/>
      </c>
    </row>
    <row r="1283">
      <c r="A1283" t="inlineStr">
        <is>
          <t>chr15</t>
        </is>
      </c>
      <c r="B1283" t="n">
        <v>43471801</v>
      </c>
      <c r="C1283" t="inlineStr">
        <is>
          <t>C</t>
        </is>
      </c>
      <c r="D1283" t="inlineStr">
        <is>
          <t>T</t>
        </is>
      </c>
      <c r="E1283" t="inlineStr">
        <is>
          <t>rs518288</t>
        </is>
      </c>
      <c r="F1283" t="n">
        <v>-0.0056456827</v>
      </c>
      <c r="G1283" t="n">
        <v>0.7674766861109603</v>
      </c>
      <c r="H1283" t="n">
        <v>0.0277462877949099</v>
      </c>
      <c r="I1283" t="n">
        <v>0.0177632206005029</v>
      </c>
      <c r="J1283" t="n">
        <v>0.0091600175912546</v>
      </c>
      <c r="K1283" t="n">
        <v>0.7485741515054102</v>
      </c>
      <c r="L1283" t="b">
        <v>0</v>
      </c>
      <c r="M1283" t="b">
        <v>0</v>
      </c>
      <c r="N1283" t="inlineStr">
        <is>
          <t>ref</t>
        </is>
      </c>
      <c r="O1283" t="n">
        <v>-95</v>
      </c>
      <c r="P1283" t="n">
        <v>0.01323</v>
      </c>
      <c r="Q1283" t="n">
        <v>-100</v>
      </c>
      <c r="R1283" t="n">
        <v>0.03748</v>
      </c>
      <c r="S1283">
        <f>IMAGE("https://mitra.stanford.edu/kundaje/oak/projects/neuro-variants/variant_position/credible/roussos_2024/variant_figures/roussos_2024.childhood.GABA/rs518288_count_position.png",4,220,900)</f>
        <v/>
      </c>
      <c r="T1283">
        <f>IMAGE("https://mitra.stanford.edu/kundaje/oak/projects/neuro-variants/variant_position/credible/roussos_2024/variant_figures/roussos_2024.childhood.GABA/rs518288_profile_position.png",4,220,900)</f>
        <v/>
      </c>
    </row>
    <row r="1284">
      <c r="A1284" t="inlineStr">
        <is>
          <t>chr15</t>
        </is>
      </c>
      <c r="B1284" t="n">
        <v>43531615</v>
      </c>
      <c r="C1284" t="inlineStr">
        <is>
          <t>A</t>
        </is>
      </c>
      <c r="D1284" t="inlineStr">
        <is>
          <t>G</t>
        </is>
      </c>
      <c r="E1284" t="inlineStr">
        <is>
          <t>rs572837</t>
        </is>
      </c>
      <c r="F1284" t="n">
        <v>0.0313259614</v>
      </c>
      <c r="G1284" t="n">
        <v>0.2624132391625325</v>
      </c>
      <c r="H1284" t="n">
        <v>0.0138428975037546</v>
      </c>
      <c r="I1284" t="n">
        <v>0.2976180683850741</v>
      </c>
      <c r="J1284" t="n">
        <v>0.3859416556721325</v>
      </c>
      <c r="K1284" t="n">
        <v>0.09233612862719209</v>
      </c>
      <c r="L1284" t="b">
        <v>0</v>
      </c>
      <c r="M1284" t="b">
        <v>0</v>
      </c>
      <c r="N1284" t="inlineStr">
        <is>
          <t>alt</t>
        </is>
      </c>
      <c r="O1284" t="n">
        <v>-100</v>
      </c>
      <c r="P1284" t="n">
        <v>0.01862</v>
      </c>
      <c r="Q1284" t="n">
        <v>-100</v>
      </c>
      <c r="R1284" t="n">
        <v>0.1754</v>
      </c>
      <c r="S1284">
        <f>IMAGE("https://mitra.stanford.edu/kundaje/oak/projects/neuro-variants/variant_position/credible/roussos_2024/variant_figures/roussos_2024.childhood.GABA/rs572837_count_position.png",4,220,900)</f>
        <v/>
      </c>
      <c r="T1284">
        <f>IMAGE("https://mitra.stanford.edu/kundaje/oak/projects/neuro-variants/variant_position/credible/roussos_2024/variant_figures/roussos_2024.childhood.GABA/rs572837_profile_position.png",4,220,900)</f>
        <v/>
      </c>
    </row>
    <row r="1285">
      <c r="A1285" t="inlineStr">
        <is>
          <t>chr15</t>
        </is>
      </c>
      <c r="B1285" t="n">
        <v>43536810</v>
      </c>
      <c r="C1285" t="inlineStr">
        <is>
          <t>C</t>
        </is>
      </c>
      <c r="D1285" t="inlineStr">
        <is>
          <t>T</t>
        </is>
      </c>
      <c r="E1285" t="inlineStr">
        <is>
          <t>rs2255663</t>
        </is>
      </c>
      <c r="F1285" t="n">
        <v>-0.0831789708</v>
      </c>
      <c r="G1285" t="n">
        <v>0.0568823109749861</v>
      </c>
      <c r="H1285" t="n">
        <v>0.0160589190540847</v>
      </c>
      <c r="I1285" t="n">
        <v>0.1828753218413504</v>
      </c>
      <c r="J1285" t="n">
        <v>0.0053234487235868</v>
      </c>
      <c r="K1285" t="n">
        <v>0.803843492371161</v>
      </c>
      <c r="L1285" t="b">
        <v>0</v>
      </c>
      <c r="M1285" t="b">
        <v>0</v>
      </c>
      <c r="N1285" t="inlineStr">
        <is>
          <t>ref</t>
        </is>
      </c>
      <c r="O1285" t="n">
        <v>50</v>
      </c>
      <c r="P1285" t="n">
        <v>0.00393</v>
      </c>
      <c r="Q1285" t="n">
        <v>-45</v>
      </c>
      <c r="R1285" t="n">
        <v>0.014465</v>
      </c>
      <c r="S1285">
        <f>IMAGE("https://mitra.stanford.edu/kundaje/oak/projects/neuro-variants/variant_position/credible/roussos_2024/variant_figures/roussos_2024.childhood.GABA/rs2255663_count_position.png",4,220,900)</f>
        <v/>
      </c>
      <c r="T1285">
        <f>IMAGE("https://mitra.stanford.edu/kundaje/oak/projects/neuro-variants/variant_position/credible/roussos_2024/variant_figures/roussos_2024.childhood.GABA/rs2255663_profile_position.png",4,220,900)</f>
        <v/>
      </c>
    </row>
    <row r="1286">
      <c r="A1286" t="inlineStr">
        <is>
          <t>chr15</t>
        </is>
      </c>
      <c r="B1286" t="n">
        <v>43632949</v>
      </c>
      <c r="C1286" t="inlineStr">
        <is>
          <t>T</t>
        </is>
      </c>
      <c r="D1286" t="inlineStr">
        <is>
          <t>G</t>
        </is>
      </c>
      <c r="E1286" t="inlineStr">
        <is>
          <t>rs7169112</t>
        </is>
      </c>
      <c r="F1286" t="n">
        <v>-0.0025763347279999</v>
      </c>
      <c r="G1286" t="n">
        <v>0.7947882044874328</v>
      </c>
      <c r="H1286" t="n">
        <v>0.0226017680354923</v>
      </c>
      <c r="I1286" t="n">
        <v>0.0448693935626217</v>
      </c>
      <c r="J1286" t="n">
        <v>0.1045234654771627</v>
      </c>
      <c r="K1286" t="n">
        <v>0.3478605436799615</v>
      </c>
      <c r="L1286" t="b">
        <v>0</v>
      </c>
      <c r="M1286" t="b">
        <v>0</v>
      </c>
      <c r="N1286" t="inlineStr">
        <is>
          <t>ref</t>
        </is>
      </c>
      <c r="O1286" t="n">
        <v>-100</v>
      </c>
      <c r="P1286" t="n">
        <v>0.011635</v>
      </c>
      <c r="Q1286" t="n">
        <v>-55</v>
      </c>
      <c r="R1286" t="n">
        <v>0.01985</v>
      </c>
      <c r="S1286">
        <f>IMAGE("https://mitra.stanford.edu/kundaje/oak/projects/neuro-variants/variant_position/credible/roussos_2024/variant_figures/roussos_2024.childhood.GABA/rs7169112_count_position.png",4,220,900)</f>
        <v/>
      </c>
      <c r="T1286">
        <f>IMAGE("https://mitra.stanford.edu/kundaje/oak/projects/neuro-variants/variant_position/credible/roussos_2024/variant_figures/roussos_2024.childhood.GABA/rs7169112_profile_position.png",4,220,900)</f>
        <v/>
      </c>
    </row>
    <row r="1287">
      <c r="A1287" t="inlineStr">
        <is>
          <t>chr15</t>
        </is>
      </c>
      <c r="B1287" t="n">
        <v>43743165</v>
      </c>
      <c r="C1287" t="inlineStr">
        <is>
          <t>A</t>
        </is>
      </c>
      <c r="D1287" t="inlineStr">
        <is>
          <t>C</t>
        </is>
      </c>
      <c r="E1287" t="inlineStr">
        <is>
          <t>rs8033846</t>
        </is>
      </c>
      <c r="F1287" t="n">
        <v>-0.006831695088</v>
      </c>
      <c r="G1287" t="n">
        <v>0.6585269377446613</v>
      </c>
      <c r="H1287" t="n">
        <v>0.0437938980794037</v>
      </c>
      <c r="I1287" t="n">
        <v>0.0027712008856983</v>
      </c>
      <c r="J1287" t="n">
        <v>0.0228026638185587</v>
      </c>
      <c r="K1287" t="n">
        <v>0.6429775493251512</v>
      </c>
      <c r="L1287" t="b">
        <v>1</v>
      </c>
      <c r="M1287" t="b">
        <v>0</v>
      </c>
      <c r="N1287" t="inlineStr">
        <is>
          <t>ref</t>
        </is>
      </c>
      <c r="O1287" t="n">
        <v>-100</v>
      </c>
      <c r="P1287" t="n">
        <v>0.014404</v>
      </c>
      <c r="Q1287" t="n">
        <v>-65</v>
      </c>
      <c r="R1287" t="n">
        <v>0.0641</v>
      </c>
      <c r="S1287">
        <f>IMAGE("https://mitra.stanford.edu/kundaje/oak/projects/neuro-variants/variant_position/credible/roussos_2024/variant_figures/roussos_2024.childhood.GABA/rs8033846_count_position.png",4,220,900)</f>
        <v/>
      </c>
      <c r="T1287">
        <f>IMAGE("https://mitra.stanford.edu/kundaje/oak/projects/neuro-variants/variant_position/credible/roussos_2024/variant_figures/roussos_2024.childhood.GABA/rs8033846_profile_position.png",4,220,900)</f>
        <v/>
      </c>
    </row>
    <row r="1288">
      <c r="A1288" t="inlineStr">
        <is>
          <t>chr15</t>
        </is>
      </c>
      <c r="B1288" t="n">
        <v>43746265</v>
      </c>
      <c r="C1288" t="inlineStr">
        <is>
          <t>C</t>
        </is>
      </c>
      <c r="D1288" t="inlineStr">
        <is>
          <t>A</t>
        </is>
      </c>
      <c r="E1288" t="inlineStr">
        <is>
          <t>rs7174732</t>
        </is>
      </c>
      <c r="F1288" t="n">
        <v>-0.0097112697</v>
      </c>
      <c r="G1288" t="n">
        <v>0.564456580735815</v>
      </c>
      <c r="H1288" t="n">
        <v>0.0223056584443956</v>
      </c>
      <c r="I1288" t="n">
        <v>0.0491389928549471</v>
      </c>
      <c r="J1288" t="n">
        <v>0.9363154698330926</v>
      </c>
      <c r="K1288" t="n">
        <v>0.0005871530107244</v>
      </c>
      <c r="L1288" t="b">
        <v>0</v>
      </c>
      <c r="M1288" t="b">
        <v>0</v>
      </c>
      <c r="N1288" t="inlineStr">
        <is>
          <t>ref</t>
        </is>
      </c>
      <c r="O1288" t="n">
        <v>100</v>
      </c>
      <c r="P1288" t="n">
        <v>0.0116</v>
      </c>
      <c r="Q1288" t="n">
        <v>0</v>
      </c>
      <c r="R1288" t="n">
        <v>0</v>
      </c>
      <c r="S1288">
        <f>IMAGE("https://mitra.stanford.edu/kundaje/oak/projects/neuro-variants/variant_position/credible/roussos_2024/variant_figures/roussos_2024.childhood.GABA/rs7174732_count_position.png",4,220,900)</f>
        <v/>
      </c>
      <c r="T1288">
        <f>IMAGE("https://mitra.stanford.edu/kundaje/oak/projects/neuro-variants/variant_position/credible/roussos_2024/variant_figures/roussos_2024.childhood.GABA/rs7174732_profile_position.png",4,220,900)</f>
        <v/>
      </c>
    </row>
    <row r="1289">
      <c r="A1289" t="inlineStr">
        <is>
          <t>chr15</t>
        </is>
      </c>
      <c r="B1289" t="n">
        <v>43746701</v>
      </c>
      <c r="C1289" t="inlineStr">
        <is>
          <t>C</t>
        </is>
      </c>
      <c r="D1289" t="inlineStr">
        <is>
          <t>T</t>
        </is>
      </c>
      <c r="E1289" t="inlineStr">
        <is>
          <t>rs2411284</t>
        </is>
      </c>
      <c r="F1289" t="n">
        <v>0.000573750066</v>
      </c>
      <c r="G1289" t="n">
        <v>0.9393196117372976</v>
      </c>
      <c r="H1289" t="n">
        <v>0.009632854124475799</v>
      </c>
      <c r="I1289" t="n">
        <v>0.6661770811146264</v>
      </c>
      <c r="J1289" t="n">
        <v>0.8990628468513748</v>
      </c>
      <c r="K1289" t="n">
        <v>0.0017821410562417</v>
      </c>
      <c r="L1289" t="b">
        <v>0</v>
      </c>
      <c r="M1289" t="b">
        <v>0</v>
      </c>
      <c r="N1289" t="inlineStr">
        <is>
          <t>alt</t>
        </is>
      </c>
      <c r="O1289" t="n">
        <v>-100</v>
      </c>
      <c r="P1289" t="n">
        <v>0.01767</v>
      </c>
      <c r="Q1289" t="n">
        <v>-40</v>
      </c>
      <c r="R1289" t="n">
        <v>0.09564</v>
      </c>
      <c r="S1289">
        <f>IMAGE("https://mitra.stanford.edu/kundaje/oak/projects/neuro-variants/variant_position/credible/roussos_2024/variant_figures/roussos_2024.childhood.GABA/rs2411284_count_position.png",4,220,900)</f>
        <v/>
      </c>
      <c r="T1289">
        <f>IMAGE("https://mitra.stanford.edu/kundaje/oak/projects/neuro-variants/variant_position/credible/roussos_2024/variant_figures/roussos_2024.childhood.GABA/rs2411284_profile_position.png",4,220,900)</f>
        <v/>
      </c>
    </row>
    <row r="1290">
      <c r="A1290" t="inlineStr">
        <is>
          <t>chr15</t>
        </is>
      </c>
      <c r="B1290" t="n">
        <v>43768685</v>
      </c>
      <c r="C1290" t="inlineStr">
        <is>
          <t>C</t>
        </is>
      </c>
      <c r="D1290" t="inlineStr">
        <is>
          <t>T</t>
        </is>
      </c>
      <c r="E1290" t="inlineStr">
        <is>
          <t>rs12441861</t>
        </is>
      </c>
      <c r="F1290" t="n">
        <v>-0.030248921</v>
      </c>
      <c r="G1290" t="n">
        <v>0.2989223375344415</v>
      </c>
      <c r="H1290" t="n">
        <v>0.011426753155888</v>
      </c>
      <c r="I1290" t="n">
        <v>0.4954853467004509</v>
      </c>
      <c r="J1290" t="n">
        <v>0.0734560532763711</v>
      </c>
      <c r="K1290" t="n">
        <v>0.4251579669816815</v>
      </c>
      <c r="L1290" t="b">
        <v>0</v>
      </c>
      <c r="M1290" t="b">
        <v>0</v>
      </c>
      <c r="N1290" t="inlineStr">
        <is>
          <t>ref</t>
        </is>
      </c>
      <c r="O1290" t="n">
        <v>100</v>
      </c>
      <c r="P1290" t="n">
        <v>0.00805</v>
      </c>
      <c r="Q1290" t="n">
        <v>100</v>
      </c>
      <c r="R1290" t="n">
        <v>0.0791</v>
      </c>
      <c r="S1290">
        <f>IMAGE("https://mitra.stanford.edu/kundaje/oak/projects/neuro-variants/variant_position/credible/roussos_2024/variant_figures/roussos_2024.childhood.GABA/rs12441861_count_position.png",4,220,900)</f>
        <v/>
      </c>
      <c r="T1290">
        <f>IMAGE("https://mitra.stanford.edu/kundaje/oak/projects/neuro-variants/variant_position/credible/roussos_2024/variant_figures/roussos_2024.childhood.GABA/rs12441861_profile_position.png",4,220,900)</f>
        <v/>
      </c>
    </row>
    <row r="1291">
      <c r="A1291" t="inlineStr">
        <is>
          <t>chr15</t>
        </is>
      </c>
      <c r="B1291" t="n">
        <v>43977577</v>
      </c>
      <c r="C1291" t="inlineStr">
        <is>
          <t>A</t>
        </is>
      </c>
      <c r="D1291" t="inlineStr">
        <is>
          <t>C</t>
        </is>
      </c>
      <c r="E1291" t="inlineStr">
        <is>
          <t>rs2957583</t>
        </is>
      </c>
      <c r="F1291" t="n">
        <v>-0.00566988106</v>
      </c>
      <c r="G1291" t="n">
        <v>0.7849058845278855</v>
      </c>
      <c r="H1291" t="n">
        <v>0.0435302236113825</v>
      </c>
      <c r="I1291" t="n">
        <v>0.0027961510961578</v>
      </c>
      <c r="J1291" t="n">
        <v>0.09900630353291021</v>
      </c>
      <c r="K1291" t="n">
        <v>0.3581656376755498</v>
      </c>
      <c r="L1291" t="b">
        <v>1</v>
      </c>
      <c r="M1291" t="b">
        <v>1</v>
      </c>
      <c r="N1291" t="inlineStr">
        <is>
          <t>ref</t>
        </is>
      </c>
      <c r="O1291" t="n">
        <v>75</v>
      </c>
      <c r="P1291" t="n">
        <v>0.0235</v>
      </c>
      <c r="Q1291" t="n">
        <v>80</v>
      </c>
      <c r="R1291" t="n">
        <v>0.05408</v>
      </c>
      <c r="S1291">
        <f>IMAGE("https://mitra.stanford.edu/kundaje/oak/projects/neuro-variants/variant_position/credible/roussos_2024/variant_figures/roussos_2024.childhood.GABA/rs2957583_count_position.png",4,220,900)</f>
        <v/>
      </c>
      <c r="T1291">
        <f>IMAGE("https://mitra.stanford.edu/kundaje/oak/projects/neuro-variants/variant_position/credible/roussos_2024/variant_figures/roussos_2024.childhood.GABA/rs2957583_profile_position.png",4,220,900)</f>
        <v/>
      </c>
    </row>
    <row r="1292">
      <c r="A1292" t="inlineStr">
        <is>
          <t>chr15</t>
        </is>
      </c>
      <c r="B1292" t="n">
        <v>43988411</v>
      </c>
      <c r="C1292" t="inlineStr">
        <is>
          <t>T</t>
        </is>
      </c>
      <c r="D1292" t="inlineStr">
        <is>
          <t>G</t>
        </is>
      </c>
      <c r="E1292" t="inlineStr">
        <is>
          <t>rs4924727</t>
        </is>
      </c>
      <c r="F1292" t="n">
        <v>-0.0296560346</v>
      </c>
      <c r="G1292" t="n">
        <v>0.3135316419275532</v>
      </c>
      <c r="H1292" t="n">
        <v>0.017745607506621</v>
      </c>
      <c r="I1292" t="n">
        <v>0.1234897670506847</v>
      </c>
      <c r="J1292" t="n">
        <v>0.0407520261355782</v>
      </c>
      <c r="K1292" t="n">
        <v>0.5354932912007491</v>
      </c>
      <c r="L1292" t="b">
        <v>0</v>
      </c>
      <c r="M1292" t="b">
        <v>0</v>
      </c>
      <c r="N1292" t="inlineStr">
        <is>
          <t>ref</t>
        </is>
      </c>
      <c r="O1292" t="n">
        <v>30</v>
      </c>
      <c r="P1292" t="n">
        <v>0.00116</v>
      </c>
      <c r="Q1292" t="n">
        <v>-95</v>
      </c>
      <c r="R1292" t="n">
        <v>0.0809</v>
      </c>
      <c r="S1292">
        <f>IMAGE("https://mitra.stanford.edu/kundaje/oak/projects/neuro-variants/variant_position/credible/roussos_2024/variant_figures/roussos_2024.childhood.GABA/rs4924727_count_position.png",4,220,900)</f>
        <v/>
      </c>
      <c r="T1292">
        <f>IMAGE("https://mitra.stanford.edu/kundaje/oak/projects/neuro-variants/variant_position/credible/roussos_2024/variant_figures/roussos_2024.childhood.GABA/rs4924727_profile_position.png",4,220,900)</f>
        <v/>
      </c>
    </row>
    <row r="1293">
      <c r="A1293" t="inlineStr">
        <is>
          <t>chr15</t>
        </is>
      </c>
      <c r="B1293" t="n">
        <v>44054563</v>
      </c>
      <c r="C1293" t="inlineStr">
        <is>
          <t>C</t>
        </is>
      </c>
      <c r="D1293" t="inlineStr">
        <is>
          <t>T</t>
        </is>
      </c>
      <c r="E1293" t="inlineStr">
        <is>
          <t>rs12437804</t>
        </is>
      </c>
      <c r="F1293" t="n">
        <v>0.0068361322</v>
      </c>
      <c r="G1293" t="n">
        <v>0.3821657378727653</v>
      </c>
      <c r="H1293" t="n">
        <v>0.0195903523809546</v>
      </c>
      <c r="I1293" t="n">
        <v>0.0818531395665799</v>
      </c>
      <c r="J1293" t="n">
        <v>0.0148677514607023</v>
      </c>
      <c r="K1293" t="n">
        <v>0.6877252254841547</v>
      </c>
      <c r="L1293" t="b">
        <v>0</v>
      </c>
      <c r="M1293" t="b">
        <v>0</v>
      </c>
      <c r="N1293" t="inlineStr">
        <is>
          <t>alt</t>
        </is>
      </c>
      <c r="O1293" t="n">
        <v>-85</v>
      </c>
      <c r="P1293" t="n">
        <v>0.00177</v>
      </c>
      <c r="Q1293" t="n">
        <v>-100</v>
      </c>
      <c r="R1293" t="n">
        <v>0.12274</v>
      </c>
      <c r="S1293">
        <f>IMAGE("https://mitra.stanford.edu/kundaje/oak/projects/neuro-variants/variant_position/credible/roussos_2024/variant_figures/roussos_2024.childhood.GABA/rs12437804_count_position.png",4,220,900)</f>
        <v/>
      </c>
      <c r="T1293">
        <f>IMAGE("https://mitra.stanford.edu/kundaje/oak/projects/neuro-variants/variant_position/credible/roussos_2024/variant_figures/roussos_2024.childhood.GABA/rs12437804_profile_position.png",4,220,900)</f>
        <v/>
      </c>
    </row>
    <row r="1294">
      <c r="A1294" t="inlineStr">
        <is>
          <t>chr15</t>
        </is>
      </c>
      <c r="B1294" t="n">
        <v>44056202</v>
      </c>
      <c r="C1294" t="inlineStr">
        <is>
          <t>T</t>
        </is>
      </c>
      <c r="D1294" t="inlineStr">
        <is>
          <t>C</t>
        </is>
      </c>
      <c r="E1294" t="inlineStr">
        <is>
          <t>rs4419034</t>
        </is>
      </c>
      <c r="F1294" t="n">
        <v>0.0598927892</v>
      </c>
      <c r="G1294" t="n">
        <v>0.0988228318715407</v>
      </c>
      <c r="H1294" t="n">
        <v>0.0143351620438905</v>
      </c>
      <c r="I1294" t="n">
        <v>0.263245627543384</v>
      </c>
      <c r="J1294" t="n">
        <v>0.0172341940482921</v>
      </c>
      <c r="K1294" t="n">
        <v>0.6693720563431225</v>
      </c>
      <c r="L1294" t="b">
        <v>0</v>
      </c>
      <c r="M1294" t="b">
        <v>0</v>
      </c>
      <c r="N1294" t="inlineStr">
        <is>
          <t>alt</t>
        </is>
      </c>
      <c r="O1294" t="n">
        <v>100</v>
      </c>
      <c r="P1294" t="n">
        <v>0.04327</v>
      </c>
      <c r="Q1294" t="n">
        <v>100</v>
      </c>
      <c r="R1294" t="n">
        <v>0.386</v>
      </c>
      <c r="S1294">
        <f>IMAGE("https://mitra.stanford.edu/kundaje/oak/projects/neuro-variants/variant_position/credible/roussos_2024/variant_figures/roussos_2024.childhood.GABA/rs4419034_count_position.png",4,220,900)</f>
        <v/>
      </c>
      <c r="T1294">
        <f>IMAGE("https://mitra.stanford.edu/kundaje/oak/projects/neuro-variants/variant_position/credible/roussos_2024/variant_figures/roussos_2024.childhood.GABA/rs4419034_profile_position.png",4,220,900)</f>
        <v/>
      </c>
    </row>
    <row r="1295">
      <c r="A1295" t="inlineStr">
        <is>
          <t>chr15</t>
        </is>
      </c>
      <c r="B1295" t="n">
        <v>44097699</v>
      </c>
      <c r="C1295" t="inlineStr">
        <is>
          <t>G</t>
        </is>
      </c>
      <c r="D1295" t="inlineStr">
        <is>
          <t>A</t>
        </is>
      </c>
      <c r="E1295" t="inlineStr">
        <is>
          <t>rs2706488</t>
        </is>
      </c>
      <c r="F1295" t="n">
        <v>-0.07253174179999999</v>
      </c>
      <c r="G1295" t="n">
        <v>0.0656826243802397</v>
      </c>
      <c r="H1295" t="n">
        <v>0.0130364290439509</v>
      </c>
      <c r="I1295" t="n">
        <v>0.3528870709998342</v>
      </c>
      <c r="J1295" t="n">
        <v>0.0366903310925425</v>
      </c>
      <c r="K1295" t="n">
        <v>0.5481355918136506</v>
      </c>
      <c r="L1295" t="b">
        <v>0</v>
      </c>
      <c r="M1295" t="b">
        <v>0</v>
      </c>
      <c r="N1295" t="inlineStr">
        <is>
          <t>ref</t>
        </is>
      </c>
      <c r="O1295" t="n">
        <v>100</v>
      </c>
      <c r="P1295" t="n">
        <v>0.02591</v>
      </c>
      <c r="Q1295" t="n">
        <v>-100</v>
      </c>
      <c r="R1295" t="n">
        <v>0.07854999999999999</v>
      </c>
      <c r="S1295">
        <f>IMAGE("https://mitra.stanford.edu/kundaje/oak/projects/neuro-variants/variant_position/credible/roussos_2024/variant_figures/roussos_2024.childhood.GABA/rs2706488_count_position.png",4,220,900)</f>
        <v/>
      </c>
      <c r="T1295">
        <f>IMAGE("https://mitra.stanford.edu/kundaje/oak/projects/neuro-variants/variant_position/credible/roussos_2024/variant_figures/roussos_2024.childhood.GABA/rs2706488_profile_position.png",4,220,900)</f>
        <v/>
      </c>
    </row>
    <row r="1296">
      <c r="A1296" t="inlineStr">
        <is>
          <t>chr15</t>
        </is>
      </c>
      <c r="B1296" t="n">
        <v>44117884</v>
      </c>
      <c r="C1296" t="inlineStr">
        <is>
          <t>T</t>
        </is>
      </c>
      <c r="D1296" t="inlineStr">
        <is>
          <t>C</t>
        </is>
      </c>
      <c r="E1296" t="inlineStr">
        <is>
          <t>rs2957581</t>
        </is>
      </c>
      <c r="F1296" t="n">
        <v>0.00250277312</v>
      </c>
      <c r="G1296" t="n">
        <v>0.825416684758503</v>
      </c>
      <c r="H1296" t="n">
        <v>0.0265133416321727</v>
      </c>
      <c r="I1296" t="n">
        <v>0.0217525256715206</v>
      </c>
      <c r="J1296" t="n">
        <v>0.030848568616364</v>
      </c>
      <c r="K1296" t="n">
        <v>0.584140642092429</v>
      </c>
      <c r="L1296" t="b">
        <v>0</v>
      </c>
      <c r="M1296" t="b">
        <v>0</v>
      </c>
      <c r="N1296" t="inlineStr">
        <is>
          <t>alt</t>
        </is>
      </c>
      <c r="O1296" t="n">
        <v>30</v>
      </c>
      <c r="P1296" t="n">
        <v>0.001587</v>
      </c>
      <c r="Q1296" t="n">
        <v>-100</v>
      </c>
      <c r="R1296" t="n">
        <v>0.03436</v>
      </c>
      <c r="S1296">
        <f>IMAGE("https://mitra.stanford.edu/kundaje/oak/projects/neuro-variants/variant_position/credible/roussos_2024/variant_figures/roussos_2024.childhood.GABA/rs2957581_count_position.png",4,220,900)</f>
        <v/>
      </c>
      <c r="T1296">
        <f>IMAGE("https://mitra.stanford.edu/kundaje/oak/projects/neuro-variants/variant_position/credible/roussos_2024/variant_figures/roussos_2024.childhood.GABA/rs2957581_profile_position.png",4,220,900)</f>
        <v/>
      </c>
    </row>
    <row r="1297">
      <c r="A1297" t="inlineStr">
        <is>
          <t>chr15</t>
        </is>
      </c>
      <c r="B1297" t="n">
        <v>44125178</v>
      </c>
      <c r="C1297" t="inlineStr">
        <is>
          <t>G</t>
        </is>
      </c>
      <c r="D1297" t="inlineStr">
        <is>
          <t>A</t>
        </is>
      </c>
      <c r="E1297" t="inlineStr">
        <is>
          <t>rs2615285</t>
        </is>
      </c>
      <c r="F1297" t="n">
        <v>-0.0449302514</v>
      </c>
      <c r="G1297" t="n">
        <v>0.1689299829006331</v>
      </c>
      <c r="H1297" t="n">
        <v>0.0147066542138426</v>
      </c>
      <c r="I1297" t="n">
        <v>0.2409651315191483</v>
      </c>
      <c r="J1297" t="n">
        <v>0.0068082343825259</v>
      </c>
      <c r="K1297" t="n">
        <v>0.781878475149634</v>
      </c>
      <c r="L1297" t="b">
        <v>0</v>
      </c>
      <c r="M1297" t="b">
        <v>0</v>
      </c>
      <c r="N1297" t="inlineStr">
        <is>
          <t>ref</t>
        </is>
      </c>
      <c r="O1297" t="n">
        <v>-75</v>
      </c>
      <c r="P1297" t="n">
        <v>0.01332</v>
      </c>
      <c r="Q1297" t="n">
        <v>100</v>
      </c>
      <c r="R1297" t="n">
        <v>0.1279</v>
      </c>
      <c r="S1297">
        <f>IMAGE("https://mitra.stanford.edu/kundaje/oak/projects/neuro-variants/variant_position/credible/roussos_2024/variant_figures/roussos_2024.childhood.GABA/rs2615285_count_position.png",4,220,900)</f>
        <v/>
      </c>
      <c r="T1297">
        <f>IMAGE("https://mitra.stanford.edu/kundaje/oak/projects/neuro-variants/variant_position/credible/roussos_2024/variant_figures/roussos_2024.childhood.GABA/rs2615285_profile_position.png",4,220,900)</f>
        <v/>
      </c>
    </row>
    <row r="1298">
      <c r="A1298" t="inlineStr">
        <is>
          <t>chr15</t>
        </is>
      </c>
      <c r="B1298" t="n">
        <v>44127261</v>
      </c>
      <c r="C1298" t="inlineStr">
        <is>
          <t>C</t>
        </is>
      </c>
      <c r="D1298" t="inlineStr">
        <is>
          <t>T</t>
        </is>
      </c>
      <c r="E1298" t="inlineStr">
        <is>
          <t>rs2555385</t>
        </is>
      </c>
      <c r="F1298" t="n">
        <v>0.0043201040859999</v>
      </c>
      <c r="G1298" t="n">
        <v>0.6020097657424053</v>
      </c>
      <c r="H1298" t="n">
        <v>0.0257782975663802</v>
      </c>
      <c r="I1298" t="n">
        <v>0.0253796561856016</v>
      </c>
      <c r="J1298" t="n">
        <v>0.0582794077610939</v>
      </c>
      <c r="K1298" t="n">
        <v>0.475843286825259</v>
      </c>
      <c r="L1298" t="b">
        <v>0</v>
      </c>
      <c r="M1298" t="b">
        <v>0</v>
      </c>
      <c r="N1298" t="inlineStr">
        <is>
          <t>alt</t>
        </is>
      </c>
      <c r="O1298" t="n">
        <v>100</v>
      </c>
      <c r="P1298" t="n">
        <v>0.004456</v>
      </c>
      <c r="Q1298" t="n">
        <v>-100</v>
      </c>
      <c r="R1298" t="n">
        <v>0.05316</v>
      </c>
      <c r="S1298">
        <f>IMAGE("https://mitra.stanford.edu/kundaje/oak/projects/neuro-variants/variant_position/credible/roussos_2024/variant_figures/roussos_2024.childhood.GABA/rs2555385_count_position.png",4,220,900)</f>
        <v/>
      </c>
      <c r="T1298">
        <f>IMAGE("https://mitra.stanford.edu/kundaje/oak/projects/neuro-variants/variant_position/credible/roussos_2024/variant_figures/roussos_2024.childhood.GABA/rs2555385_profile_position.png",4,220,900)</f>
        <v/>
      </c>
    </row>
    <row r="1299">
      <c r="A1299" t="inlineStr">
        <is>
          <t>chr15</t>
        </is>
      </c>
      <c r="B1299" t="n">
        <v>44128046</v>
      </c>
      <c r="C1299" t="inlineStr">
        <is>
          <t>G</t>
        </is>
      </c>
      <c r="D1299" t="inlineStr">
        <is>
          <t>A</t>
        </is>
      </c>
      <c r="E1299" t="inlineStr">
        <is>
          <t>rs2114422</t>
        </is>
      </c>
      <c r="F1299" t="n">
        <v>0.0735316376</v>
      </c>
      <c r="G1299" t="n">
        <v>0.06746522095236721</v>
      </c>
      <c r="H1299" t="n">
        <v>0.0265451056324062</v>
      </c>
      <c r="I1299" t="n">
        <v>0.0217897948182462</v>
      </c>
      <c r="J1299" t="n">
        <v>0.2273690603338149</v>
      </c>
      <c r="K1299" t="n">
        <v>0.1910912156588201</v>
      </c>
      <c r="L1299" t="b">
        <v>0</v>
      </c>
      <c r="M1299" t="b">
        <v>0</v>
      </c>
      <c r="N1299" t="inlineStr">
        <is>
          <t>alt</t>
        </is>
      </c>
      <c r="O1299" t="n">
        <v>-50</v>
      </c>
      <c r="P1299" t="n">
        <v>0.04626</v>
      </c>
      <c r="Q1299" t="n">
        <v>-20</v>
      </c>
      <c r="R1299" t="n">
        <v>0.2766</v>
      </c>
      <c r="S1299">
        <f>IMAGE("https://mitra.stanford.edu/kundaje/oak/projects/neuro-variants/variant_position/credible/roussos_2024/variant_figures/roussos_2024.childhood.GABA/rs2114422_count_position.png",4,220,900)</f>
        <v/>
      </c>
      <c r="T1299">
        <f>IMAGE("https://mitra.stanford.edu/kundaje/oak/projects/neuro-variants/variant_position/credible/roussos_2024/variant_figures/roussos_2024.childhood.GABA/rs2114422_profile_position.png",4,220,900)</f>
        <v/>
      </c>
    </row>
    <row r="1300">
      <c r="A1300" t="inlineStr">
        <is>
          <t>chr15</t>
        </is>
      </c>
      <c r="B1300" t="n">
        <v>44133240</v>
      </c>
      <c r="C1300" t="inlineStr">
        <is>
          <t>A</t>
        </is>
      </c>
      <c r="D1300" t="inlineStr">
        <is>
          <t>C</t>
        </is>
      </c>
      <c r="E1300" t="inlineStr">
        <is>
          <t>rs8042697</t>
        </is>
      </c>
      <c r="F1300" t="n">
        <v>0.0006890750399999</v>
      </c>
      <c r="G1300" t="n">
        <v>0.7293304961003897</v>
      </c>
      <c r="H1300" t="n">
        <v>0.0332251821364619</v>
      </c>
      <c r="I1300" t="n">
        <v>0.007977349353504099</v>
      </c>
      <c r="J1300" t="n">
        <v>0.0079055936001339</v>
      </c>
      <c r="K1300" t="n">
        <v>0.7757319910357821</v>
      </c>
      <c r="L1300" t="b">
        <v>0</v>
      </c>
      <c r="M1300" t="b">
        <v>0</v>
      </c>
      <c r="N1300" t="inlineStr">
        <is>
          <t>alt</t>
        </is>
      </c>
      <c r="O1300" t="n">
        <v>70</v>
      </c>
      <c r="P1300" t="n">
        <v>0.004944</v>
      </c>
      <c r="Q1300" t="n">
        <v>35</v>
      </c>
      <c r="R1300" t="n">
        <v>0.02557</v>
      </c>
      <c r="S1300">
        <f>IMAGE("https://mitra.stanford.edu/kundaje/oak/projects/neuro-variants/variant_position/credible/roussos_2024/variant_figures/roussos_2024.childhood.GABA/rs8042697_count_position.png",4,220,900)</f>
        <v/>
      </c>
      <c r="T1300">
        <f>IMAGE("https://mitra.stanford.edu/kundaje/oak/projects/neuro-variants/variant_position/credible/roussos_2024/variant_figures/roussos_2024.childhood.GABA/rs8042697_profile_position.png",4,220,900)</f>
        <v/>
      </c>
    </row>
    <row r="1301">
      <c r="A1301" t="inlineStr">
        <is>
          <t>chr15</t>
        </is>
      </c>
      <c r="B1301" t="n">
        <v>44141094</v>
      </c>
      <c r="C1301" t="inlineStr">
        <is>
          <t>T</t>
        </is>
      </c>
      <c r="D1301" t="inlineStr">
        <is>
          <t>G</t>
        </is>
      </c>
      <c r="E1301" t="inlineStr">
        <is>
          <t>rs2706472</t>
        </is>
      </c>
      <c r="F1301" t="n">
        <v>0.0127398530999999</v>
      </c>
      <c r="G1301" t="n">
        <v>0.5389052094644511</v>
      </c>
      <c r="H1301" t="n">
        <v>0.0189018329068884</v>
      </c>
      <c r="I1301" t="n">
        <v>0.09467038603592901</v>
      </c>
      <c r="J1301" t="n">
        <v>0.0013926409918116</v>
      </c>
      <c r="K1301" t="n">
        <v>0.9003044956519936</v>
      </c>
      <c r="L1301" t="b">
        <v>0</v>
      </c>
      <c r="M1301" t="b">
        <v>0</v>
      </c>
      <c r="N1301" t="inlineStr">
        <is>
          <t>alt</t>
        </is>
      </c>
      <c r="O1301" t="n">
        <v>-80</v>
      </c>
      <c r="P1301" t="n">
        <v>0.1311</v>
      </c>
      <c r="Q1301" t="n">
        <v>-80</v>
      </c>
      <c r="R1301" t="n">
        <v>0.05603</v>
      </c>
      <c r="S1301">
        <f>IMAGE("https://mitra.stanford.edu/kundaje/oak/projects/neuro-variants/variant_position/credible/roussos_2024/variant_figures/roussos_2024.childhood.GABA/rs2706472_count_position.png",4,220,900)</f>
        <v/>
      </c>
      <c r="T1301">
        <f>IMAGE("https://mitra.stanford.edu/kundaje/oak/projects/neuro-variants/variant_position/credible/roussos_2024/variant_figures/roussos_2024.childhood.GABA/rs2706472_profile_position.png",4,220,900)</f>
        <v/>
      </c>
    </row>
    <row r="1302">
      <c r="A1302" t="inlineStr">
        <is>
          <t>chr15</t>
        </is>
      </c>
      <c r="B1302" t="n">
        <v>58667074</v>
      </c>
      <c r="C1302" t="inlineStr">
        <is>
          <t>T</t>
        </is>
      </c>
      <c r="D1302" t="inlineStr">
        <is>
          <t>C</t>
        </is>
      </c>
      <c r="E1302" t="inlineStr">
        <is>
          <t>rs1427281</t>
        </is>
      </c>
      <c r="F1302" t="n">
        <v>0.01762341294</v>
      </c>
      <c r="G1302" t="n">
        <v>0.4317006094310477</v>
      </c>
      <c r="H1302" t="n">
        <v>0.0074908114396756</v>
      </c>
      <c r="I1302" t="n">
        <v>0.901274926024948</v>
      </c>
      <c r="J1302" t="n">
        <v>0.0904274256036522</v>
      </c>
      <c r="K1302" t="n">
        <v>0.379817631463651</v>
      </c>
      <c r="L1302" t="b">
        <v>0</v>
      </c>
      <c r="M1302" t="b">
        <v>0</v>
      </c>
      <c r="N1302" t="inlineStr">
        <is>
          <t>alt</t>
        </is>
      </c>
      <c r="O1302" t="n">
        <v>40</v>
      </c>
      <c r="P1302" t="n">
        <v>0.001793</v>
      </c>
      <c r="Q1302" t="n">
        <v>100</v>
      </c>
      <c r="R1302" t="n">
        <v>0.11816</v>
      </c>
      <c r="S1302">
        <f>IMAGE("https://mitra.stanford.edu/kundaje/oak/projects/neuro-variants/variant_position/credible/roussos_2024/variant_figures/roussos_2024.childhood.GABA/rs1427281_count_position.png",4,220,900)</f>
        <v/>
      </c>
      <c r="T1302">
        <f>IMAGE("https://mitra.stanford.edu/kundaje/oak/projects/neuro-variants/variant_position/credible/roussos_2024/variant_figures/roussos_2024.childhood.GABA/rs1427281_profile_position.png",4,220,900)</f>
        <v/>
      </c>
    </row>
    <row r="1303">
      <c r="A1303" t="inlineStr">
        <is>
          <t>chr15</t>
        </is>
      </c>
      <c r="B1303" t="n">
        <v>58685871</v>
      </c>
      <c r="C1303" t="inlineStr">
        <is>
          <t>C</t>
        </is>
      </c>
      <c r="D1303" t="inlineStr">
        <is>
          <t>A</t>
        </is>
      </c>
      <c r="E1303" t="inlineStr">
        <is>
          <t>rs74017282</t>
        </is>
      </c>
      <c r="F1303" t="n">
        <v>0.01180678952</v>
      </c>
      <c r="G1303" t="n">
        <v>0.5578872141163279</v>
      </c>
      <c r="H1303" t="n">
        <v>0.0245040489471821</v>
      </c>
      <c r="I1303" t="n">
        <v>0.031887841660673</v>
      </c>
      <c r="J1303" t="n">
        <v>0.009829113526418199</v>
      </c>
      <c r="K1303" t="n">
        <v>0.7427825787349073</v>
      </c>
      <c r="L1303" t="b">
        <v>0</v>
      </c>
      <c r="M1303" t="b">
        <v>0</v>
      </c>
      <c r="N1303" t="inlineStr">
        <is>
          <t>alt</t>
        </is>
      </c>
      <c r="O1303" t="n">
        <v>-5</v>
      </c>
      <c r="P1303" t="n">
        <v>0.0004654</v>
      </c>
      <c r="Q1303" t="n">
        <v>30</v>
      </c>
      <c r="R1303" t="n">
        <v>0.012695</v>
      </c>
      <c r="S1303">
        <f>IMAGE("https://mitra.stanford.edu/kundaje/oak/projects/neuro-variants/variant_position/credible/roussos_2024/variant_figures/roussos_2024.childhood.GABA/rs74017282_count_position.png",4,220,900)</f>
        <v/>
      </c>
      <c r="T1303">
        <f>IMAGE("https://mitra.stanford.edu/kundaje/oak/projects/neuro-variants/variant_position/credible/roussos_2024/variant_figures/roussos_2024.childhood.GABA/rs74017282_profile_position.png",4,220,900)</f>
        <v/>
      </c>
    </row>
    <row r="1304">
      <c r="A1304" t="inlineStr">
        <is>
          <t>chr15</t>
        </is>
      </c>
      <c r="B1304" t="n">
        <v>58693802</v>
      </c>
      <c r="C1304" t="inlineStr">
        <is>
          <t>A</t>
        </is>
      </c>
      <c r="D1304" t="inlineStr">
        <is>
          <t>T</t>
        </is>
      </c>
      <c r="E1304" t="inlineStr">
        <is>
          <t>rs12912003</t>
        </is>
      </c>
      <c r="F1304" t="n">
        <v>-0.0411238388</v>
      </c>
      <c r="G1304" t="n">
        <v>0.2120297493186718</v>
      </c>
      <c r="H1304" t="n">
        <v>0.0101240085769712</v>
      </c>
      <c r="I1304" t="n">
        <v>0.624896196714599</v>
      </c>
      <c r="J1304" t="n">
        <v>0.0016020606898284</v>
      </c>
      <c r="K1304" t="n">
        <v>0.8897654356043257</v>
      </c>
      <c r="L1304" t="b">
        <v>0</v>
      </c>
      <c r="M1304" t="b">
        <v>0</v>
      </c>
      <c r="N1304" t="inlineStr">
        <is>
          <t>ref</t>
        </is>
      </c>
      <c r="O1304" t="n">
        <v>10</v>
      </c>
      <c r="P1304" t="n">
        <v>0.002014</v>
      </c>
      <c r="Q1304" t="n">
        <v>-85</v>
      </c>
      <c r="R1304" t="n">
        <v>0.0599</v>
      </c>
      <c r="S1304">
        <f>IMAGE("https://mitra.stanford.edu/kundaje/oak/projects/neuro-variants/variant_position/credible/roussos_2024/variant_figures/roussos_2024.childhood.GABA/rs12912003_count_position.png",4,220,900)</f>
        <v/>
      </c>
      <c r="T1304">
        <f>IMAGE("https://mitra.stanford.edu/kundaje/oak/projects/neuro-variants/variant_position/credible/roussos_2024/variant_figures/roussos_2024.childhood.GABA/rs12912003_profile_position.png",4,220,900)</f>
        <v/>
      </c>
    </row>
    <row r="1305">
      <c r="A1305" t="inlineStr">
        <is>
          <t>chr15</t>
        </is>
      </c>
      <c r="B1305" t="n">
        <v>58756822</v>
      </c>
      <c r="C1305" t="inlineStr">
        <is>
          <t>A</t>
        </is>
      </c>
      <c r="D1305" t="inlineStr">
        <is>
          <t>G</t>
        </is>
      </c>
      <c r="E1305" t="inlineStr">
        <is>
          <t>rs640704</t>
        </is>
      </c>
      <c r="F1305" t="n">
        <v>0.0708561318</v>
      </c>
      <c r="G1305" t="n">
        <v>0.0671436371647791</v>
      </c>
      <c r="H1305" t="n">
        <v>0.0130201496418604</v>
      </c>
      <c r="I1305" t="n">
        <v>0.3532559533002603</v>
      </c>
      <c r="J1305" t="n">
        <v>0.09809009235408681</v>
      </c>
      <c r="K1305" t="n">
        <v>0.37115771193308</v>
      </c>
      <c r="L1305" t="b">
        <v>0</v>
      </c>
      <c r="M1305" t="b">
        <v>0</v>
      </c>
      <c r="N1305" t="inlineStr">
        <is>
          <t>alt</t>
        </is>
      </c>
      <c r="O1305" t="n">
        <v>-90</v>
      </c>
      <c r="P1305" t="n">
        <v>0.01398</v>
      </c>
      <c r="Q1305" t="n">
        <v>65</v>
      </c>
      <c r="R1305" t="n">
        <v>0.05823</v>
      </c>
      <c r="S1305">
        <f>IMAGE("https://mitra.stanford.edu/kundaje/oak/projects/neuro-variants/variant_position/credible/roussos_2024/variant_figures/roussos_2024.childhood.GABA/rs640704_count_position.png",4,220,900)</f>
        <v/>
      </c>
      <c r="T1305">
        <f>IMAGE("https://mitra.stanford.edu/kundaje/oak/projects/neuro-variants/variant_position/credible/roussos_2024/variant_figures/roussos_2024.childhood.GABA/rs640704_profile_position.png",4,220,900)</f>
        <v/>
      </c>
    </row>
    <row r="1306">
      <c r="A1306" t="inlineStr">
        <is>
          <t>chr15</t>
        </is>
      </c>
      <c r="B1306" t="n">
        <v>58757147</v>
      </c>
      <c r="C1306" t="inlineStr">
        <is>
          <t>C</t>
        </is>
      </c>
      <c r="D1306" t="inlineStr">
        <is>
          <t>A</t>
        </is>
      </c>
      <c r="E1306" t="inlineStr">
        <is>
          <t>rs12437952</t>
        </is>
      </c>
      <c r="F1306" t="n">
        <v>0.0030193542059999</v>
      </c>
      <c r="G1306" t="n">
        <v>0.7215079796433662</v>
      </c>
      <c r="H1306" t="n">
        <v>0.0212162613772081</v>
      </c>
      <c r="I1306" t="n">
        <v>0.0582252053674161</v>
      </c>
      <c r="J1306" t="n">
        <v>0.0297909991413792</v>
      </c>
      <c r="K1306" t="n">
        <v>0.6094959930940604</v>
      </c>
      <c r="L1306" t="b">
        <v>0</v>
      </c>
      <c r="M1306" t="b">
        <v>0</v>
      </c>
      <c r="N1306" t="inlineStr">
        <is>
          <t>alt</t>
        </is>
      </c>
      <c r="O1306" t="n">
        <v>-50</v>
      </c>
      <c r="P1306" t="n">
        <v>0.002901</v>
      </c>
      <c r="Q1306" t="n">
        <v>-55</v>
      </c>
      <c r="R1306" t="n">
        <v>0.11523</v>
      </c>
      <c r="S1306">
        <f>IMAGE("https://mitra.stanford.edu/kundaje/oak/projects/neuro-variants/variant_position/credible/roussos_2024/variant_figures/roussos_2024.childhood.GABA/rs12437952_count_position.png",4,220,900)</f>
        <v/>
      </c>
      <c r="T1306">
        <f>IMAGE("https://mitra.stanford.edu/kundaje/oak/projects/neuro-variants/variant_position/credible/roussos_2024/variant_figures/roussos_2024.childhood.GABA/rs12437952_profile_position.png",4,220,900)</f>
        <v/>
      </c>
    </row>
    <row r="1307">
      <c r="A1307" t="inlineStr">
        <is>
          <t>chr15</t>
        </is>
      </c>
      <c r="B1307" t="n">
        <v>58774477</v>
      </c>
      <c r="C1307" t="inlineStr">
        <is>
          <t>C</t>
        </is>
      </c>
      <c r="D1307" t="inlineStr">
        <is>
          <t>T</t>
        </is>
      </c>
      <c r="E1307" t="inlineStr">
        <is>
          <t>rs8025383</t>
        </is>
      </c>
      <c r="F1307" t="n">
        <v>0.003392850388</v>
      </c>
      <c r="G1307" t="n">
        <v>0.7963268235394504</v>
      </c>
      <c r="H1307" t="n">
        <v>0.0118853249818093</v>
      </c>
      <c r="I1307" t="n">
        <v>0.4365016834681318</v>
      </c>
      <c r="J1307" t="n">
        <v>0.07785700823019399</v>
      </c>
      <c r="K1307" t="n">
        <v>0.4074276066292214</v>
      </c>
      <c r="L1307" t="b">
        <v>0</v>
      </c>
      <c r="M1307" t="b">
        <v>0</v>
      </c>
      <c r="N1307" t="inlineStr">
        <is>
          <t>alt</t>
        </is>
      </c>
      <c r="O1307" t="n">
        <v>-45</v>
      </c>
      <c r="P1307" t="n">
        <v>0.008970000000000001</v>
      </c>
      <c r="Q1307" t="n">
        <v>65</v>
      </c>
      <c r="R1307" t="n">
        <v>0.09424</v>
      </c>
      <c r="S1307">
        <f>IMAGE("https://mitra.stanford.edu/kundaje/oak/projects/neuro-variants/variant_position/credible/roussos_2024/variant_figures/roussos_2024.childhood.GABA/rs8025383_count_position.png",4,220,900)</f>
        <v/>
      </c>
      <c r="T1307">
        <f>IMAGE("https://mitra.stanford.edu/kundaje/oak/projects/neuro-variants/variant_position/credible/roussos_2024/variant_figures/roussos_2024.childhood.GABA/rs8025383_profile_position.png",4,220,900)</f>
        <v/>
      </c>
    </row>
    <row r="1308">
      <c r="A1308" t="inlineStr">
        <is>
          <t>chr15</t>
        </is>
      </c>
      <c r="B1308" t="n">
        <v>58794504</v>
      </c>
      <c r="C1308" t="inlineStr">
        <is>
          <t>T</t>
        </is>
      </c>
      <c r="D1308" t="inlineStr">
        <is>
          <t>G</t>
        </is>
      </c>
      <c r="E1308" t="inlineStr">
        <is>
          <t>rs474875</t>
        </is>
      </c>
      <c r="F1308" t="n">
        <v>0.00481467402</v>
      </c>
      <c r="G1308" t="n">
        <v>0.7261280564915469</v>
      </c>
      <c r="H1308" t="n">
        <v>0.0189644098336829</v>
      </c>
      <c r="I1308" t="n">
        <v>0.0940953295474853</v>
      </c>
      <c r="J1308" t="n">
        <v>0.09427341835773061</v>
      </c>
      <c r="K1308" t="n">
        <v>0.3792614773410217</v>
      </c>
      <c r="L1308" t="b">
        <v>0</v>
      </c>
      <c r="M1308" t="b">
        <v>0</v>
      </c>
      <c r="N1308" t="inlineStr">
        <is>
          <t>alt</t>
        </is>
      </c>
      <c r="O1308" t="n">
        <v>-90</v>
      </c>
      <c r="P1308" t="n">
        <v>0.01993</v>
      </c>
      <c r="Q1308" t="n">
        <v>-100</v>
      </c>
      <c r="R1308" t="n">
        <v>0.0878</v>
      </c>
      <c r="S1308">
        <f>IMAGE("https://mitra.stanford.edu/kundaje/oak/projects/neuro-variants/variant_position/credible/roussos_2024/variant_figures/roussos_2024.childhood.GABA/rs474875_count_position.png",4,220,900)</f>
        <v/>
      </c>
      <c r="T1308">
        <f>IMAGE("https://mitra.stanford.edu/kundaje/oak/projects/neuro-variants/variant_position/credible/roussos_2024/variant_figures/roussos_2024.childhood.GABA/rs474875_profile_position.png",4,220,900)</f>
        <v/>
      </c>
    </row>
    <row r="1309">
      <c r="A1309" t="inlineStr">
        <is>
          <t>chr15</t>
        </is>
      </c>
      <c r="B1309" t="n">
        <v>58849507</v>
      </c>
      <c r="C1309" t="inlineStr">
        <is>
          <t>A</t>
        </is>
      </c>
      <c r="D1309" t="inlineStr">
        <is>
          <t>G</t>
        </is>
      </c>
      <c r="E1309" t="inlineStr">
        <is>
          <t>rs793571</t>
        </is>
      </c>
      <c r="F1309" t="n">
        <v>-0.0034004394499999</v>
      </c>
      <c r="G1309" t="n">
        <v>0.8598913073439408</v>
      </c>
      <c r="H1309" t="n">
        <v>0.0214554572353399</v>
      </c>
      <c r="I1309" t="n">
        <v>0.0562971815512566</v>
      </c>
      <c r="J1309" t="n">
        <v>0.0255293082867374</v>
      </c>
      <c r="K1309" t="n">
        <v>0.6366761938116432</v>
      </c>
      <c r="L1309" t="b">
        <v>0</v>
      </c>
      <c r="M1309" t="b">
        <v>0</v>
      </c>
      <c r="N1309" t="inlineStr">
        <is>
          <t>ref</t>
        </is>
      </c>
      <c r="O1309" t="n">
        <v>-100</v>
      </c>
      <c r="P1309" t="n">
        <v>0.01791</v>
      </c>
      <c r="Q1309" t="n">
        <v>-100</v>
      </c>
      <c r="R1309" t="n">
        <v>0.0733</v>
      </c>
      <c r="S1309">
        <f>IMAGE("https://mitra.stanford.edu/kundaje/oak/projects/neuro-variants/variant_position/credible/roussos_2024/variant_figures/roussos_2024.childhood.GABA/rs793571_count_position.png",4,220,900)</f>
        <v/>
      </c>
      <c r="T1309">
        <f>IMAGE("https://mitra.stanford.edu/kundaje/oak/projects/neuro-variants/variant_position/credible/roussos_2024/variant_figures/roussos_2024.childhood.GABA/rs793571_profile_position.png",4,220,900)</f>
        <v/>
      </c>
    </row>
    <row r="1310">
      <c r="A1310" t="inlineStr">
        <is>
          <t>chr15</t>
        </is>
      </c>
      <c r="B1310" t="n">
        <v>58882340</v>
      </c>
      <c r="C1310" t="inlineStr">
        <is>
          <t>G</t>
        </is>
      </c>
      <c r="D1310" t="inlineStr">
        <is>
          <t>T</t>
        </is>
      </c>
      <c r="E1310" t="inlineStr">
        <is>
          <t>rs7179456</t>
        </is>
      </c>
      <c r="F1310" t="n">
        <v>-0.0105767535999999</v>
      </c>
      <c r="G1310" t="n">
        <v>0.6166787812684065</v>
      </c>
      <c r="H1310" t="n">
        <v>0.0074966912082854</v>
      </c>
      <c r="I1310" t="n">
        <v>0.8987404552799472</v>
      </c>
      <c r="J1310" t="n">
        <v>0.0197964440535276</v>
      </c>
      <c r="K1310" t="n">
        <v>0.6649793193229901</v>
      </c>
      <c r="L1310" t="b">
        <v>0</v>
      </c>
      <c r="M1310" t="b">
        <v>0</v>
      </c>
      <c r="N1310" t="inlineStr">
        <is>
          <t>ref</t>
        </is>
      </c>
      <c r="O1310" t="n">
        <v>-80</v>
      </c>
      <c r="P1310" t="n">
        <v>0.01345</v>
      </c>
      <c r="Q1310" t="n">
        <v>35</v>
      </c>
      <c r="R1310" t="n">
        <v>0.03198</v>
      </c>
      <c r="S1310">
        <f>IMAGE("https://mitra.stanford.edu/kundaje/oak/projects/neuro-variants/variant_position/credible/roussos_2024/variant_figures/roussos_2024.childhood.GABA/rs7179456_count_position.png",4,220,900)</f>
        <v/>
      </c>
      <c r="T1310">
        <f>IMAGE("https://mitra.stanford.edu/kundaje/oak/projects/neuro-variants/variant_position/credible/roussos_2024/variant_figures/roussos_2024.childhood.GABA/rs7179456_profile_position.png",4,220,900)</f>
        <v/>
      </c>
    </row>
    <row r="1311">
      <c r="A1311" t="inlineStr">
        <is>
          <t>chr15</t>
        </is>
      </c>
      <c r="B1311" t="n">
        <v>58889786</v>
      </c>
      <c r="C1311" t="inlineStr">
        <is>
          <t>G</t>
        </is>
      </c>
      <c r="D1311" t="inlineStr">
        <is>
          <t>A</t>
        </is>
      </c>
      <c r="E1311" t="inlineStr">
        <is>
          <t>rs2270664</t>
        </is>
      </c>
      <c r="F1311" t="n">
        <v>0.0046436949099999</v>
      </c>
      <c r="G1311" t="n">
        <v>0.7135326887409956</v>
      </c>
      <c r="H1311" t="n">
        <v>0.0244685425459008</v>
      </c>
      <c r="I1311" t="n">
        <v>0.0327652518460147</v>
      </c>
      <c r="J1311" t="n">
        <v>0.2012931666352536</v>
      </c>
      <c r="K1311" t="n">
        <v>0.2132390906802259</v>
      </c>
      <c r="L1311" t="b">
        <v>0</v>
      </c>
      <c r="M1311" t="b">
        <v>0</v>
      </c>
      <c r="N1311" t="inlineStr">
        <is>
          <t>alt</t>
        </is>
      </c>
      <c r="O1311" t="n">
        <v>40</v>
      </c>
      <c r="P1311" t="n">
        <v>0.00233</v>
      </c>
      <c r="Q1311" t="n">
        <v>-20</v>
      </c>
      <c r="R1311" t="n">
        <v>0.1118</v>
      </c>
      <c r="S1311">
        <f>IMAGE("https://mitra.stanford.edu/kundaje/oak/projects/neuro-variants/variant_position/credible/roussos_2024/variant_figures/roussos_2024.childhood.GABA/rs2270664_count_position.png",4,220,900)</f>
        <v/>
      </c>
      <c r="T1311">
        <f>IMAGE("https://mitra.stanford.edu/kundaje/oak/projects/neuro-variants/variant_position/credible/roussos_2024/variant_figures/roussos_2024.childhood.GABA/rs2270664_profile_position.png",4,220,900)</f>
        <v/>
      </c>
    </row>
    <row r="1312">
      <c r="A1312" t="inlineStr">
        <is>
          <t>chr15</t>
        </is>
      </c>
      <c r="B1312" t="n">
        <v>58891447</v>
      </c>
      <c r="C1312" t="inlineStr">
        <is>
          <t>T</t>
        </is>
      </c>
      <c r="D1312" t="inlineStr">
        <is>
          <t>C</t>
        </is>
      </c>
      <c r="E1312" t="inlineStr">
        <is>
          <t>rs11071400</t>
        </is>
      </c>
      <c r="F1312" t="n">
        <v>-0.01311209404</v>
      </c>
      <c r="G1312" t="n">
        <v>0.5761240851344466</v>
      </c>
      <c r="H1312" t="n">
        <v>0.0238232264987327</v>
      </c>
      <c r="I1312" t="n">
        <v>0.035395887944136</v>
      </c>
      <c r="J1312" t="n">
        <v>0.002020900085862</v>
      </c>
      <c r="K1312" t="n">
        <v>0.8794114263319662</v>
      </c>
      <c r="L1312" t="b">
        <v>0</v>
      </c>
      <c r="M1312" t="b">
        <v>0</v>
      </c>
      <c r="N1312" t="inlineStr">
        <is>
          <t>ref</t>
        </is>
      </c>
      <c r="O1312" t="n">
        <v>100</v>
      </c>
      <c r="P1312" t="n">
        <v>0.00701</v>
      </c>
      <c r="Q1312" t="n">
        <v>100</v>
      </c>
      <c r="R1312" t="n">
        <v>0.1539</v>
      </c>
      <c r="S1312">
        <f>IMAGE("https://mitra.stanford.edu/kundaje/oak/projects/neuro-variants/variant_position/credible/roussos_2024/variant_figures/roussos_2024.childhood.GABA/rs11071400_count_position.png",4,220,900)</f>
        <v/>
      </c>
      <c r="T1312">
        <f>IMAGE("https://mitra.stanford.edu/kundaje/oak/projects/neuro-variants/variant_position/credible/roussos_2024/variant_figures/roussos_2024.childhood.GABA/rs11071400_profile_position.png",4,220,900)</f>
        <v/>
      </c>
    </row>
    <row r="1313">
      <c r="A1313" t="inlineStr">
        <is>
          <t>chr15</t>
        </is>
      </c>
      <c r="B1313" t="n">
        <v>58905741</v>
      </c>
      <c r="C1313" t="inlineStr">
        <is>
          <t>T</t>
        </is>
      </c>
      <c r="D1313" t="inlineStr">
        <is>
          <t>C</t>
        </is>
      </c>
      <c r="E1313" t="inlineStr">
        <is>
          <t>rs11857223</t>
        </is>
      </c>
      <c r="F1313" t="n">
        <v>0.0590469472</v>
      </c>
      <c r="G1313" t="n">
        <v>0.1000293628924619</v>
      </c>
      <c r="H1313" t="n">
        <v>0.0145094578365878</v>
      </c>
      <c r="I1313" t="n">
        <v>0.249056998704557</v>
      </c>
      <c r="J1313" t="n">
        <v>0.0017078176373269</v>
      </c>
      <c r="K1313" t="n">
        <v>0.887512939798477</v>
      </c>
      <c r="L1313" t="b">
        <v>0</v>
      </c>
      <c r="M1313" t="b">
        <v>0</v>
      </c>
      <c r="N1313" t="inlineStr">
        <is>
          <t>alt</t>
        </is>
      </c>
      <c r="O1313" t="n">
        <v>-75</v>
      </c>
      <c r="P1313" t="n">
        <v>0.0631</v>
      </c>
      <c r="Q1313" t="n">
        <v>100</v>
      </c>
      <c r="R1313" t="n">
        <v>0.06104</v>
      </c>
      <c r="S1313">
        <f>IMAGE("https://mitra.stanford.edu/kundaje/oak/projects/neuro-variants/variant_position/credible/roussos_2024/variant_figures/roussos_2024.childhood.GABA/rs11857223_count_position.png",4,220,900)</f>
        <v/>
      </c>
      <c r="T1313">
        <f>IMAGE("https://mitra.stanford.edu/kundaje/oak/projects/neuro-variants/variant_position/credible/roussos_2024/variant_figures/roussos_2024.childhood.GABA/rs11857223_profile_position.png",4,220,900)</f>
        <v/>
      </c>
    </row>
    <row r="1314">
      <c r="A1314" t="inlineStr">
        <is>
          <t>chr15</t>
        </is>
      </c>
      <c r="B1314" t="n">
        <v>58910399</v>
      </c>
      <c r="C1314" t="inlineStr">
        <is>
          <t>G</t>
        </is>
      </c>
      <c r="D1314" t="inlineStr">
        <is>
          <t>T</t>
        </is>
      </c>
      <c r="E1314" t="inlineStr">
        <is>
          <t>rs4774315</t>
        </is>
      </c>
      <c r="F1314" t="n">
        <v>-0.0147698262599999</v>
      </c>
      <c r="G1314" t="n">
        <v>0.526326945710592</v>
      </c>
      <c r="H1314" t="n">
        <v>0.0072018590981023</v>
      </c>
      <c r="I1314" t="n">
        <v>0.91769089497446</v>
      </c>
      <c r="J1314" t="n">
        <v>0.0183116583945885</v>
      </c>
      <c r="K1314" t="n">
        <v>0.6597401966466062</v>
      </c>
      <c r="L1314" t="b">
        <v>0</v>
      </c>
      <c r="M1314" t="b">
        <v>0</v>
      </c>
      <c r="N1314" t="inlineStr">
        <is>
          <t>ref</t>
        </is>
      </c>
      <c r="O1314" t="n">
        <v>-95</v>
      </c>
      <c r="P1314" t="n">
        <v>0.003077</v>
      </c>
      <c r="Q1314" t="n">
        <v>-95</v>
      </c>
      <c r="R1314" t="n">
        <v>0.1401</v>
      </c>
      <c r="S1314">
        <f>IMAGE("https://mitra.stanford.edu/kundaje/oak/projects/neuro-variants/variant_position/credible/roussos_2024/variant_figures/roussos_2024.childhood.GABA/rs4774315_count_position.png",4,220,900)</f>
        <v/>
      </c>
      <c r="T1314">
        <f>IMAGE("https://mitra.stanford.edu/kundaje/oak/projects/neuro-variants/variant_position/credible/roussos_2024/variant_figures/roussos_2024.childhood.GABA/rs4774315_profile_position.png",4,220,900)</f>
        <v/>
      </c>
    </row>
    <row r="1315">
      <c r="A1315" t="inlineStr">
        <is>
          <t>chr15</t>
        </is>
      </c>
      <c r="B1315" t="n">
        <v>58946062</v>
      </c>
      <c r="C1315" t="inlineStr">
        <is>
          <t>A</t>
        </is>
      </c>
      <c r="D1315" t="inlineStr">
        <is>
          <t>G</t>
        </is>
      </c>
      <c r="E1315" t="inlineStr">
        <is>
          <t>rs4775106</t>
        </is>
      </c>
      <c r="F1315" t="n">
        <v>0.0197816221999999</v>
      </c>
      <c r="G1315" t="n">
        <v>0.4090639267848233</v>
      </c>
      <c r="H1315" t="n">
        <v>0.0102583300377852</v>
      </c>
      <c r="I1315" t="n">
        <v>0.6085801840366531</v>
      </c>
      <c r="J1315" t="n">
        <v>0.0148541391803312</v>
      </c>
      <c r="K1315" t="n">
        <v>0.6871810431250921</v>
      </c>
      <c r="L1315" t="b">
        <v>0</v>
      </c>
      <c r="M1315" t="b">
        <v>0</v>
      </c>
      <c r="N1315" t="inlineStr">
        <is>
          <t>alt</t>
        </is>
      </c>
      <c r="O1315" t="n">
        <v>-30</v>
      </c>
      <c r="P1315" t="n">
        <v>0.001541</v>
      </c>
      <c r="Q1315" t="n">
        <v>100</v>
      </c>
      <c r="R1315" t="n">
        <v>0.1963</v>
      </c>
      <c r="S1315">
        <f>IMAGE("https://mitra.stanford.edu/kundaje/oak/projects/neuro-variants/variant_position/credible/roussos_2024/variant_figures/roussos_2024.childhood.GABA/rs4775106_count_position.png",4,220,900)</f>
        <v/>
      </c>
      <c r="T1315">
        <f>IMAGE("https://mitra.stanford.edu/kundaje/oak/projects/neuro-variants/variant_position/credible/roussos_2024/variant_figures/roussos_2024.childhood.GABA/rs4775106_profile_position.png",4,220,900)</f>
        <v/>
      </c>
    </row>
    <row r="1316">
      <c r="A1316" t="inlineStr">
        <is>
          <t>chr15</t>
        </is>
      </c>
      <c r="B1316" t="n">
        <v>59067727</v>
      </c>
      <c r="C1316" t="inlineStr">
        <is>
          <t>C</t>
        </is>
      </c>
      <c r="D1316" t="inlineStr">
        <is>
          <t>T</t>
        </is>
      </c>
      <c r="E1316" t="inlineStr">
        <is>
          <t>rs8042896</t>
        </is>
      </c>
      <c r="F1316" t="n">
        <v>0.0578688278</v>
      </c>
      <c r="G1316" t="n">
        <v>0.1247950382643055</v>
      </c>
      <c r="H1316" t="n">
        <v>0.0231070441538769</v>
      </c>
      <c r="I1316" t="n">
        <v>0.040820481496829</v>
      </c>
      <c r="J1316" t="n">
        <v>0.0475131410860504</v>
      </c>
      <c r="K1316" t="n">
        <v>0.526974747927617</v>
      </c>
      <c r="L1316" t="b">
        <v>0</v>
      </c>
      <c r="M1316" t="b">
        <v>0</v>
      </c>
      <c r="N1316" t="inlineStr">
        <is>
          <t>alt</t>
        </is>
      </c>
      <c r="O1316" t="n">
        <v>65</v>
      </c>
      <c r="P1316" t="n">
        <v>0.003632</v>
      </c>
      <c r="Q1316" t="n">
        <v>65</v>
      </c>
      <c r="R1316" t="n">
        <v>0.05313</v>
      </c>
      <c r="S1316">
        <f>IMAGE("https://mitra.stanford.edu/kundaje/oak/projects/neuro-variants/variant_position/credible/roussos_2024/variant_figures/roussos_2024.childhood.GABA/rs8042896_count_position.png",4,220,900)</f>
        <v/>
      </c>
      <c r="T1316">
        <f>IMAGE("https://mitra.stanford.edu/kundaje/oak/projects/neuro-variants/variant_position/credible/roussos_2024/variant_figures/roussos_2024.childhood.GABA/rs8042896_profile_position.png",4,220,900)</f>
        <v/>
      </c>
    </row>
    <row r="1317">
      <c r="A1317" t="inlineStr">
        <is>
          <t>chr15</t>
        </is>
      </c>
      <c r="B1317" t="n">
        <v>59072894</v>
      </c>
      <c r="C1317" t="inlineStr">
        <is>
          <t>C</t>
        </is>
      </c>
      <c r="D1317" t="inlineStr">
        <is>
          <t>A</t>
        </is>
      </c>
      <c r="E1317" t="inlineStr">
        <is>
          <t>rs78352043</t>
        </is>
      </c>
      <c r="F1317" t="n">
        <v>0.0189549872</v>
      </c>
      <c r="G1317" t="n">
        <v>0.4297527572900566</v>
      </c>
      <c r="H1317" t="n">
        <v>0.0384764178842312</v>
      </c>
      <c r="I1317" t="n">
        <v>0.0046895270336107</v>
      </c>
      <c r="J1317" t="n">
        <v>0.0247188540554124</v>
      </c>
      <c r="K1317" t="n">
        <v>0.6363038371831374</v>
      </c>
      <c r="L1317" t="b">
        <v>1</v>
      </c>
      <c r="M1317" t="b">
        <v>0</v>
      </c>
      <c r="N1317" t="inlineStr">
        <is>
          <t>alt</t>
        </is>
      </c>
      <c r="O1317" t="n">
        <v>50</v>
      </c>
      <c r="P1317" t="n">
        <v>0.001831</v>
      </c>
      <c r="Q1317" t="n">
        <v>100</v>
      </c>
      <c r="R1317" t="n">
        <v>0.0921</v>
      </c>
      <c r="S1317">
        <f>IMAGE("https://mitra.stanford.edu/kundaje/oak/projects/neuro-variants/variant_position/credible/roussos_2024/variant_figures/roussos_2024.childhood.GABA/rs78352043_count_position.png",4,220,900)</f>
        <v/>
      </c>
      <c r="T1317">
        <f>IMAGE("https://mitra.stanford.edu/kundaje/oak/projects/neuro-variants/variant_position/credible/roussos_2024/variant_figures/roussos_2024.childhood.GABA/rs78352043_profile_position.png",4,220,900)</f>
        <v/>
      </c>
    </row>
    <row r="1318">
      <c r="A1318" t="inlineStr">
        <is>
          <t>chr15</t>
        </is>
      </c>
      <c r="B1318" t="n">
        <v>61539481</v>
      </c>
      <c r="C1318" t="inlineStr">
        <is>
          <t>T</t>
        </is>
      </c>
      <c r="D1318" t="inlineStr">
        <is>
          <t>C</t>
        </is>
      </c>
      <c r="E1318" t="inlineStr">
        <is>
          <t>rs11633501</t>
        </is>
      </c>
      <c r="F1318" t="n">
        <v>0.1293204687999999</v>
      </c>
      <c r="G1318" t="n">
        <v>0.0160245998441171</v>
      </c>
      <c r="H1318" t="n">
        <v>0.022583129331405</v>
      </c>
      <c r="I1318" t="n">
        <v>0.0486771206848297</v>
      </c>
      <c r="J1318" t="n">
        <v>0.0512586123850808</v>
      </c>
      <c r="K1318" t="n">
        <v>0.5058724717696308</v>
      </c>
      <c r="L1318" t="b">
        <v>1</v>
      </c>
      <c r="M1318" t="b">
        <v>0</v>
      </c>
      <c r="N1318" t="inlineStr">
        <is>
          <t>alt</t>
        </is>
      </c>
      <c r="O1318" t="n">
        <v>100</v>
      </c>
      <c r="P1318" t="n">
        <v>0.01238</v>
      </c>
      <c r="Q1318" t="n">
        <v>70</v>
      </c>
      <c r="R1318" t="n">
        <v>0.1731</v>
      </c>
      <c r="S1318">
        <f>IMAGE("https://mitra.stanford.edu/kundaje/oak/projects/neuro-variants/variant_position/credible/roussos_2024/variant_figures/roussos_2024.childhood.GABA/rs11633501_count_position.png",4,220,900)</f>
        <v/>
      </c>
      <c r="T1318">
        <f>IMAGE("https://mitra.stanford.edu/kundaje/oak/projects/neuro-variants/variant_position/credible/roussos_2024/variant_figures/roussos_2024.childhood.GABA/rs11633501_profile_position.png",4,220,900)</f>
        <v/>
      </c>
    </row>
    <row r="1319">
      <c r="A1319" t="inlineStr">
        <is>
          <t>chr15</t>
        </is>
      </c>
      <c r="B1319" t="n">
        <v>61546114</v>
      </c>
      <c r="C1319" t="inlineStr">
        <is>
          <t>C</t>
        </is>
      </c>
      <c r="D1319" t="inlineStr">
        <is>
          <t>T</t>
        </is>
      </c>
      <c r="E1319" t="inlineStr">
        <is>
          <t>rs4635285</t>
        </is>
      </c>
      <c r="F1319" t="n">
        <v>-0.0634172274</v>
      </c>
      <c r="G1319" t="n">
        <v>0.087382932496535</v>
      </c>
      <c r="H1319" t="n">
        <v>0.0108401066085223</v>
      </c>
      <c r="I1319" t="n">
        <v>0.5333834435296778</v>
      </c>
      <c r="J1319" t="n">
        <v>0.2256905614542103</v>
      </c>
      <c r="K1319" t="n">
        <v>0.1935597299463793</v>
      </c>
      <c r="L1319" t="b">
        <v>0</v>
      </c>
      <c r="M1319" t="b">
        <v>0</v>
      </c>
      <c r="N1319" t="inlineStr">
        <is>
          <t>ref</t>
        </is>
      </c>
      <c r="O1319" t="n">
        <v>55</v>
      </c>
      <c r="P1319" t="n">
        <v>0.005882</v>
      </c>
      <c r="Q1319" t="n">
        <v>-55</v>
      </c>
      <c r="R1319" t="n">
        <v>0.02686</v>
      </c>
      <c r="S1319">
        <f>IMAGE("https://mitra.stanford.edu/kundaje/oak/projects/neuro-variants/variant_position/credible/roussos_2024/variant_figures/roussos_2024.childhood.GABA/rs4635285_count_position.png",4,220,900)</f>
        <v/>
      </c>
      <c r="T1319">
        <f>IMAGE("https://mitra.stanford.edu/kundaje/oak/projects/neuro-variants/variant_position/credible/roussos_2024/variant_figures/roussos_2024.childhood.GABA/rs4635285_profile_position.png",4,220,900)</f>
        <v/>
      </c>
    </row>
    <row r="1320">
      <c r="A1320" t="inlineStr">
        <is>
          <t>chr15</t>
        </is>
      </c>
      <c r="B1320" t="n">
        <v>61559059</v>
      </c>
      <c r="C1320" t="inlineStr">
        <is>
          <t>G</t>
        </is>
      </c>
      <c r="D1320" t="inlineStr">
        <is>
          <t>T</t>
        </is>
      </c>
      <c r="E1320" t="inlineStr">
        <is>
          <t>rs55835773</t>
        </is>
      </c>
      <c r="F1320" t="n">
        <v>0.10906053</v>
      </c>
      <c r="G1320" t="n">
        <v>0.0241841539944437</v>
      </c>
      <c r="H1320" t="n">
        <v>0.0270118560079893</v>
      </c>
      <c r="I1320" t="n">
        <v>0.0221523647732219</v>
      </c>
      <c r="J1320" t="n">
        <v>0.1393824213105484</v>
      </c>
      <c r="K1320" t="n">
        <v>0.28446348445982</v>
      </c>
      <c r="L1320" t="b">
        <v>0</v>
      </c>
      <c r="M1320" t="b">
        <v>0</v>
      </c>
      <c r="N1320" t="inlineStr">
        <is>
          <t>alt</t>
        </is>
      </c>
      <c r="O1320" t="n">
        <v>60</v>
      </c>
      <c r="P1320" t="n">
        <v>0.006912</v>
      </c>
      <c r="Q1320" t="n">
        <v>-70</v>
      </c>
      <c r="R1320" t="n">
        <v>0.067</v>
      </c>
      <c r="S1320">
        <f>IMAGE("https://mitra.stanford.edu/kundaje/oak/projects/neuro-variants/variant_position/credible/roussos_2024/variant_figures/roussos_2024.childhood.GABA/rs55835773_count_position.png",4,220,900)</f>
        <v/>
      </c>
      <c r="T1320">
        <f>IMAGE("https://mitra.stanford.edu/kundaje/oak/projects/neuro-variants/variant_position/credible/roussos_2024/variant_figures/roussos_2024.childhood.GABA/rs55835773_profile_position.png",4,220,900)</f>
        <v/>
      </c>
    </row>
    <row r="1321">
      <c r="A1321" t="inlineStr">
        <is>
          <t>chr15</t>
        </is>
      </c>
      <c r="B1321" t="n">
        <v>61559075</v>
      </c>
      <c r="C1321" t="inlineStr">
        <is>
          <t>C</t>
        </is>
      </c>
      <c r="D1321" t="inlineStr">
        <is>
          <t>T</t>
        </is>
      </c>
      <c r="E1321" t="inlineStr">
        <is>
          <t>rs55835940</t>
        </is>
      </c>
      <c r="F1321" t="n">
        <v>-0.0837148304</v>
      </c>
      <c r="G1321" t="n">
        <v>0.0582854582053942</v>
      </c>
      <c r="H1321" t="n">
        <v>0.0208458200128674</v>
      </c>
      <c r="I1321" t="n">
        <v>0.0791239798086007</v>
      </c>
      <c r="J1321" t="n">
        <v>0.1058166321124164</v>
      </c>
      <c r="K1321" t="n">
        <v>0.3413368132713728</v>
      </c>
      <c r="L1321" t="b">
        <v>0</v>
      </c>
      <c r="M1321" t="b">
        <v>0</v>
      </c>
      <c r="N1321" t="inlineStr">
        <is>
          <t>ref</t>
        </is>
      </c>
      <c r="O1321" t="n">
        <v>-95</v>
      </c>
      <c r="P1321" t="n">
        <v>0.00818</v>
      </c>
      <c r="Q1321" t="n">
        <v>-90</v>
      </c>
      <c r="R1321" t="n">
        <v>0.1161</v>
      </c>
      <c r="S1321">
        <f>IMAGE("https://mitra.stanford.edu/kundaje/oak/projects/neuro-variants/variant_position/credible/roussos_2024/variant_figures/roussos_2024.childhood.GABA/rs55835940_count_position.png",4,220,900)</f>
        <v/>
      </c>
      <c r="T1321">
        <f>IMAGE("https://mitra.stanford.edu/kundaje/oak/projects/neuro-variants/variant_position/credible/roussos_2024/variant_figures/roussos_2024.childhood.GABA/rs55835940_profile_position.png",4,220,900)</f>
        <v/>
      </c>
    </row>
    <row r="1322">
      <c r="A1322" t="inlineStr">
        <is>
          <t>chr15</t>
        </is>
      </c>
      <c r="B1322" t="n">
        <v>61598711</v>
      </c>
      <c r="C1322" t="inlineStr">
        <is>
          <t>C</t>
        </is>
      </c>
      <c r="D1322" t="inlineStr">
        <is>
          <t>T</t>
        </is>
      </c>
      <c r="E1322" t="inlineStr">
        <is>
          <t>rs7169676</t>
        </is>
      </c>
      <c r="F1322" t="n">
        <v>-0.009723760600000001</v>
      </c>
      <c r="G1322" t="n">
        <v>0.6584382988183524</v>
      </c>
      <c r="H1322" t="n">
        <v>0.0114855412357201</v>
      </c>
      <c r="I1322" t="n">
        <v>0.4838003122464006</v>
      </c>
      <c r="J1322" t="n">
        <v>0.3280863227995225</v>
      </c>
      <c r="K1322" t="n">
        <v>0.1197432981360801</v>
      </c>
      <c r="L1322" t="b">
        <v>0</v>
      </c>
      <c r="M1322" t="b">
        <v>0</v>
      </c>
      <c r="N1322" t="inlineStr">
        <is>
          <t>ref</t>
        </is>
      </c>
      <c r="O1322" t="n">
        <v>-100</v>
      </c>
      <c r="P1322" t="n">
        <v>0.03302</v>
      </c>
      <c r="Q1322" t="n">
        <v>100</v>
      </c>
      <c r="R1322" t="n">
        <v>0.2124</v>
      </c>
      <c r="S1322">
        <f>IMAGE("https://mitra.stanford.edu/kundaje/oak/projects/neuro-variants/variant_position/credible/roussos_2024/variant_figures/roussos_2024.childhood.GABA/rs7169676_count_position.png",4,220,900)</f>
        <v/>
      </c>
      <c r="T1322">
        <f>IMAGE("https://mitra.stanford.edu/kundaje/oak/projects/neuro-variants/variant_position/credible/roussos_2024/variant_figures/roussos_2024.childhood.GABA/rs7169676_profile_position.png",4,220,900)</f>
        <v/>
      </c>
    </row>
    <row r="1323">
      <c r="A1323" t="inlineStr">
        <is>
          <t>chr15</t>
        </is>
      </c>
      <c r="B1323" t="n">
        <v>70282669</v>
      </c>
      <c r="C1323" t="inlineStr">
        <is>
          <t>G</t>
        </is>
      </c>
      <c r="D1323" t="inlineStr">
        <is>
          <t>T</t>
        </is>
      </c>
      <c r="E1323" t="inlineStr">
        <is>
          <t>rs28620094</t>
        </is>
      </c>
      <c r="F1323" t="n">
        <v>0.1354324066</v>
      </c>
      <c r="G1323" t="n">
        <v>0.0192786577631184</v>
      </c>
      <c r="H1323" t="n">
        <v>0.0238160508578631</v>
      </c>
      <c r="I1323" t="n">
        <v>0.0395913247910286</v>
      </c>
      <c r="J1323" t="n">
        <v>0.0121264476136624</v>
      </c>
      <c r="K1323" t="n">
        <v>0.7354690602305685</v>
      </c>
      <c r="L1323" t="b">
        <v>1</v>
      </c>
      <c r="M1323" t="b">
        <v>0</v>
      </c>
      <c r="N1323" t="inlineStr">
        <is>
          <t>alt</t>
        </is>
      </c>
      <c r="O1323" t="n">
        <v>40</v>
      </c>
      <c r="P1323" t="n">
        <v>0.0009959999999999999</v>
      </c>
      <c r="Q1323" t="n">
        <v>-40</v>
      </c>
      <c r="R1323" t="n">
        <v>0.0769</v>
      </c>
      <c r="S1323">
        <f>IMAGE("https://mitra.stanford.edu/kundaje/oak/projects/neuro-variants/variant_position/credible/roussos_2024/variant_figures/roussos_2024.childhood.GABA/rs28620094_count_position.png",4,220,900)</f>
        <v/>
      </c>
      <c r="T1323">
        <f>IMAGE("https://mitra.stanford.edu/kundaje/oak/projects/neuro-variants/variant_position/credible/roussos_2024/variant_figures/roussos_2024.childhood.GABA/rs28620094_profile_position.png",4,220,900)</f>
        <v/>
      </c>
    </row>
    <row r="1324">
      <c r="A1324" t="inlineStr">
        <is>
          <t>chr15</t>
        </is>
      </c>
      <c r="B1324" t="n">
        <v>70283799</v>
      </c>
      <c r="C1324" t="inlineStr">
        <is>
          <t>G</t>
        </is>
      </c>
      <c r="D1324" t="inlineStr">
        <is>
          <t>A</t>
        </is>
      </c>
      <c r="E1324" t="inlineStr">
        <is>
          <t>rs1971791</t>
        </is>
      </c>
      <c r="F1324" t="n">
        <v>-0.0389098502</v>
      </c>
      <c r="G1324" t="n">
        <v>0.2244298175108006</v>
      </c>
      <c r="H1324" t="n">
        <v>0.0136853221475533</v>
      </c>
      <c r="I1324" t="n">
        <v>0.3024205797026949</v>
      </c>
      <c r="J1324" t="n">
        <v>0.0169535716529496</v>
      </c>
      <c r="K1324" t="n">
        <v>0.6859444974866531</v>
      </c>
      <c r="L1324" t="b">
        <v>0</v>
      </c>
      <c r="M1324" t="b">
        <v>0</v>
      </c>
      <c r="N1324" t="inlineStr">
        <is>
          <t>ref</t>
        </is>
      </c>
      <c r="O1324" t="n">
        <v>40</v>
      </c>
      <c r="P1324" t="n">
        <v>0.0027</v>
      </c>
      <c r="Q1324" t="n">
        <v>-90</v>
      </c>
      <c r="R1324" t="n">
        <v>0.02501</v>
      </c>
      <c r="S1324">
        <f>IMAGE("https://mitra.stanford.edu/kundaje/oak/projects/neuro-variants/variant_position/credible/roussos_2024/variant_figures/roussos_2024.childhood.GABA/rs1971791_count_position.png",4,220,900)</f>
        <v/>
      </c>
      <c r="T1324">
        <f>IMAGE("https://mitra.stanford.edu/kundaje/oak/projects/neuro-variants/variant_position/credible/roussos_2024/variant_figures/roussos_2024.childhood.GABA/rs1971791_profile_position.png",4,220,900)</f>
        <v/>
      </c>
    </row>
    <row r="1325">
      <c r="A1325" t="inlineStr">
        <is>
          <t>chr15</t>
        </is>
      </c>
      <c r="B1325" t="n">
        <v>70301656</v>
      </c>
      <c r="C1325" t="inlineStr">
        <is>
          <t>T</t>
        </is>
      </c>
      <c r="D1325" t="inlineStr">
        <is>
          <t>C</t>
        </is>
      </c>
      <c r="E1325" t="inlineStr">
        <is>
          <t>rs2415092</t>
        </is>
      </c>
      <c r="F1325" t="n">
        <v>0.06688055599999999</v>
      </c>
      <c r="G1325" t="n">
        <v>0.0803364046503221</v>
      </c>
      <c r="H1325" t="n">
        <v>0.018657266837413</v>
      </c>
      <c r="I1325" t="n">
        <v>0.1011089465186454</v>
      </c>
      <c r="J1325" t="n">
        <v>0.2255670038323804</v>
      </c>
      <c r="K1325" t="n">
        <v>0.1940552421441037</v>
      </c>
      <c r="L1325" t="b">
        <v>0</v>
      </c>
      <c r="M1325" t="b">
        <v>0</v>
      </c>
      <c r="N1325" t="inlineStr">
        <is>
          <t>alt</t>
        </is>
      </c>
      <c r="O1325" t="n">
        <v>-75</v>
      </c>
      <c r="P1325" t="n">
        <v>0.003933</v>
      </c>
      <c r="Q1325" t="n">
        <v>-30</v>
      </c>
      <c r="R1325" t="n">
        <v>0.03442</v>
      </c>
      <c r="S1325">
        <f>IMAGE("https://mitra.stanford.edu/kundaje/oak/projects/neuro-variants/variant_position/credible/roussos_2024/variant_figures/roussos_2024.childhood.GABA/rs2415092_count_position.png",4,220,900)</f>
        <v/>
      </c>
      <c r="T1325">
        <f>IMAGE("https://mitra.stanford.edu/kundaje/oak/projects/neuro-variants/variant_position/credible/roussos_2024/variant_figures/roussos_2024.childhood.GABA/rs2415092_profile_position.png",4,220,900)</f>
        <v/>
      </c>
    </row>
    <row r="1326">
      <c r="A1326" t="inlineStr">
        <is>
          <t>chr15</t>
        </is>
      </c>
      <c r="B1326" t="n">
        <v>78447129</v>
      </c>
      <c r="C1326" t="inlineStr">
        <is>
          <t>T</t>
        </is>
      </c>
      <c r="D1326" t="inlineStr">
        <is>
          <t>C</t>
        </is>
      </c>
      <c r="E1326" t="inlineStr">
        <is>
          <t>rs2915695</t>
        </is>
      </c>
      <c r="F1326" t="n">
        <v>0.092531287</v>
      </c>
      <c r="G1326" t="n">
        <v>0.0364961540158284</v>
      </c>
      <c r="H1326" t="n">
        <v>0.0189019555962773</v>
      </c>
      <c r="I1326" t="n">
        <v>0.1010176370859293</v>
      </c>
      <c r="J1326" t="n">
        <v>0.0392159326506251</v>
      </c>
      <c r="K1326" t="n">
        <v>0.5611129261034579</v>
      </c>
      <c r="L1326" t="b">
        <v>0</v>
      </c>
      <c r="M1326" t="b">
        <v>0</v>
      </c>
      <c r="N1326" t="inlineStr">
        <is>
          <t>alt</t>
        </is>
      </c>
      <c r="O1326" t="n">
        <v>-55</v>
      </c>
      <c r="P1326" t="n">
        <v>0.01434</v>
      </c>
      <c r="Q1326" t="n">
        <v>-40</v>
      </c>
      <c r="R1326" t="n">
        <v>0.02795</v>
      </c>
      <c r="S1326">
        <f>IMAGE("https://mitra.stanford.edu/kundaje/oak/projects/neuro-variants/variant_position/credible/roussos_2024/variant_figures/roussos_2024.childhood.GABA/rs2915695_count_position.png",4,220,900)</f>
        <v/>
      </c>
      <c r="T1326">
        <f>IMAGE("https://mitra.stanford.edu/kundaje/oak/projects/neuro-variants/variant_position/credible/roussos_2024/variant_figures/roussos_2024.childhood.GABA/rs2915695_profile_position.png",4,220,900)</f>
        <v/>
      </c>
    </row>
    <row r="1327">
      <c r="A1327" t="inlineStr">
        <is>
          <t>chr15</t>
        </is>
      </c>
      <c r="B1327" t="n">
        <v>78571130</v>
      </c>
      <c r="C1327" t="inlineStr">
        <is>
          <t>T</t>
        </is>
      </c>
      <c r="D1327" t="inlineStr">
        <is>
          <t>C</t>
        </is>
      </c>
      <c r="E1327" t="inlineStr">
        <is>
          <t>rs667282</t>
        </is>
      </c>
      <c r="F1327" t="n">
        <v>0.063801526</v>
      </c>
      <c r="G1327" t="n">
        <v>0.0882398394078919</v>
      </c>
      <c r="H1327" t="n">
        <v>0.0101652114968385</v>
      </c>
      <c r="I1327" t="n">
        <v>0.6226847141631165</v>
      </c>
      <c r="J1327" t="n">
        <v>0.0513025905216644</v>
      </c>
      <c r="K1327" t="n">
        <v>0.4936764069450789</v>
      </c>
      <c r="L1327" t="b">
        <v>0</v>
      </c>
      <c r="M1327" t="b">
        <v>0</v>
      </c>
      <c r="N1327" t="inlineStr">
        <is>
          <t>alt</t>
        </is>
      </c>
      <c r="O1327" t="n">
        <v>-80</v>
      </c>
      <c r="P1327" t="n">
        <v>0.003096</v>
      </c>
      <c r="Q1327" t="n">
        <v>90</v>
      </c>
      <c r="R1327" t="n">
        <v>0.11285</v>
      </c>
      <c r="S1327">
        <f>IMAGE("https://mitra.stanford.edu/kundaje/oak/projects/neuro-variants/variant_position/credible/roussos_2024/variant_figures/roussos_2024.childhood.GABA/rs667282_count_position.png",4,220,900)</f>
        <v/>
      </c>
      <c r="T1327">
        <f>IMAGE("https://mitra.stanford.edu/kundaje/oak/projects/neuro-variants/variant_position/credible/roussos_2024/variant_figures/roussos_2024.childhood.GABA/rs667282_profile_position.png",4,220,900)</f>
        <v/>
      </c>
    </row>
    <row r="1328">
      <c r="A1328" t="inlineStr">
        <is>
          <t>chr15</t>
        </is>
      </c>
      <c r="B1328" t="n">
        <v>78602417</v>
      </c>
      <c r="C1328" t="inlineStr">
        <is>
          <t>C</t>
        </is>
      </c>
      <c r="D1328" t="inlineStr">
        <is>
          <t>G</t>
        </is>
      </c>
      <c r="E1328" t="inlineStr">
        <is>
          <t>rs3743078</t>
        </is>
      </c>
      <c r="F1328" t="n">
        <v>0.0568750831999999</v>
      </c>
      <c r="G1328" t="n">
        <v>0.1181255257104477</v>
      </c>
      <c r="H1328" t="n">
        <v>0.0163290247746203</v>
      </c>
      <c r="I1328" t="n">
        <v>0.1633742371364497</v>
      </c>
      <c r="J1328" t="n">
        <v>0.2302768528407782</v>
      </c>
      <c r="K1328" t="n">
        <v>0.1904786465695258</v>
      </c>
      <c r="L1328" t="b">
        <v>0</v>
      </c>
      <c r="M1328" t="b">
        <v>0</v>
      </c>
      <c r="N1328" t="inlineStr">
        <is>
          <t>alt</t>
        </is>
      </c>
      <c r="O1328" t="n">
        <v>35</v>
      </c>
      <c r="P1328" t="n">
        <v>0.00181</v>
      </c>
      <c r="Q1328" t="n">
        <v>100</v>
      </c>
      <c r="R1328" t="n">
        <v>0.0725</v>
      </c>
      <c r="S1328">
        <f>IMAGE("https://mitra.stanford.edu/kundaje/oak/projects/neuro-variants/variant_position/credible/roussos_2024/variant_figures/roussos_2024.childhood.GABA/rs3743078_count_position.png",4,220,900)</f>
        <v/>
      </c>
      <c r="T1328">
        <f>IMAGE("https://mitra.stanford.edu/kundaje/oak/projects/neuro-variants/variant_position/credible/roussos_2024/variant_figures/roussos_2024.childhood.GABA/rs3743078_profile_position.png",4,220,900)</f>
        <v/>
      </c>
    </row>
    <row r="1329">
      <c r="A1329" t="inlineStr">
        <is>
          <t>chr15</t>
        </is>
      </c>
      <c r="B1329" t="n">
        <v>78617916</v>
      </c>
      <c r="C1329" t="inlineStr">
        <is>
          <t>C</t>
        </is>
      </c>
      <c r="D1329" t="inlineStr">
        <is>
          <t>T</t>
        </is>
      </c>
      <c r="E1329" t="inlineStr">
        <is>
          <t>rs3825845</t>
        </is>
      </c>
      <c r="F1329" t="n">
        <v>-0.0375310538</v>
      </c>
      <c r="G1329" t="n">
        <v>0.2325748753543002</v>
      </c>
      <c r="H1329" t="n">
        <v>0.0121572081162081</v>
      </c>
      <c r="I1329" t="n">
        <v>0.4207794966113493</v>
      </c>
      <c r="J1329" t="n">
        <v>0.2829542836799229</v>
      </c>
      <c r="K1329" t="n">
        <v>0.1496158288886251</v>
      </c>
      <c r="L1329" t="b">
        <v>0</v>
      </c>
      <c r="M1329" t="b">
        <v>0</v>
      </c>
      <c r="N1329" t="inlineStr">
        <is>
          <t>ref</t>
        </is>
      </c>
      <c r="O1329" t="n">
        <v>100</v>
      </c>
      <c r="P1329" t="n">
        <v>0.01011</v>
      </c>
      <c r="Q1329" t="n">
        <v>-75</v>
      </c>
      <c r="R1329" t="n">
        <v>0.06850000000000001</v>
      </c>
      <c r="S1329">
        <f>IMAGE("https://mitra.stanford.edu/kundaje/oak/projects/neuro-variants/variant_position/credible/roussos_2024/variant_figures/roussos_2024.childhood.GABA/rs3825845_count_position.png",4,220,900)</f>
        <v/>
      </c>
      <c r="T1329">
        <f>IMAGE("https://mitra.stanford.edu/kundaje/oak/projects/neuro-variants/variant_position/credible/roussos_2024/variant_figures/roussos_2024.childhood.GABA/rs3825845_profile_position.png",4,220,900)</f>
        <v/>
      </c>
    </row>
    <row r="1330">
      <c r="A1330" t="inlineStr">
        <is>
          <t>chr15</t>
        </is>
      </c>
      <c r="B1330" t="n">
        <v>82569019</v>
      </c>
      <c r="C1330" t="inlineStr">
        <is>
          <t>T</t>
        </is>
      </c>
      <c r="D1330" t="inlineStr">
        <is>
          <t>C</t>
        </is>
      </c>
      <c r="E1330" t="inlineStr">
        <is>
          <t>rs698500</t>
        </is>
      </c>
      <c r="F1330" t="n">
        <v>0.087408397</v>
      </c>
      <c r="G1330" t="n">
        <v>0.0392755779511837</v>
      </c>
      <c r="H1330" t="n">
        <v>0.0110573093243074</v>
      </c>
      <c r="I1330" t="n">
        <v>0.532213327162382</v>
      </c>
      <c r="J1330" t="n">
        <v>0.2779135515486587</v>
      </c>
      <c r="K1330" t="n">
        <v>0.1509166152572783</v>
      </c>
      <c r="L1330" t="b">
        <v>0</v>
      </c>
      <c r="M1330" t="b">
        <v>0</v>
      </c>
      <c r="N1330" t="inlineStr">
        <is>
          <t>alt</t>
        </is>
      </c>
      <c r="O1330" t="n">
        <v>100</v>
      </c>
      <c r="P1330" t="n">
        <v>0.00874</v>
      </c>
      <c r="Q1330" t="n">
        <v>60</v>
      </c>
      <c r="R1330" t="n">
        <v>0.1714</v>
      </c>
      <c r="S1330">
        <f>IMAGE("https://mitra.stanford.edu/kundaje/oak/projects/neuro-variants/variant_position/credible/roussos_2024/variant_figures/roussos_2024.childhood.GABA/rs698500_count_position.png",4,220,900)</f>
        <v/>
      </c>
      <c r="T1330">
        <f>IMAGE("https://mitra.stanford.edu/kundaje/oak/projects/neuro-variants/variant_position/credible/roussos_2024/variant_figures/roussos_2024.childhood.GABA/rs698500_profile_position.png",4,220,900)</f>
        <v/>
      </c>
    </row>
    <row r="1331">
      <c r="A1331" t="inlineStr">
        <is>
          <t>chr15</t>
        </is>
      </c>
      <c r="B1331" t="n">
        <v>82577391</v>
      </c>
      <c r="C1331" t="inlineStr">
        <is>
          <t>T</t>
        </is>
      </c>
      <c r="D1331" t="inlineStr">
        <is>
          <t>A</t>
        </is>
      </c>
      <c r="E1331" t="inlineStr">
        <is>
          <t>rs2678445</t>
        </is>
      </c>
      <c r="F1331" t="n">
        <v>0.000552289324</v>
      </c>
      <c r="G1331" t="n">
        <v>0.9218108937133184</v>
      </c>
      <c r="H1331" t="n">
        <v>0.0220564869773783</v>
      </c>
      <c r="I1331" t="n">
        <v>0.0489177566501888</v>
      </c>
      <c r="J1331" t="n">
        <v>0.0073443488094489</v>
      </c>
      <c r="K1331" t="n">
        <v>0.7854779235873726</v>
      </c>
      <c r="L1331" t="b">
        <v>0</v>
      </c>
      <c r="M1331" t="b">
        <v>0</v>
      </c>
      <c r="N1331" t="inlineStr">
        <is>
          <t>alt</t>
        </is>
      </c>
      <c r="O1331" t="n">
        <v>75</v>
      </c>
      <c r="P1331" t="n">
        <v>0.0058</v>
      </c>
      <c r="Q1331" t="n">
        <v>80</v>
      </c>
      <c r="R1331" t="n">
        <v>0.1101</v>
      </c>
      <c r="S1331">
        <f>IMAGE("https://mitra.stanford.edu/kundaje/oak/projects/neuro-variants/variant_position/credible/roussos_2024/variant_figures/roussos_2024.childhood.GABA/rs2678445_count_position.png",4,220,900)</f>
        <v/>
      </c>
      <c r="T1331">
        <f>IMAGE("https://mitra.stanford.edu/kundaje/oak/projects/neuro-variants/variant_position/credible/roussos_2024/variant_figures/roussos_2024.childhood.GABA/rs2678445_profile_position.png",4,220,900)</f>
        <v/>
      </c>
    </row>
    <row r="1332">
      <c r="A1332" t="inlineStr">
        <is>
          <t>chr15</t>
        </is>
      </c>
      <c r="B1332" t="n">
        <v>82580618</v>
      </c>
      <c r="C1332" t="inlineStr">
        <is>
          <t>C</t>
        </is>
      </c>
      <c r="D1332" t="inlineStr">
        <is>
          <t>T</t>
        </is>
      </c>
      <c r="E1332" t="inlineStr">
        <is>
          <t>rs783532</t>
        </is>
      </c>
      <c r="F1332" t="n">
        <v>0.09343525499999999</v>
      </c>
      <c r="G1332" t="n">
        <v>0.0376983372104513</v>
      </c>
      <c r="H1332" t="n">
        <v>0.028259179464701</v>
      </c>
      <c r="I1332" t="n">
        <v>0.0165082227145774</v>
      </c>
      <c r="J1332" t="n">
        <v>0.0195032564763041</v>
      </c>
      <c r="K1332" t="n">
        <v>0.6560257553694478</v>
      </c>
      <c r="L1332" t="b">
        <v>1</v>
      </c>
      <c r="M1332" t="b">
        <v>0</v>
      </c>
      <c r="N1332" t="inlineStr">
        <is>
          <t>alt</t>
        </is>
      </c>
      <c r="O1332" t="n">
        <v>100</v>
      </c>
      <c r="P1332" t="n">
        <v>0.002983</v>
      </c>
      <c r="Q1332" t="n">
        <v>55</v>
      </c>
      <c r="R1332" t="n">
        <v>0.03375</v>
      </c>
      <c r="S1332">
        <f>IMAGE("https://mitra.stanford.edu/kundaje/oak/projects/neuro-variants/variant_position/credible/roussos_2024/variant_figures/roussos_2024.childhood.GABA/rs783532_count_position.png",4,220,900)</f>
        <v/>
      </c>
      <c r="T1332">
        <f>IMAGE("https://mitra.stanford.edu/kundaje/oak/projects/neuro-variants/variant_position/credible/roussos_2024/variant_figures/roussos_2024.childhood.GABA/rs783532_profile_position.png",4,220,900)</f>
        <v/>
      </c>
    </row>
    <row r="1333">
      <c r="A1333" t="inlineStr">
        <is>
          <t>chr15</t>
        </is>
      </c>
      <c r="B1333" t="n">
        <v>82590236</v>
      </c>
      <c r="C1333" t="inlineStr">
        <is>
          <t>A</t>
        </is>
      </c>
      <c r="D1333" t="inlineStr">
        <is>
          <t>C</t>
        </is>
      </c>
      <c r="E1333" t="inlineStr">
        <is>
          <t>rs71412256</t>
        </is>
      </c>
      <c r="F1333" t="n">
        <v>-0.0136461873999999</v>
      </c>
      <c r="G1333" t="n">
        <v>0.5534130225498222</v>
      </c>
      <c r="H1333" t="n">
        <v>0.0439812994975085</v>
      </c>
      <c r="I1333" t="n">
        <v>0.002794902753352</v>
      </c>
      <c r="J1333" t="n">
        <v>0.0106092019015308</v>
      </c>
      <c r="K1333" t="n">
        <v>0.7334585096876113</v>
      </c>
      <c r="L1333" t="b">
        <v>1</v>
      </c>
      <c r="M1333" t="b">
        <v>0</v>
      </c>
      <c r="N1333" t="inlineStr">
        <is>
          <t>ref</t>
        </is>
      </c>
      <c r="O1333" t="n">
        <v>95</v>
      </c>
      <c r="P1333" t="n">
        <v>0.00354</v>
      </c>
      <c r="Q1333" t="n">
        <v>-100</v>
      </c>
      <c r="R1333" t="n">
        <v>0.07385</v>
      </c>
      <c r="S1333">
        <f>IMAGE("https://mitra.stanford.edu/kundaje/oak/projects/neuro-variants/variant_position/credible/roussos_2024/variant_figures/roussos_2024.childhood.GABA/rs71412256_count_position.png",4,220,900)</f>
        <v/>
      </c>
      <c r="T1333">
        <f>IMAGE("https://mitra.stanford.edu/kundaje/oak/projects/neuro-variants/variant_position/credible/roussos_2024/variant_figures/roussos_2024.childhood.GABA/rs71412256_profile_position.png",4,220,900)</f>
        <v/>
      </c>
    </row>
    <row r="1334">
      <c r="A1334" t="inlineStr">
        <is>
          <t>chr15</t>
        </is>
      </c>
      <c r="B1334" t="n">
        <v>82593431</v>
      </c>
      <c r="C1334" t="inlineStr">
        <is>
          <t>T</t>
        </is>
      </c>
      <c r="D1334" t="inlineStr">
        <is>
          <t>G</t>
        </is>
      </c>
      <c r="E1334" t="inlineStr">
        <is>
          <t>rs2567635</t>
        </is>
      </c>
      <c r="F1334" t="n">
        <v>0.1841659219999999</v>
      </c>
      <c r="G1334" t="n">
        <v>0.0067016149295996</v>
      </c>
      <c r="H1334" t="n">
        <v>0.0404914927869894</v>
      </c>
      <c r="I1334" t="n">
        <v>0.0046288159107793</v>
      </c>
      <c r="J1334" t="n">
        <v>0.1483612908630185</v>
      </c>
      <c r="K1334" t="n">
        <v>0.2748164975089898</v>
      </c>
      <c r="L1334" t="b">
        <v>1</v>
      </c>
      <c r="M1334" t="b">
        <v>1</v>
      </c>
      <c r="N1334" t="inlineStr">
        <is>
          <t>alt</t>
        </is>
      </c>
      <c r="O1334" t="n">
        <v>-95</v>
      </c>
      <c r="P1334" t="n">
        <v>0.00479</v>
      </c>
      <c r="Q1334" t="n">
        <v>-45</v>
      </c>
      <c r="R1334" t="n">
        <v>0.074</v>
      </c>
      <c r="S1334">
        <f>IMAGE("https://mitra.stanford.edu/kundaje/oak/projects/neuro-variants/variant_position/credible/roussos_2024/variant_figures/roussos_2024.childhood.GABA/rs2567635_count_position.png",4,220,900)</f>
        <v/>
      </c>
      <c r="T1334">
        <f>IMAGE("https://mitra.stanford.edu/kundaje/oak/projects/neuro-variants/variant_position/credible/roussos_2024/variant_figures/roussos_2024.childhood.GABA/rs2567635_profile_position.png",4,220,900)</f>
        <v/>
      </c>
    </row>
    <row r="1335">
      <c r="A1335" t="inlineStr">
        <is>
          <t>chr15</t>
        </is>
      </c>
      <c r="B1335" t="n">
        <v>82613877</v>
      </c>
      <c r="C1335" t="inlineStr">
        <is>
          <t>T</t>
        </is>
      </c>
      <c r="D1335" t="inlineStr">
        <is>
          <t>C</t>
        </is>
      </c>
      <c r="E1335" t="inlineStr">
        <is>
          <t>rs1269134</t>
        </is>
      </c>
      <c r="F1335" t="n">
        <v>0.068455564</v>
      </c>
      <c r="G1335" t="n">
        <v>0.0738268683627168</v>
      </c>
      <c r="H1335" t="n">
        <v>0.0113652973790948</v>
      </c>
      <c r="I1335" t="n">
        <v>0.4797364094021793</v>
      </c>
      <c r="J1335" t="n">
        <v>0.2839092375028795</v>
      </c>
      <c r="K1335" t="n">
        <v>0.1467012554914037</v>
      </c>
      <c r="L1335" t="b">
        <v>0</v>
      </c>
      <c r="M1335" t="b">
        <v>0</v>
      </c>
      <c r="N1335" t="inlineStr">
        <is>
          <t>alt</t>
        </is>
      </c>
      <c r="O1335" t="n">
        <v>-95</v>
      </c>
      <c r="P1335" t="n">
        <v>0.02896</v>
      </c>
      <c r="Q1335" t="n">
        <v>35</v>
      </c>
      <c r="R1335" t="n">
        <v>0.06665</v>
      </c>
      <c r="S1335">
        <f>IMAGE("https://mitra.stanford.edu/kundaje/oak/projects/neuro-variants/variant_position/credible/roussos_2024/variant_figures/roussos_2024.childhood.GABA/rs1269134_count_position.png",4,220,900)</f>
        <v/>
      </c>
      <c r="T1335">
        <f>IMAGE("https://mitra.stanford.edu/kundaje/oak/projects/neuro-variants/variant_position/credible/roussos_2024/variant_figures/roussos_2024.childhood.GABA/rs1269134_profile_position.png",4,220,900)</f>
        <v/>
      </c>
    </row>
    <row r="1336">
      <c r="A1336" t="inlineStr">
        <is>
          <t>chr15</t>
        </is>
      </c>
      <c r="B1336" t="n">
        <v>82630613</v>
      </c>
      <c r="C1336" t="inlineStr">
        <is>
          <t>A</t>
        </is>
      </c>
      <c r="D1336" t="inlineStr">
        <is>
          <t>C</t>
        </is>
      </c>
      <c r="E1336" t="inlineStr">
        <is>
          <t>rs28374463</t>
        </is>
      </c>
      <c r="F1336" t="n">
        <v>-0.00573396846</v>
      </c>
      <c r="G1336" t="n">
        <v>0.7594181648840711</v>
      </c>
      <c r="H1336" t="n">
        <v>0.0327136057304544</v>
      </c>
      <c r="I1336" t="n">
        <v>0.008686685170700899</v>
      </c>
      <c r="J1336" t="n">
        <v>0.009599798957089799</v>
      </c>
      <c r="K1336" t="n">
        <v>0.7458407454773629</v>
      </c>
      <c r="L1336" t="b">
        <v>0</v>
      </c>
      <c r="M1336" t="b">
        <v>0</v>
      </c>
      <c r="N1336" t="inlineStr">
        <is>
          <t>ref</t>
        </is>
      </c>
      <c r="O1336" t="n">
        <v>-100</v>
      </c>
      <c r="P1336" t="n">
        <v>0.01822</v>
      </c>
      <c r="Q1336" t="n">
        <v>-95</v>
      </c>
      <c r="R1336" t="n">
        <v>0.01007</v>
      </c>
      <c r="S1336">
        <f>IMAGE("https://mitra.stanford.edu/kundaje/oak/projects/neuro-variants/variant_position/credible/roussos_2024/variant_figures/roussos_2024.childhood.GABA/rs28374463_count_position.png",4,220,900)</f>
        <v/>
      </c>
      <c r="T1336">
        <f>IMAGE("https://mitra.stanford.edu/kundaje/oak/projects/neuro-variants/variant_position/credible/roussos_2024/variant_figures/roussos_2024.childhood.GABA/rs28374463_profile_position.png",4,220,900)</f>
        <v/>
      </c>
    </row>
    <row r="1337">
      <c r="A1337" t="inlineStr">
        <is>
          <t>chr15</t>
        </is>
      </c>
      <c r="B1337" t="n">
        <v>82697544</v>
      </c>
      <c r="C1337" t="inlineStr">
        <is>
          <t>A</t>
        </is>
      </c>
      <c r="D1337" t="inlineStr">
        <is>
          <t>C</t>
        </is>
      </c>
      <c r="E1337" t="inlineStr">
        <is>
          <t>rs10906984</t>
        </is>
      </c>
      <c r="F1337" t="n">
        <v>-0.1663303632</v>
      </c>
      <c r="G1337" t="n">
        <v>0.0087071871177414</v>
      </c>
      <c r="H1337" t="n">
        <v>0.0280496933757273</v>
      </c>
      <c r="I1337" t="n">
        <v>0.0182334924071993</v>
      </c>
      <c r="J1337" t="n">
        <v>0.2737146866034219</v>
      </c>
      <c r="K1337" t="n">
        <v>0.1543560123416993</v>
      </c>
      <c r="L1337" t="b">
        <v>1</v>
      </c>
      <c r="M1337" t="b">
        <v>1</v>
      </c>
      <c r="N1337" t="inlineStr">
        <is>
          <t>ref</t>
        </is>
      </c>
      <c r="O1337" t="n">
        <v>-100</v>
      </c>
      <c r="P1337" t="n">
        <v>0.0752</v>
      </c>
      <c r="Q1337" t="n">
        <v>-90</v>
      </c>
      <c r="R1337" t="n">
        <v>0.0365</v>
      </c>
      <c r="S1337">
        <f>IMAGE("https://mitra.stanford.edu/kundaje/oak/projects/neuro-variants/variant_position/credible/roussos_2024/variant_figures/roussos_2024.childhood.GABA/rs10906984_count_position.png",4,220,900)</f>
        <v/>
      </c>
      <c r="T1337">
        <f>IMAGE("https://mitra.stanford.edu/kundaje/oak/projects/neuro-variants/variant_position/credible/roussos_2024/variant_figures/roussos_2024.childhood.GABA/rs10906984_profile_position.png",4,220,900)</f>
        <v/>
      </c>
    </row>
    <row r="1338">
      <c r="A1338" t="inlineStr">
        <is>
          <t>chr15</t>
        </is>
      </c>
      <c r="B1338" t="n">
        <v>82699762</v>
      </c>
      <c r="C1338" t="inlineStr">
        <is>
          <t>T</t>
        </is>
      </c>
      <c r="D1338" t="inlineStr">
        <is>
          <t>G</t>
        </is>
      </c>
      <c r="E1338" t="inlineStr">
        <is>
          <t>rs9652567</t>
        </is>
      </c>
      <c r="F1338" t="n">
        <v>0.032234474</v>
      </c>
      <c r="G1338" t="n">
        <v>0.2629543085573246</v>
      </c>
      <c r="H1338" t="n">
        <v>0.0177766137920297</v>
      </c>
      <c r="I1338" t="n">
        <v>0.1228919825820753</v>
      </c>
      <c r="J1338" t="n">
        <v>0.466260392452514</v>
      </c>
      <c r="K1338" t="n">
        <v>0.06118298874717</v>
      </c>
      <c r="L1338" t="b">
        <v>0</v>
      </c>
      <c r="M1338" t="b">
        <v>0</v>
      </c>
      <c r="N1338" t="inlineStr">
        <is>
          <t>alt</t>
        </is>
      </c>
      <c r="O1338" t="n">
        <v>100</v>
      </c>
      <c r="P1338" t="n">
        <v>0.008606000000000001</v>
      </c>
      <c r="Q1338" t="n">
        <v>100</v>
      </c>
      <c r="R1338" t="n">
        <v>0.1426</v>
      </c>
      <c r="S1338">
        <f>IMAGE("https://mitra.stanford.edu/kundaje/oak/projects/neuro-variants/variant_position/credible/roussos_2024/variant_figures/roussos_2024.childhood.GABA/rs9652567_count_position.png",4,220,900)</f>
        <v/>
      </c>
      <c r="T1338">
        <f>IMAGE("https://mitra.stanford.edu/kundaje/oak/projects/neuro-variants/variant_position/credible/roussos_2024/variant_figures/roussos_2024.childhood.GABA/rs9652567_profile_position.png",4,220,900)</f>
        <v/>
      </c>
    </row>
    <row r="1339">
      <c r="A1339" t="inlineStr">
        <is>
          <t>chr15</t>
        </is>
      </c>
      <c r="B1339" t="n">
        <v>82706505</v>
      </c>
      <c r="C1339" t="inlineStr">
        <is>
          <t>A</t>
        </is>
      </c>
      <c r="D1339" t="inlineStr">
        <is>
          <t>G</t>
        </is>
      </c>
      <c r="E1339" t="inlineStr">
        <is>
          <t>rs4779054</t>
        </is>
      </c>
      <c r="F1339" t="n">
        <v>0.0602843452</v>
      </c>
      <c r="G1339" t="n">
        <v>0.0946562429780636</v>
      </c>
      <c r="H1339" t="n">
        <v>0.0096942924457441</v>
      </c>
      <c r="I1339" t="n">
        <v>0.6720104688474504</v>
      </c>
      <c r="J1339" t="n">
        <v>0.1460765219576553</v>
      </c>
      <c r="K1339" t="n">
        <v>0.2917497884583859</v>
      </c>
      <c r="L1339" t="b">
        <v>0</v>
      </c>
      <c r="M1339" t="b">
        <v>0</v>
      </c>
      <c r="N1339" t="inlineStr">
        <is>
          <t>alt</t>
        </is>
      </c>
      <c r="O1339" t="n">
        <v>45</v>
      </c>
      <c r="P1339" t="n">
        <v>0.000327</v>
      </c>
      <c r="Q1339" t="n">
        <v>-100</v>
      </c>
      <c r="R1339" t="n">
        <v>0.02728</v>
      </c>
      <c r="S1339">
        <f>IMAGE("https://mitra.stanford.edu/kundaje/oak/projects/neuro-variants/variant_position/credible/roussos_2024/variant_figures/roussos_2024.childhood.GABA/rs4779054_count_position.png",4,220,900)</f>
        <v/>
      </c>
      <c r="T1339">
        <f>IMAGE("https://mitra.stanford.edu/kundaje/oak/projects/neuro-variants/variant_position/credible/roussos_2024/variant_figures/roussos_2024.childhood.GABA/rs4779054_profile_position.png",4,220,900)</f>
        <v/>
      </c>
    </row>
    <row r="1340">
      <c r="A1340" t="inlineStr">
        <is>
          <t>chr15</t>
        </is>
      </c>
      <c r="B1340" t="n">
        <v>84549423</v>
      </c>
      <c r="C1340" t="inlineStr">
        <is>
          <t>A</t>
        </is>
      </c>
      <c r="D1340" t="inlineStr">
        <is>
          <t>C</t>
        </is>
      </c>
      <c r="E1340" t="inlineStr">
        <is>
          <t>rs34921234</t>
        </is>
      </c>
      <c r="F1340" t="n">
        <v>0.00718699004</v>
      </c>
      <c r="G1340" t="n">
        <v>0.5526066644171227</v>
      </c>
      <c r="H1340" t="n">
        <v>0.0114575662200934</v>
      </c>
      <c r="I1340" t="n">
        <v>0.4717655036597648</v>
      </c>
      <c r="J1340" t="n">
        <v>0.0066522167075034</v>
      </c>
      <c r="K1340" t="n">
        <v>0.7883168474834571</v>
      </c>
      <c r="L1340" t="b">
        <v>0</v>
      </c>
      <c r="M1340" t="b">
        <v>0</v>
      </c>
      <c r="N1340" t="inlineStr">
        <is>
          <t>alt</t>
        </is>
      </c>
      <c r="O1340" t="n">
        <v>40</v>
      </c>
      <c r="P1340" t="n">
        <v>0.003113</v>
      </c>
      <c r="Q1340" t="n">
        <v>95</v>
      </c>
      <c r="R1340" t="n">
        <v>0.04443</v>
      </c>
      <c r="S1340">
        <f>IMAGE("https://mitra.stanford.edu/kundaje/oak/projects/neuro-variants/variant_position/credible/roussos_2024/variant_figures/roussos_2024.childhood.GABA/rs34921234_count_position.png",4,220,900)</f>
        <v/>
      </c>
      <c r="T1340">
        <f>IMAGE("https://mitra.stanford.edu/kundaje/oak/projects/neuro-variants/variant_position/credible/roussos_2024/variant_figures/roussos_2024.childhood.GABA/rs34921234_profile_position.png",4,220,900)</f>
        <v/>
      </c>
    </row>
    <row r="1341">
      <c r="A1341" t="inlineStr">
        <is>
          <t>chr15</t>
        </is>
      </c>
      <c r="B1341" t="n">
        <v>84562751</v>
      </c>
      <c r="C1341" t="inlineStr">
        <is>
          <t>G</t>
        </is>
      </c>
      <c r="D1341" t="inlineStr">
        <is>
          <t>C</t>
        </is>
      </c>
      <c r="E1341" t="inlineStr">
        <is>
          <t>rs12902973</t>
        </is>
      </c>
      <c r="F1341" t="n">
        <v>0.0365430326</v>
      </c>
      <c r="G1341" t="n">
        <v>0.2324437285080698</v>
      </c>
      <c r="H1341" t="n">
        <v>0.0191414302430231</v>
      </c>
      <c r="I1341" t="n">
        <v>0.0889620320233289</v>
      </c>
      <c r="J1341" t="n">
        <v>0.0278235010785114</v>
      </c>
      <c r="K1341" t="n">
        <v>0.596425373530318</v>
      </c>
      <c r="L1341" t="b">
        <v>0</v>
      </c>
      <c r="M1341" t="b">
        <v>0</v>
      </c>
      <c r="N1341" t="inlineStr">
        <is>
          <t>alt</t>
        </is>
      </c>
      <c r="O1341" t="n">
        <v>80</v>
      </c>
      <c r="P1341" t="n">
        <v>0.007545</v>
      </c>
      <c r="Q1341" t="n">
        <v>-50</v>
      </c>
      <c r="R1341" t="n">
        <v>0.09950000000000001</v>
      </c>
      <c r="S1341">
        <f>IMAGE("https://mitra.stanford.edu/kundaje/oak/projects/neuro-variants/variant_position/credible/roussos_2024/variant_figures/roussos_2024.childhood.GABA/rs12902973_count_position.png",4,220,900)</f>
        <v/>
      </c>
      <c r="T1341">
        <f>IMAGE("https://mitra.stanford.edu/kundaje/oak/projects/neuro-variants/variant_position/credible/roussos_2024/variant_figures/roussos_2024.childhood.GABA/rs12902973_profile_position.png",4,220,900)</f>
        <v/>
      </c>
    </row>
    <row r="1342">
      <c r="A1342" t="inlineStr">
        <is>
          <t>chr15</t>
        </is>
      </c>
      <c r="B1342" t="n">
        <v>84582816</v>
      </c>
      <c r="C1342" t="inlineStr">
        <is>
          <t>G</t>
        </is>
      </c>
      <c r="D1342" t="inlineStr">
        <is>
          <t>C</t>
        </is>
      </c>
      <c r="E1342" t="inlineStr">
        <is>
          <t>rs34973912</t>
        </is>
      </c>
      <c r="F1342" t="n">
        <v>0.0149859656</v>
      </c>
      <c r="G1342" t="n">
        <v>0.5045347342156863</v>
      </c>
      <c r="H1342" t="n">
        <v>0.0147149864413333</v>
      </c>
      <c r="I1342" t="n">
        <v>0.2451714741148072</v>
      </c>
      <c r="J1342" t="n">
        <v>0.2137086134321793</v>
      </c>
      <c r="K1342" t="n">
        <v>0.2071447747839121</v>
      </c>
      <c r="L1342" t="b">
        <v>0</v>
      </c>
      <c r="M1342" t="b">
        <v>0</v>
      </c>
      <c r="N1342" t="inlineStr">
        <is>
          <t>alt</t>
        </is>
      </c>
      <c r="O1342" t="n">
        <v>-100</v>
      </c>
      <c r="P1342" t="n">
        <v>0.01239</v>
      </c>
      <c r="Q1342" t="n">
        <v>-75</v>
      </c>
      <c r="R1342" t="n">
        <v>0.1945</v>
      </c>
      <c r="S1342">
        <f>IMAGE("https://mitra.stanford.edu/kundaje/oak/projects/neuro-variants/variant_position/credible/roussos_2024/variant_figures/roussos_2024.childhood.GABA/rs34973912_count_position.png",4,220,900)</f>
        <v/>
      </c>
      <c r="T1342">
        <f>IMAGE("https://mitra.stanford.edu/kundaje/oak/projects/neuro-variants/variant_position/credible/roussos_2024/variant_figures/roussos_2024.childhood.GABA/rs34973912_profile_position.png",4,220,900)</f>
        <v/>
      </c>
    </row>
    <row r="1343">
      <c r="A1343" t="inlineStr">
        <is>
          <t>chr15</t>
        </is>
      </c>
      <c r="B1343" t="n">
        <v>84634492</v>
      </c>
      <c r="C1343" t="inlineStr">
        <is>
          <t>T</t>
        </is>
      </c>
      <c r="D1343" t="inlineStr">
        <is>
          <t>G</t>
        </is>
      </c>
      <c r="E1343" t="inlineStr">
        <is>
          <t>rs36126054</t>
        </is>
      </c>
      <c r="F1343" t="n">
        <v>0.0182225466</v>
      </c>
      <c r="G1343" t="n">
        <v>0.4359987006896754</v>
      </c>
      <c r="H1343" t="n">
        <v>0.009023035534756901</v>
      </c>
      <c r="I1343" t="n">
        <v>0.7275286842606425</v>
      </c>
      <c r="J1343" t="n">
        <v>0.589552051265942</v>
      </c>
      <c r="K1343" t="n">
        <v>0.0307548766699148</v>
      </c>
      <c r="L1343" t="b">
        <v>0</v>
      </c>
      <c r="M1343" t="b">
        <v>0</v>
      </c>
      <c r="N1343" t="inlineStr">
        <is>
          <t>alt</t>
        </is>
      </c>
      <c r="O1343" t="n">
        <v>80</v>
      </c>
      <c r="P1343" t="n">
        <v>0.010025</v>
      </c>
      <c r="Q1343" t="n">
        <v>-100</v>
      </c>
      <c r="R1343" t="n">
        <v>0.1656</v>
      </c>
      <c r="S1343">
        <f>IMAGE("https://mitra.stanford.edu/kundaje/oak/projects/neuro-variants/variant_position/credible/roussos_2024/variant_figures/roussos_2024.childhood.GABA/rs36126054_count_position.png",4,220,900)</f>
        <v/>
      </c>
      <c r="T1343">
        <f>IMAGE("https://mitra.stanford.edu/kundaje/oak/projects/neuro-variants/variant_position/credible/roussos_2024/variant_figures/roussos_2024.childhood.GABA/rs36126054_profile_position.png",4,220,900)</f>
        <v/>
      </c>
    </row>
    <row r="1344">
      <c r="A1344" t="inlineStr">
        <is>
          <t>chr15</t>
        </is>
      </c>
      <c r="B1344" t="n">
        <v>84759142</v>
      </c>
      <c r="C1344" t="inlineStr">
        <is>
          <t>G</t>
        </is>
      </c>
      <c r="D1344" t="inlineStr">
        <is>
          <t>A</t>
        </is>
      </c>
      <c r="E1344" t="inlineStr">
        <is>
          <t>rs12899981</t>
        </is>
      </c>
      <c r="F1344" t="n">
        <v>-0.01115473278</v>
      </c>
      <c r="G1344" t="n">
        <v>0.50949482660256</v>
      </c>
      <c r="H1344" t="n">
        <v>0.0118501549525262</v>
      </c>
      <c r="I1344" t="n">
        <v>0.4503867918597926</v>
      </c>
      <c r="J1344" t="n">
        <v>0.0177870620510564</v>
      </c>
      <c r="K1344" t="n">
        <v>0.6873678594468018</v>
      </c>
      <c r="L1344" t="b">
        <v>0</v>
      </c>
      <c r="M1344" t="b">
        <v>0</v>
      </c>
      <c r="N1344" t="inlineStr">
        <is>
          <t>ref</t>
        </is>
      </c>
      <c r="O1344" t="n">
        <v>-100</v>
      </c>
      <c r="P1344" t="n">
        <v>0.00801</v>
      </c>
      <c r="Q1344" t="n">
        <v>85</v>
      </c>
      <c r="R1344" t="n">
        <v>0.00864</v>
      </c>
      <c r="S1344">
        <f>IMAGE("https://mitra.stanford.edu/kundaje/oak/projects/neuro-variants/variant_position/credible/roussos_2024/variant_figures/roussos_2024.childhood.GABA/rs12899981_count_position.png",4,220,900)</f>
        <v/>
      </c>
      <c r="T1344">
        <f>IMAGE("https://mitra.stanford.edu/kundaje/oak/projects/neuro-variants/variant_position/credible/roussos_2024/variant_figures/roussos_2024.childhood.GABA/rs12899981_profile_position.png",4,220,900)</f>
        <v/>
      </c>
    </row>
    <row r="1345">
      <c r="A1345" t="inlineStr">
        <is>
          <t>chr15</t>
        </is>
      </c>
      <c r="B1345" t="n">
        <v>89243824</v>
      </c>
      <c r="C1345" t="inlineStr">
        <is>
          <t>T</t>
        </is>
      </c>
      <c r="D1345" t="inlineStr">
        <is>
          <t>G</t>
        </is>
      </c>
      <c r="E1345" t="inlineStr">
        <is>
          <t>rs7178152</t>
        </is>
      </c>
      <c r="F1345" t="n">
        <v>-0.03017362966</v>
      </c>
      <c r="G1345" t="n">
        <v>0.2553031482807278</v>
      </c>
      <c r="H1345" t="n">
        <v>0.0267602411882306</v>
      </c>
      <c r="I1345" t="n">
        <v>0.0250227261442506</v>
      </c>
      <c r="J1345" t="n">
        <v>0.9282643295428368</v>
      </c>
      <c r="K1345" t="n">
        <v>0.0007916999083858</v>
      </c>
      <c r="L1345" t="b">
        <v>0</v>
      </c>
      <c r="M1345" t="b">
        <v>0</v>
      </c>
      <c r="N1345" t="inlineStr">
        <is>
          <t>ref</t>
        </is>
      </c>
      <c r="O1345" t="n">
        <v>100</v>
      </c>
      <c r="P1345" t="n">
        <v>0.0853</v>
      </c>
      <c r="Q1345" t="n">
        <v>85</v>
      </c>
      <c r="R1345" t="n">
        <v>0.4727</v>
      </c>
      <c r="S1345">
        <f>IMAGE("https://mitra.stanford.edu/kundaje/oak/projects/neuro-variants/variant_position/credible/roussos_2024/variant_figures/roussos_2024.childhood.GABA/rs7178152_count_position.png",4,220,900)</f>
        <v/>
      </c>
      <c r="T1345">
        <f>IMAGE("https://mitra.stanford.edu/kundaje/oak/projects/neuro-variants/variant_position/credible/roussos_2024/variant_figures/roussos_2024.childhood.GABA/rs7178152_profile_position.png",4,220,900)</f>
        <v/>
      </c>
    </row>
    <row r="1346">
      <c r="A1346" t="inlineStr">
        <is>
          <t>chr15</t>
        </is>
      </c>
      <c r="B1346" t="n">
        <v>89248285</v>
      </c>
      <c r="C1346" t="inlineStr">
        <is>
          <t>A</t>
        </is>
      </c>
      <c r="D1346" t="inlineStr">
        <is>
          <t>G</t>
        </is>
      </c>
      <c r="E1346" t="inlineStr">
        <is>
          <t>rs2108600</t>
        </is>
      </c>
      <c r="F1346" t="n">
        <v>0.134589636</v>
      </c>
      <c r="G1346" t="n">
        <v>0.0134629380835593</v>
      </c>
      <c r="H1346" t="n">
        <v>0.0162620736949038</v>
      </c>
      <c r="I1346" t="n">
        <v>0.1688174112580017</v>
      </c>
      <c r="J1346" t="n">
        <v>0.0101914096039873</v>
      </c>
      <c r="K1346" t="n">
        <v>0.7348630463335369</v>
      </c>
      <c r="L1346" t="b">
        <v>1</v>
      </c>
      <c r="M1346" t="b">
        <v>0</v>
      </c>
      <c r="N1346" t="inlineStr">
        <is>
          <t>alt</t>
        </is>
      </c>
      <c r="O1346" t="n">
        <v>-45</v>
      </c>
      <c r="P1346" t="n">
        <v>0.012</v>
      </c>
      <c r="Q1346" t="n">
        <v>-90</v>
      </c>
      <c r="R1346" t="n">
        <v>0.10657</v>
      </c>
      <c r="S1346">
        <f>IMAGE("https://mitra.stanford.edu/kundaje/oak/projects/neuro-variants/variant_position/credible/roussos_2024/variant_figures/roussos_2024.childhood.GABA/rs2108600_count_position.png",4,220,900)</f>
        <v/>
      </c>
      <c r="T1346">
        <f>IMAGE("https://mitra.stanford.edu/kundaje/oak/projects/neuro-variants/variant_position/credible/roussos_2024/variant_figures/roussos_2024.childhood.GABA/rs2108600_profile_position.png",4,220,900)</f>
        <v/>
      </c>
    </row>
    <row r="1347">
      <c r="A1347" t="inlineStr">
        <is>
          <t>chr15</t>
        </is>
      </c>
      <c r="B1347" t="n">
        <v>89251793</v>
      </c>
      <c r="C1347" t="inlineStr">
        <is>
          <t>G</t>
        </is>
      </c>
      <c r="D1347" t="inlineStr">
        <is>
          <t>A</t>
        </is>
      </c>
      <c r="E1347" t="inlineStr">
        <is>
          <t>rs6496569</t>
        </is>
      </c>
      <c r="F1347" t="n">
        <v>-0.0588924956</v>
      </c>
      <c r="G1347" t="n">
        <v>0.1132764182609778</v>
      </c>
      <c r="H1347" t="n">
        <v>0.0181422227761527</v>
      </c>
      <c r="I1347" t="n">
        <v>0.1109267891507875</v>
      </c>
      <c r="J1347" t="n">
        <v>0.0061496094322631</v>
      </c>
      <c r="K1347" t="n">
        <v>0.8045088372334211</v>
      </c>
      <c r="L1347" t="b">
        <v>0</v>
      </c>
      <c r="M1347" t="b">
        <v>0</v>
      </c>
      <c r="N1347" t="inlineStr">
        <is>
          <t>ref</t>
        </is>
      </c>
      <c r="O1347" t="n">
        <v>100</v>
      </c>
      <c r="P1347" t="n">
        <v>0.00805</v>
      </c>
      <c r="Q1347" t="n">
        <v>100</v>
      </c>
      <c r="R1347" t="n">
        <v>0.187</v>
      </c>
      <c r="S1347">
        <f>IMAGE("https://mitra.stanford.edu/kundaje/oak/projects/neuro-variants/variant_position/credible/roussos_2024/variant_figures/roussos_2024.childhood.GABA/rs6496569_count_position.png",4,220,900)</f>
        <v/>
      </c>
      <c r="T1347">
        <f>IMAGE("https://mitra.stanford.edu/kundaje/oak/projects/neuro-variants/variant_position/credible/roussos_2024/variant_figures/roussos_2024.childhood.GABA/rs6496569_profile_position.png",4,220,900)</f>
        <v/>
      </c>
    </row>
    <row r="1348">
      <c r="A1348" t="inlineStr">
        <is>
          <t>chr15</t>
        </is>
      </c>
      <c r="B1348" t="n">
        <v>90862916</v>
      </c>
      <c r="C1348" t="inlineStr">
        <is>
          <t>A</t>
        </is>
      </c>
      <c r="D1348" t="inlineStr">
        <is>
          <t>C</t>
        </is>
      </c>
      <c r="E1348" t="inlineStr">
        <is>
          <t>rs7168951</t>
        </is>
      </c>
      <c r="F1348" t="n">
        <v>0.0051400398</v>
      </c>
      <c r="G1348" t="n">
        <v>0.7595255118749765</v>
      </c>
      <c r="H1348" t="n">
        <v>0.0102964229608057</v>
      </c>
      <c r="I1348" t="n">
        <v>0.606767692190924</v>
      </c>
      <c r="J1348" t="n">
        <v>0.317069799585349</v>
      </c>
      <c r="K1348" t="n">
        <v>0.1277079663674791</v>
      </c>
      <c r="L1348" t="b">
        <v>0</v>
      </c>
      <c r="M1348" t="b">
        <v>0</v>
      </c>
      <c r="N1348" t="inlineStr">
        <is>
          <t>alt</t>
        </is>
      </c>
      <c r="O1348" t="n">
        <v>-95</v>
      </c>
      <c r="P1348" t="n">
        <v>0.001793</v>
      </c>
      <c r="Q1348" t="n">
        <v>-95</v>
      </c>
      <c r="R1348" t="n">
        <v>0.3364</v>
      </c>
      <c r="S1348">
        <f>IMAGE("https://mitra.stanford.edu/kundaje/oak/projects/neuro-variants/variant_position/credible/roussos_2024/variant_figures/roussos_2024.childhood.GABA/rs7168951_count_position.png",4,220,900)</f>
        <v/>
      </c>
      <c r="T1348">
        <f>IMAGE("https://mitra.stanford.edu/kundaje/oak/projects/neuro-variants/variant_position/credible/roussos_2024/variant_figures/roussos_2024.childhood.GABA/rs7168951_profile_position.png",4,220,900)</f>
        <v/>
      </c>
    </row>
    <row r="1349">
      <c r="A1349" t="inlineStr">
        <is>
          <t>chr15</t>
        </is>
      </c>
      <c r="B1349" t="n">
        <v>90866779</v>
      </c>
      <c r="C1349" t="inlineStr">
        <is>
          <t>G</t>
        </is>
      </c>
      <c r="D1349" t="inlineStr">
        <is>
          <t>T</t>
        </is>
      </c>
      <c r="E1349" t="inlineStr">
        <is>
          <t>rs3759929</t>
        </is>
      </c>
      <c r="F1349" t="n">
        <v>-0.0092872302</v>
      </c>
      <c r="G1349" t="n">
        <v>0.6612716427683036</v>
      </c>
      <c r="H1349" t="n">
        <v>0.0166215242950602</v>
      </c>
      <c r="I1349" t="n">
        <v>0.1563957952939844</v>
      </c>
      <c r="J1349" t="n">
        <v>0.2507853238675629</v>
      </c>
      <c r="K1349" t="n">
        <v>0.171259467352437</v>
      </c>
      <c r="L1349" t="b">
        <v>0</v>
      </c>
      <c r="M1349" t="b">
        <v>0</v>
      </c>
      <c r="N1349" t="inlineStr">
        <is>
          <t>ref</t>
        </is>
      </c>
      <c r="O1349" t="n">
        <v>-100</v>
      </c>
      <c r="P1349" t="n">
        <v>0.01761</v>
      </c>
      <c r="Q1349" t="n">
        <v>-100</v>
      </c>
      <c r="R1349" t="n">
        <v>0.2235</v>
      </c>
      <c r="S1349">
        <f>IMAGE("https://mitra.stanford.edu/kundaje/oak/projects/neuro-variants/variant_position/credible/roussos_2024/variant_figures/roussos_2024.childhood.GABA/rs3759929_count_position.png",4,220,900)</f>
        <v/>
      </c>
      <c r="T1349">
        <f>IMAGE("https://mitra.stanford.edu/kundaje/oak/projects/neuro-variants/variant_position/credible/roussos_2024/variant_figures/roussos_2024.childhood.GABA/rs3759929_profile_position.png",4,220,900)</f>
        <v/>
      </c>
    </row>
    <row r="1350">
      <c r="A1350" t="inlineStr">
        <is>
          <t>chr15</t>
        </is>
      </c>
      <c r="B1350" t="n">
        <v>90976869</v>
      </c>
      <c r="C1350" t="inlineStr">
        <is>
          <t>A</t>
        </is>
      </c>
      <c r="D1350" t="inlineStr">
        <is>
          <t>G</t>
        </is>
      </c>
      <c r="E1350" t="inlineStr">
        <is>
          <t>rs8037254</t>
        </is>
      </c>
      <c r="F1350" t="n">
        <v>0.0688811872</v>
      </c>
      <c r="G1350" t="n">
        <v>0.0788142656144125</v>
      </c>
      <c r="H1350" t="n">
        <v>0.0132417883221939</v>
      </c>
      <c r="I1350" t="n">
        <v>0.3340023304839847</v>
      </c>
      <c r="J1350" t="n">
        <v>0.0615631086259973</v>
      </c>
      <c r="K1350" t="n">
        <v>0.4623696961960405</v>
      </c>
      <c r="L1350" t="b">
        <v>0</v>
      </c>
      <c r="M1350" t="b">
        <v>0</v>
      </c>
      <c r="N1350" t="inlineStr">
        <is>
          <t>alt</t>
        </is>
      </c>
      <c r="O1350" t="n">
        <v>5</v>
      </c>
      <c r="P1350" t="n">
        <v>0.0009155</v>
      </c>
      <c r="Q1350" t="n">
        <v>100</v>
      </c>
      <c r="R1350" t="n">
        <v>0.001831</v>
      </c>
      <c r="S1350">
        <f>IMAGE("https://mitra.stanford.edu/kundaje/oak/projects/neuro-variants/variant_position/credible/roussos_2024/variant_figures/roussos_2024.childhood.GABA/rs8037254_count_position.png",4,220,900)</f>
        <v/>
      </c>
      <c r="T1350">
        <f>IMAGE("https://mitra.stanford.edu/kundaje/oak/projects/neuro-variants/variant_position/credible/roussos_2024/variant_figures/roussos_2024.childhood.GABA/rs8037254_profile_position.png",4,220,900)</f>
        <v/>
      </c>
    </row>
    <row r="1351">
      <c r="A1351" t="inlineStr">
        <is>
          <t>chr15</t>
        </is>
      </c>
      <c r="B1351" t="n">
        <v>90977078</v>
      </c>
      <c r="C1351" t="inlineStr">
        <is>
          <t>C</t>
        </is>
      </c>
      <c r="D1351" t="inlineStr">
        <is>
          <t>T</t>
        </is>
      </c>
      <c r="E1351" t="inlineStr">
        <is>
          <t>rs12595052</t>
        </is>
      </c>
      <c r="F1351" t="n">
        <v>-0.01376832392</v>
      </c>
      <c r="G1351" t="n">
        <v>0.5239466634810649</v>
      </c>
      <c r="H1351" t="n">
        <v>0.0118009668088837</v>
      </c>
      <c r="I1351" t="n">
        <v>0.4556741360545367</v>
      </c>
      <c r="J1351" t="n">
        <v>0.069913719084417</v>
      </c>
      <c r="K1351" t="n">
        <v>0.4362298178272187</v>
      </c>
      <c r="L1351" t="b">
        <v>0</v>
      </c>
      <c r="M1351" t="b">
        <v>0</v>
      </c>
      <c r="N1351" t="inlineStr">
        <is>
          <t>ref</t>
        </is>
      </c>
      <c r="O1351" t="n">
        <v>0</v>
      </c>
      <c r="P1351" t="n">
        <v>0</v>
      </c>
      <c r="Q1351" t="n">
        <v>-95</v>
      </c>
      <c r="R1351" t="n">
        <v>0.06322999999999999</v>
      </c>
      <c r="S1351">
        <f>IMAGE("https://mitra.stanford.edu/kundaje/oak/projects/neuro-variants/variant_position/credible/roussos_2024/variant_figures/roussos_2024.childhood.GABA/rs12595052_count_position.png",4,220,900)</f>
        <v/>
      </c>
      <c r="T1351">
        <f>IMAGE("https://mitra.stanford.edu/kundaje/oak/projects/neuro-variants/variant_position/credible/roussos_2024/variant_figures/roussos_2024.childhood.GABA/rs12595052_profile_position.png",4,220,900)</f>
        <v/>
      </c>
    </row>
    <row r="1352">
      <c r="A1352" t="inlineStr">
        <is>
          <t>chr15</t>
        </is>
      </c>
      <c r="B1352" t="n">
        <v>91033716</v>
      </c>
      <c r="C1352" t="inlineStr">
        <is>
          <t>T</t>
        </is>
      </c>
      <c r="D1352" t="inlineStr">
        <is>
          <t>G</t>
        </is>
      </c>
      <c r="E1352" t="inlineStr">
        <is>
          <t>rs11632664</t>
        </is>
      </c>
      <c r="F1352" t="n">
        <v>0.0052927353</v>
      </c>
      <c r="G1352" t="n">
        <v>0.7490636665898843</v>
      </c>
      <c r="H1352" t="n">
        <v>0.0109161999767612</v>
      </c>
      <c r="I1352" t="n">
        <v>0.5399799650845756</v>
      </c>
      <c r="J1352" t="n">
        <v>0.5305585223346109</v>
      </c>
      <c r="K1352" t="n">
        <v>0.0438209510199218</v>
      </c>
      <c r="L1352" t="b">
        <v>0</v>
      </c>
      <c r="M1352" t="b">
        <v>0</v>
      </c>
      <c r="N1352" t="inlineStr">
        <is>
          <t>alt</t>
        </is>
      </c>
      <c r="O1352" t="n">
        <v>-90</v>
      </c>
      <c r="P1352" t="n">
        <v>0.003843</v>
      </c>
      <c r="Q1352" t="n">
        <v>20</v>
      </c>
      <c r="R1352" t="n">
        <v>0.007934999999999999</v>
      </c>
      <c r="S1352">
        <f>IMAGE("https://mitra.stanford.edu/kundaje/oak/projects/neuro-variants/variant_position/credible/roussos_2024/variant_figures/roussos_2024.childhood.GABA/rs11632664_count_position.png",4,220,900)</f>
        <v/>
      </c>
      <c r="T1352">
        <f>IMAGE("https://mitra.stanford.edu/kundaje/oak/projects/neuro-variants/variant_position/credible/roussos_2024/variant_figures/roussos_2024.childhood.GABA/rs11632664_profile_position.png",4,220,900)</f>
        <v/>
      </c>
    </row>
    <row r="1353">
      <c r="A1353" t="inlineStr">
        <is>
          <t>chr15</t>
        </is>
      </c>
      <c r="B1353" t="n">
        <v>97674744</v>
      </c>
      <c r="C1353" t="inlineStr">
        <is>
          <t>G</t>
        </is>
      </c>
      <c r="D1353" t="inlineStr">
        <is>
          <t>T</t>
        </is>
      </c>
      <c r="E1353" t="inlineStr">
        <is>
          <t>rs111548674</t>
        </is>
      </c>
      <c r="F1353" t="n">
        <v>-0.0373360676</v>
      </c>
      <c r="G1353" t="n">
        <v>0.2405273692605062</v>
      </c>
      <c r="H1353" t="n">
        <v>0.0112837218059938</v>
      </c>
      <c r="I1353" t="n">
        <v>0.5094665684233465</v>
      </c>
      <c r="J1353" t="n">
        <v>0.077994178132395</v>
      </c>
      <c r="K1353" t="n">
        <v>0.3987244471775783</v>
      </c>
      <c r="L1353" t="b">
        <v>0</v>
      </c>
      <c r="M1353" t="b">
        <v>0</v>
      </c>
      <c r="N1353" t="inlineStr">
        <is>
          <t>ref</t>
        </is>
      </c>
      <c r="O1353" t="n">
        <v>-55</v>
      </c>
      <c r="P1353" t="n">
        <v>0.001991</v>
      </c>
      <c r="Q1353" t="n">
        <v>-15</v>
      </c>
      <c r="R1353" t="n">
        <v>0.0343</v>
      </c>
      <c r="S1353">
        <f>IMAGE("https://mitra.stanford.edu/kundaje/oak/projects/neuro-variants/variant_position/credible/roussos_2024/variant_figures/roussos_2024.childhood.GABA/rs111548674_count_position.png",4,220,900)</f>
        <v/>
      </c>
      <c r="T1353">
        <f>IMAGE("https://mitra.stanford.edu/kundaje/oak/projects/neuro-variants/variant_position/credible/roussos_2024/variant_figures/roussos_2024.childhood.GABA/rs111548674_profile_position.png",4,220,900)</f>
        <v/>
      </c>
    </row>
    <row r="1354">
      <c r="A1354" t="inlineStr">
        <is>
          <t>chr15</t>
        </is>
      </c>
      <c r="B1354" t="n">
        <v>97709295</v>
      </c>
      <c r="C1354" t="inlineStr">
        <is>
          <t>A</t>
        </is>
      </c>
      <c r="D1354" t="inlineStr">
        <is>
          <t>G</t>
        </is>
      </c>
      <c r="E1354" t="inlineStr">
        <is>
          <t>rs11073569</t>
        </is>
      </c>
      <c r="F1354" t="n">
        <v>0.138314875</v>
      </c>
      <c r="G1354" t="n">
        <v>0.0126822657800484</v>
      </c>
      <c r="H1354" t="n">
        <v>0.02119283830234</v>
      </c>
      <c r="I1354" t="n">
        <v>0.0587768832753832</v>
      </c>
      <c r="J1354" t="n">
        <v>0.0276528240246277</v>
      </c>
      <c r="K1354" t="n">
        <v>0.6109966230977737</v>
      </c>
      <c r="L1354" t="b">
        <v>1</v>
      </c>
      <c r="M1354" t="b">
        <v>0</v>
      </c>
      <c r="N1354" t="inlineStr">
        <is>
          <t>alt</t>
        </is>
      </c>
      <c r="O1354" t="n">
        <v>-100</v>
      </c>
      <c r="P1354" t="n">
        <v>0.01953</v>
      </c>
      <c r="Q1354" t="n">
        <v>95</v>
      </c>
      <c r="R1354" t="n">
        <v>0.04773</v>
      </c>
      <c r="S1354">
        <f>IMAGE("https://mitra.stanford.edu/kundaje/oak/projects/neuro-variants/variant_position/credible/roussos_2024/variant_figures/roussos_2024.childhood.GABA/rs11073569_count_position.png",4,220,900)</f>
        <v/>
      </c>
      <c r="T1354">
        <f>IMAGE("https://mitra.stanford.edu/kundaje/oak/projects/neuro-variants/variant_position/credible/roussos_2024/variant_figures/roussos_2024.childhood.GABA/rs11073569_profile_position.png",4,220,900)</f>
        <v/>
      </c>
    </row>
    <row r="1355">
      <c r="A1355" t="inlineStr">
        <is>
          <t>chr15</t>
        </is>
      </c>
      <c r="B1355" t="n">
        <v>97717715</v>
      </c>
      <c r="C1355" t="inlineStr">
        <is>
          <t>C</t>
        </is>
      </c>
      <c r="D1355" t="inlineStr">
        <is>
          <t>T</t>
        </is>
      </c>
      <c r="E1355" t="inlineStr">
        <is>
          <t>rs12908536</t>
        </is>
      </c>
      <c r="F1355" t="n">
        <v>-0.169532743</v>
      </c>
      <c r="G1355" t="n">
        <v>0.0078059199187754</v>
      </c>
      <c r="H1355" t="n">
        <v>0.0268406585555713</v>
      </c>
      <c r="I1355" t="n">
        <v>0.0281593751600374</v>
      </c>
      <c r="J1355" t="n">
        <v>0.2297229377395237</v>
      </c>
      <c r="K1355" t="n">
        <v>0.1890046631508583</v>
      </c>
      <c r="L1355" t="b">
        <v>1</v>
      </c>
      <c r="M1355" t="b">
        <v>1</v>
      </c>
      <c r="N1355" t="inlineStr">
        <is>
          <t>ref</t>
        </is>
      </c>
      <c r="O1355" t="n">
        <v>85</v>
      </c>
      <c r="P1355" t="n">
        <v>0.001707</v>
      </c>
      <c r="Q1355" t="n">
        <v>-65</v>
      </c>
      <c r="R1355" t="n">
        <v>0.0442</v>
      </c>
      <c r="S1355">
        <f>IMAGE("https://mitra.stanford.edu/kundaje/oak/projects/neuro-variants/variant_position/credible/roussos_2024/variant_figures/roussos_2024.childhood.GABA/rs12908536_count_position.png",4,220,900)</f>
        <v/>
      </c>
      <c r="T1355">
        <f>IMAGE("https://mitra.stanford.edu/kundaje/oak/projects/neuro-variants/variant_position/credible/roussos_2024/variant_figures/roussos_2024.childhood.GABA/rs12908536_profile_position.png",4,220,900)</f>
        <v/>
      </c>
    </row>
    <row r="1356">
      <c r="A1356" t="inlineStr">
        <is>
          <t>chr15</t>
        </is>
      </c>
      <c r="B1356" t="n">
        <v>97728980</v>
      </c>
      <c r="C1356" t="inlineStr">
        <is>
          <t>G</t>
        </is>
      </c>
      <c r="D1356" t="inlineStr">
        <is>
          <t>A</t>
        </is>
      </c>
      <c r="E1356" t="inlineStr">
        <is>
          <t>rs59251433</t>
        </is>
      </c>
      <c r="F1356" t="n">
        <v>0.0163679765599999</v>
      </c>
      <c r="G1356" t="n">
        <v>0.4804351565916988</v>
      </c>
      <c r="H1356" t="n">
        <v>0.007814923600976501</v>
      </c>
      <c r="I1356" t="n">
        <v>0.8712101488575772</v>
      </c>
      <c r="J1356" t="n">
        <v>0.3383248518355636</v>
      </c>
      <c r="K1356" t="n">
        <v>0.1145847503578043</v>
      </c>
      <c r="L1356" t="b">
        <v>0</v>
      </c>
      <c r="M1356" t="b">
        <v>0</v>
      </c>
      <c r="N1356" t="inlineStr">
        <is>
          <t>alt</t>
        </is>
      </c>
      <c r="O1356" t="n">
        <v>-100</v>
      </c>
      <c r="P1356" t="n">
        <v>0.01561</v>
      </c>
      <c r="Q1356" t="n">
        <v>-60</v>
      </c>
      <c r="R1356" t="n">
        <v>0.01697</v>
      </c>
      <c r="S1356">
        <f>IMAGE("https://mitra.stanford.edu/kundaje/oak/projects/neuro-variants/variant_position/credible/roussos_2024/variant_figures/roussos_2024.childhood.GABA/rs59251433_count_position.png",4,220,900)</f>
        <v/>
      </c>
      <c r="T1356">
        <f>IMAGE("https://mitra.stanford.edu/kundaje/oak/projects/neuro-variants/variant_position/credible/roussos_2024/variant_figures/roussos_2024.childhood.GABA/rs59251433_profile_position.png",4,220,900)</f>
        <v/>
      </c>
    </row>
    <row r="1357">
      <c r="A1357" t="inlineStr">
        <is>
          <t>chr15</t>
        </is>
      </c>
      <c r="B1357" t="n">
        <v>97745844</v>
      </c>
      <c r="C1357" t="inlineStr">
        <is>
          <t>G</t>
        </is>
      </c>
      <c r="D1357" t="inlineStr">
        <is>
          <t>T</t>
        </is>
      </c>
      <c r="E1357" t="inlineStr">
        <is>
          <t>rs189443571</t>
        </is>
      </c>
      <c r="F1357" t="n">
        <v>-0.0017810657999999</v>
      </c>
      <c r="G1357" t="n">
        <v>0.7799023513330287</v>
      </c>
      <c r="H1357" t="n">
        <v>0.0189772861826964</v>
      </c>
      <c r="I1357" t="n">
        <v>0.0935507468505211</v>
      </c>
      <c r="J1357" t="n">
        <v>0.3310035391928964</v>
      </c>
      <c r="K1357" t="n">
        <v>0.1164534336588191</v>
      </c>
      <c r="L1357" t="b">
        <v>0</v>
      </c>
      <c r="M1357" t="b">
        <v>0</v>
      </c>
      <c r="N1357" t="inlineStr">
        <is>
          <t>ref</t>
        </is>
      </c>
      <c r="O1357" t="n">
        <v>-80</v>
      </c>
      <c r="P1357" t="n">
        <v>0.07825</v>
      </c>
      <c r="Q1357" t="n">
        <v>-75</v>
      </c>
      <c r="R1357" t="n">
        <v>0.7896</v>
      </c>
      <c r="S1357">
        <f>IMAGE("https://mitra.stanford.edu/kundaje/oak/projects/neuro-variants/variant_position/credible/roussos_2024/variant_figures/roussos_2024.childhood.GABA/rs189443571_count_position.png",4,220,900)</f>
        <v/>
      </c>
      <c r="T1357">
        <f>IMAGE("https://mitra.stanford.edu/kundaje/oak/projects/neuro-variants/variant_position/credible/roussos_2024/variant_figures/roussos_2024.childhood.GABA/rs189443571_profile_position.png",4,220,900)</f>
        <v/>
      </c>
    </row>
    <row r="1358">
      <c r="A1358" t="inlineStr">
        <is>
          <t>chr15</t>
        </is>
      </c>
      <c r="B1358" t="n">
        <v>97760080</v>
      </c>
      <c r="C1358" t="inlineStr">
        <is>
          <t>T</t>
        </is>
      </c>
      <c r="D1358" t="inlineStr">
        <is>
          <t>C</t>
        </is>
      </c>
      <c r="E1358" t="inlineStr">
        <is>
          <t>rs73470164</t>
        </is>
      </c>
      <c r="F1358" t="n">
        <v>0.18476016</v>
      </c>
      <c r="G1358" t="n">
        <v>0.0057943362131169</v>
      </c>
      <c r="H1358" t="n">
        <v>0.0249518281573911</v>
      </c>
      <c r="I1358" t="n">
        <v>0.0300355771907576</v>
      </c>
      <c r="J1358" t="n">
        <v>0.2065862495026282</v>
      </c>
      <c r="K1358" t="n">
        <v>0.2042420909992028</v>
      </c>
      <c r="L1358" t="b">
        <v>1</v>
      </c>
      <c r="M1358" t="b">
        <v>1</v>
      </c>
      <c r="N1358" t="inlineStr">
        <is>
          <t>alt</t>
        </is>
      </c>
      <c r="O1358" t="n">
        <v>-100</v>
      </c>
      <c r="P1358" t="n">
        <v>0.0507</v>
      </c>
      <c r="Q1358" t="n">
        <v>85</v>
      </c>
      <c r="R1358" t="n">
        <v>0.001343</v>
      </c>
      <c r="S1358">
        <f>IMAGE("https://mitra.stanford.edu/kundaje/oak/projects/neuro-variants/variant_position/credible/roussos_2024/variant_figures/roussos_2024.childhood.GABA/rs73470164_count_position.png",4,220,900)</f>
        <v/>
      </c>
      <c r="T1358">
        <f>IMAGE("https://mitra.stanford.edu/kundaje/oak/projects/neuro-variants/variant_position/credible/roussos_2024/variant_figures/roussos_2024.childhood.GABA/rs73470164_profile_position.png",4,220,900)</f>
        <v/>
      </c>
    </row>
    <row r="1359">
      <c r="A1359" t="inlineStr">
        <is>
          <t>chr16</t>
        </is>
      </c>
      <c r="B1359" t="n">
        <v>4392526</v>
      </c>
      <c r="C1359" t="inlineStr">
        <is>
          <t>C</t>
        </is>
      </c>
      <c r="D1359" t="inlineStr">
        <is>
          <t>T</t>
        </is>
      </c>
      <c r="E1359" t="inlineStr">
        <is>
          <t>rs4786488</t>
        </is>
      </c>
      <c r="F1359" t="n">
        <v>-0.0261279074</v>
      </c>
      <c r="G1359" t="n">
        <v>0.3377935137045163</v>
      </c>
      <c r="H1359" t="n">
        <v>0.0125757173017548</v>
      </c>
      <c r="I1359" t="n">
        <v>0.3871552855113703</v>
      </c>
      <c r="J1359" t="n">
        <v>0.7301763313857302</v>
      </c>
      <c r="K1359" t="n">
        <v>0.0118608435086858</v>
      </c>
      <c r="L1359" t="b">
        <v>0</v>
      </c>
      <c r="M1359" t="b">
        <v>0</v>
      </c>
      <c r="N1359" t="inlineStr">
        <is>
          <t>ref</t>
        </is>
      </c>
      <c r="O1359" t="n">
        <v>-100</v>
      </c>
      <c r="P1359" t="n">
        <v>0.0063</v>
      </c>
      <c r="Q1359" t="n">
        <v>95</v>
      </c>
      <c r="R1359" t="n">
        <v>0.1117</v>
      </c>
      <c r="S1359">
        <f>IMAGE("https://mitra.stanford.edu/kundaje/oak/projects/neuro-variants/variant_position/credible/roussos_2024/variant_figures/roussos_2024.childhood.GABA/rs4786488_count_position.png",4,220,900)</f>
        <v/>
      </c>
      <c r="T1359">
        <f>IMAGE("https://mitra.stanford.edu/kundaje/oak/projects/neuro-variants/variant_position/credible/roussos_2024/variant_figures/roussos_2024.childhood.GABA/rs4786488_profile_position.png",4,220,900)</f>
        <v/>
      </c>
    </row>
    <row r="1360">
      <c r="A1360" t="inlineStr">
        <is>
          <t>chr16</t>
        </is>
      </c>
      <c r="B1360" t="n">
        <v>4447450</v>
      </c>
      <c r="C1360" t="inlineStr">
        <is>
          <t>T</t>
        </is>
      </c>
      <c r="D1360" t="inlineStr">
        <is>
          <t>C</t>
        </is>
      </c>
      <c r="E1360" t="inlineStr">
        <is>
          <t>rs6500602</t>
        </is>
      </c>
      <c r="F1360" t="n">
        <v>0.0275329746</v>
      </c>
      <c r="G1360" t="n">
        <v>0.3049022069818664</v>
      </c>
      <c r="H1360" t="n">
        <v>0.0103080490270895</v>
      </c>
      <c r="I1360" t="n">
        <v>0.5976498835014583</v>
      </c>
      <c r="J1360" t="n">
        <v>0.2954692048334065</v>
      </c>
      <c r="K1360" t="n">
        <v>0.1409012249063489</v>
      </c>
      <c r="L1360" t="b">
        <v>0</v>
      </c>
      <c r="M1360" t="b">
        <v>0</v>
      </c>
      <c r="N1360" t="inlineStr">
        <is>
          <t>alt</t>
        </is>
      </c>
      <c r="O1360" t="n">
        <v>95</v>
      </c>
      <c r="P1360" t="n">
        <v>0.001953</v>
      </c>
      <c r="Q1360" t="n">
        <v>-100</v>
      </c>
      <c r="R1360" t="n">
        <v>0.1356</v>
      </c>
      <c r="S1360">
        <f>IMAGE("https://mitra.stanford.edu/kundaje/oak/projects/neuro-variants/variant_position/credible/roussos_2024/variant_figures/roussos_2024.childhood.GABA/rs6500602_count_position.png",4,220,900)</f>
        <v/>
      </c>
      <c r="T1360">
        <f>IMAGE("https://mitra.stanford.edu/kundaje/oak/projects/neuro-variants/variant_position/credible/roussos_2024/variant_figures/roussos_2024.childhood.GABA/rs6500602_profile_position.png",4,220,900)</f>
        <v/>
      </c>
    </row>
    <row r="1361">
      <c r="A1361" t="inlineStr">
        <is>
          <t>chr16</t>
        </is>
      </c>
      <c r="B1361" t="n">
        <v>4452513</v>
      </c>
      <c r="C1361" t="inlineStr">
        <is>
          <t>C</t>
        </is>
      </c>
      <c r="D1361" t="inlineStr">
        <is>
          <t>T</t>
        </is>
      </c>
      <c r="E1361" t="inlineStr">
        <is>
          <t>rs6500606</t>
        </is>
      </c>
      <c r="F1361" t="n">
        <v>-0.0307582347</v>
      </c>
      <c r="G1361" t="n">
        <v>0.3006147873868018</v>
      </c>
      <c r="H1361" t="n">
        <v>0.0140529656485372</v>
      </c>
      <c r="I1361" t="n">
        <v>0.2814447741354286</v>
      </c>
      <c r="J1361" t="n">
        <v>0.1855626060187221</v>
      </c>
      <c r="K1361" t="n">
        <v>0.2374313870798475</v>
      </c>
      <c r="L1361" t="b">
        <v>0</v>
      </c>
      <c r="M1361" t="b">
        <v>0</v>
      </c>
      <c r="N1361" t="inlineStr">
        <is>
          <t>ref</t>
        </is>
      </c>
      <c r="O1361" t="n">
        <v>100</v>
      </c>
      <c r="P1361" t="n">
        <v>0.00427</v>
      </c>
      <c r="Q1361" t="n">
        <v>-80</v>
      </c>
      <c r="R1361" t="n">
        <v>0.0535</v>
      </c>
      <c r="S1361">
        <f>IMAGE("https://mitra.stanford.edu/kundaje/oak/projects/neuro-variants/variant_position/credible/roussos_2024/variant_figures/roussos_2024.childhood.GABA/rs6500606_count_position.png",4,220,900)</f>
        <v/>
      </c>
      <c r="T1361">
        <f>IMAGE("https://mitra.stanford.edu/kundaje/oak/projects/neuro-variants/variant_position/credible/roussos_2024/variant_figures/roussos_2024.childhood.GABA/rs6500606_profile_position.png",4,220,900)</f>
        <v/>
      </c>
    </row>
    <row r="1362">
      <c r="A1362" t="inlineStr">
        <is>
          <t>chr16</t>
        </is>
      </c>
      <c r="B1362" t="n">
        <v>4479000</v>
      </c>
      <c r="C1362" t="inlineStr">
        <is>
          <t>C</t>
        </is>
      </c>
      <c r="D1362" t="inlineStr">
        <is>
          <t>A</t>
        </is>
      </c>
      <c r="E1362" t="inlineStr">
        <is>
          <t>rs11076833</t>
        </is>
      </c>
      <c r="F1362" t="n">
        <v>0.00131724026</v>
      </c>
      <c r="G1362" t="n">
        <v>0.7366367328202095</v>
      </c>
      <c r="H1362" t="n">
        <v>0.0326143482786616</v>
      </c>
      <c r="I1362" t="n">
        <v>0.0087884155212439</v>
      </c>
      <c r="J1362" t="n">
        <v>0.0291145735167849</v>
      </c>
      <c r="K1362" t="n">
        <v>0.5947669945179408</v>
      </c>
      <c r="L1362" t="b">
        <v>1</v>
      </c>
      <c r="M1362" t="b">
        <v>0</v>
      </c>
      <c r="N1362" t="inlineStr">
        <is>
          <t>alt</t>
        </is>
      </c>
      <c r="O1362" t="n">
        <v>-100</v>
      </c>
      <c r="P1362" t="n">
        <v>0.0554</v>
      </c>
      <c r="Q1362" t="n">
        <v>-75</v>
      </c>
      <c r="R1362" t="n">
        <v>0.04395</v>
      </c>
      <c r="S1362">
        <f>IMAGE("https://mitra.stanford.edu/kundaje/oak/projects/neuro-variants/variant_position/credible/roussos_2024/variant_figures/roussos_2024.childhood.GABA/rs11076833_count_position.png",4,220,900)</f>
        <v/>
      </c>
      <c r="T1362">
        <f>IMAGE("https://mitra.stanford.edu/kundaje/oak/projects/neuro-variants/variant_position/credible/roussos_2024/variant_figures/roussos_2024.childhood.GABA/rs11076833_profile_position.png",4,220,900)</f>
        <v/>
      </c>
    </row>
    <row r="1363">
      <c r="A1363" t="inlineStr">
        <is>
          <t>chr16</t>
        </is>
      </c>
      <c r="B1363" t="n">
        <v>4486164</v>
      </c>
      <c r="C1363" t="inlineStr">
        <is>
          <t>A</t>
        </is>
      </c>
      <c r="D1363" t="inlineStr">
        <is>
          <t>C</t>
        </is>
      </c>
      <c r="E1363" t="inlineStr">
        <is>
          <t>rs4786501</t>
        </is>
      </c>
      <c r="F1363" t="n">
        <v>-0.0543303469999999</v>
      </c>
      <c r="G1363" t="n">
        <v>0.148514312686116</v>
      </c>
      <c r="H1363" t="n">
        <v>0.0192671690374275</v>
      </c>
      <c r="I1363" t="n">
        <v>0.09378279510912831</v>
      </c>
      <c r="J1363" t="n">
        <v>0.0137358379929215</v>
      </c>
      <c r="K1363" t="n">
        <v>0.7011452240646084</v>
      </c>
      <c r="L1363" t="b">
        <v>0</v>
      </c>
      <c r="M1363" t="b">
        <v>0</v>
      </c>
      <c r="N1363" t="inlineStr">
        <is>
          <t>ref</t>
        </is>
      </c>
      <c r="O1363" t="n">
        <v>-95</v>
      </c>
      <c r="P1363" t="n">
        <v>0.004433</v>
      </c>
      <c r="Q1363" t="n">
        <v>-30</v>
      </c>
      <c r="R1363" t="n">
        <v>0.01072</v>
      </c>
      <c r="S1363">
        <f>IMAGE("https://mitra.stanford.edu/kundaje/oak/projects/neuro-variants/variant_position/credible/roussos_2024/variant_figures/roussos_2024.childhood.GABA/rs4786501_count_position.png",4,220,900)</f>
        <v/>
      </c>
      <c r="T1363">
        <f>IMAGE("https://mitra.stanford.edu/kundaje/oak/projects/neuro-variants/variant_position/credible/roussos_2024/variant_figures/roussos_2024.childhood.GABA/rs4786501_profile_position.png",4,220,900)</f>
        <v/>
      </c>
    </row>
    <row r="1364">
      <c r="A1364" t="inlineStr">
        <is>
          <t>chr16</t>
        </is>
      </c>
      <c r="B1364" t="n">
        <v>4487103</v>
      </c>
      <c r="C1364" t="inlineStr">
        <is>
          <t>T</t>
        </is>
      </c>
      <c r="D1364" t="inlineStr">
        <is>
          <t>C</t>
        </is>
      </c>
      <c r="E1364" t="inlineStr">
        <is>
          <t>rs4786502</t>
        </is>
      </c>
      <c r="F1364" t="n">
        <v>-0.00621373798</v>
      </c>
      <c r="G1364" t="n">
        <v>0.7679445127515799</v>
      </c>
      <c r="H1364" t="n">
        <v>0.0301075798738372</v>
      </c>
      <c r="I1364" t="n">
        <v>0.013108173425322</v>
      </c>
      <c r="J1364" t="n">
        <v>0.0317490733178362</v>
      </c>
      <c r="K1364" t="n">
        <v>0.5954287960257048</v>
      </c>
      <c r="L1364" t="b">
        <v>1</v>
      </c>
      <c r="M1364" t="b">
        <v>0</v>
      </c>
      <c r="N1364" t="inlineStr">
        <is>
          <t>ref</t>
        </is>
      </c>
      <c r="O1364" t="n">
        <v>35</v>
      </c>
      <c r="P1364" t="n">
        <v>0.006332</v>
      </c>
      <c r="Q1364" t="n">
        <v>95</v>
      </c>
      <c r="R1364" t="n">
        <v>0.01477</v>
      </c>
      <c r="S1364">
        <f>IMAGE("https://mitra.stanford.edu/kundaje/oak/projects/neuro-variants/variant_position/credible/roussos_2024/variant_figures/roussos_2024.childhood.GABA/rs4786502_count_position.png",4,220,900)</f>
        <v/>
      </c>
      <c r="T1364">
        <f>IMAGE("https://mitra.stanford.edu/kundaje/oak/projects/neuro-variants/variant_position/credible/roussos_2024/variant_figures/roussos_2024.childhood.GABA/rs4786502_profile_position.png",4,220,900)</f>
        <v/>
      </c>
    </row>
    <row r="1365">
      <c r="A1365" t="inlineStr">
        <is>
          <t>chr16</t>
        </is>
      </c>
      <c r="B1365" t="n">
        <v>4508614</v>
      </c>
      <c r="C1365" t="inlineStr">
        <is>
          <t>G</t>
        </is>
      </c>
      <c r="D1365" t="inlineStr">
        <is>
          <t>A</t>
        </is>
      </c>
      <c r="E1365" t="inlineStr">
        <is>
          <t>rs2270366</t>
        </is>
      </c>
      <c r="F1365" t="n">
        <v>-0.0312249362</v>
      </c>
      <c r="G1365" t="n">
        <v>0.2886443385991359</v>
      </c>
      <c r="H1365" t="n">
        <v>0.0131858726412761</v>
      </c>
      <c r="I1365" t="n">
        <v>0.3414258085667491</v>
      </c>
      <c r="J1365" t="n">
        <v>0.09221272852924541</v>
      </c>
      <c r="K1365" t="n">
        <v>0.3908083970280668</v>
      </c>
      <c r="L1365" t="b">
        <v>0</v>
      </c>
      <c r="M1365" t="b">
        <v>0</v>
      </c>
      <c r="N1365" t="inlineStr">
        <is>
          <t>ref</t>
        </is>
      </c>
      <c r="O1365" t="n">
        <v>40</v>
      </c>
      <c r="P1365" t="n">
        <v>0.01093</v>
      </c>
      <c r="Q1365" t="n">
        <v>-40</v>
      </c>
      <c r="R1365" t="n">
        <v>0.07140000000000001</v>
      </c>
      <c r="S1365">
        <f>IMAGE("https://mitra.stanford.edu/kundaje/oak/projects/neuro-variants/variant_position/credible/roussos_2024/variant_figures/roussos_2024.childhood.GABA/rs2270366_count_position.png",4,220,900)</f>
        <v/>
      </c>
      <c r="T1365">
        <f>IMAGE("https://mitra.stanford.edu/kundaje/oak/projects/neuro-variants/variant_position/credible/roussos_2024/variant_figures/roussos_2024.childhood.GABA/rs2270366_profile_position.png",4,220,900)</f>
        <v/>
      </c>
    </row>
    <row r="1366">
      <c r="A1366" t="inlineStr">
        <is>
          <t>chr16</t>
        </is>
      </c>
      <c r="B1366" t="n">
        <v>4510300</v>
      </c>
      <c r="C1366" t="inlineStr">
        <is>
          <t>G</t>
        </is>
      </c>
      <c r="D1366" t="inlineStr">
        <is>
          <t>A</t>
        </is>
      </c>
      <c r="E1366" t="inlineStr">
        <is>
          <t>rs1051308</t>
        </is>
      </c>
      <c r="F1366" t="n">
        <v>-0.091928326</v>
      </c>
      <c r="G1366" t="n">
        <v>0.0380749315467497</v>
      </c>
      <c r="H1366" t="n">
        <v>0.0129098232247449</v>
      </c>
      <c r="I1366" t="n">
        <v>0.3636906941504876</v>
      </c>
      <c r="J1366" t="n">
        <v>0.3424954451215681</v>
      </c>
      <c r="K1366" t="n">
        <v>0.1128051272992016</v>
      </c>
      <c r="L1366" t="b">
        <v>0</v>
      </c>
      <c r="M1366" t="b">
        <v>0</v>
      </c>
      <c r="N1366" t="inlineStr">
        <is>
          <t>ref</t>
        </is>
      </c>
      <c r="O1366" t="n">
        <v>-100</v>
      </c>
      <c r="P1366" t="n">
        <v>0.001152</v>
      </c>
      <c r="Q1366" t="n">
        <v>-40</v>
      </c>
      <c r="R1366" t="n">
        <v>0.02148</v>
      </c>
      <c r="S1366">
        <f>IMAGE("https://mitra.stanford.edu/kundaje/oak/projects/neuro-variants/variant_position/credible/roussos_2024/variant_figures/roussos_2024.childhood.GABA/rs1051308_count_position.png",4,220,900)</f>
        <v/>
      </c>
      <c r="T1366">
        <f>IMAGE("https://mitra.stanford.edu/kundaje/oak/projects/neuro-variants/variant_position/credible/roussos_2024/variant_figures/roussos_2024.childhood.GABA/rs1051308_profile_position.png",4,220,900)</f>
        <v/>
      </c>
    </row>
    <row r="1367">
      <c r="A1367" t="inlineStr">
        <is>
          <t>chr16</t>
        </is>
      </c>
      <c r="B1367" t="n">
        <v>4519330</v>
      </c>
      <c r="C1367" t="inlineStr">
        <is>
          <t>G</t>
        </is>
      </c>
      <c r="D1367" t="inlineStr">
        <is>
          <t>A</t>
        </is>
      </c>
      <c r="E1367" t="inlineStr">
        <is>
          <t>rs11076836</t>
        </is>
      </c>
      <c r="F1367" t="n">
        <v>-0.0509734844</v>
      </c>
      <c r="G1367" t="n">
        <v>0.1411888993867195</v>
      </c>
      <c r="H1367" t="n">
        <v>0.0111353787480847</v>
      </c>
      <c r="I1367" t="n">
        <v>0.5123911935021784</v>
      </c>
      <c r="J1367" t="n">
        <v>0.2120971288559401</v>
      </c>
      <c r="K1367" t="n">
        <v>0.2057207454809535</v>
      </c>
      <c r="L1367" t="b">
        <v>0</v>
      </c>
      <c r="M1367" t="b">
        <v>0</v>
      </c>
      <c r="N1367" t="inlineStr">
        <is>
          <t>ref</t>
        </is>
      </c>
      <c r="O1367" t="n">
        <v>-100</v>
      </c>
      <c r="P1367" t="n">
        <v>0.004257</v>
      </c>
      <c r="Q1367" t="n">
        <v>95</v>
      </c>
      <c r="R1367" t="n">
        <v>0.1162</v>
      </c>
      <c r="S1367">
        <f>IMAGE("https://mitra.stanford.edu/kundaje/oak/projects/neuro-variants/variant_position/credible/roussos_2024/variant_figures/roussos_2024.childhood.GABA/rs11076836_count_position.png",4,220,900)</f>
        <v/>
      </c>
      <c r="T1367">
        <f>IMAGE("https://mitra.stanford.edu/kundaje/oak/projects/neuro-variants/variant_position/credible/roussos_2024/variant_figures/roussos_2024.childhood.GABA/rs11076836_profile_position.png",4,220,900)</f>
        <v/>
      </c>
    </row>
    <row r="1368">
      <c r="A1368" t="inlineStr">
        <is>
          <t>chr16</t>
        </is>
      </c>
      <c r="B1368" t="n">
        <v>4519439</v>
      </c>
      <c r="C1368" t="inlineStr">
        <is>
          <t>C</t>
        </is>
      </c>
      <c r="D1368" t="inlineStr">
        <is>
          <t>T</t>
        </is>
      </c>
      <c r="E1368" t="inlineStr">
        <is>
          <t>rs11076837</t>
        </is>
      </c>
      <c r="F1368" t="n">
        <v>0.097484502</v>
      </c>
      <c r="G1368" t="n">
        <v>0.0303157331148855</v>
      </c>
      <c r="H1368" t="n">
        <v>0.0297860654410901</v>
      </c>
      <c r="I1368" t="n">
        <v>0.0143319256913147</v>
      </c>
      <c r="J1368" t="n">
        <v>0.2655337061003958</v>
      </c>
      <c r="K1368" t="n">
        <v>0.1613498503395035</v>
      </c>
      <c r="L1368" t="b">
        <v>1</v>
      </c>
      <c r="M1368" t="b">
        <v>0</v>
      </c>
      <c r="N1368" t="inlineStr">
        <is>
          <t>alt</t>
        </is>
      </c>
      <c r="O1368" t="n">
        <v>-65</v>
      </c>
      <c r="P1368" t="n">
        <v>0.00224</v>
      </c>
      <c r="Q1368" t="n">
        <v>-30</v>
      </c>
      <c r="R1368" t="n">
        <v>0.009705</v>
      </c>
      <c r="S1368">
        <f>IMAGE("https://mitra.stanford.edu/kundaje/oak/projects/neuro-variants/variant_position/credible/roussos_2024/variant_figures/roussos_2024.childhood.GABA/rs11076837_count_position.png",4,220,900)</f>
        <v/>
      </c>
      <c r="T1368">
        <f>IMAGE("https://mitra.stanford.edu/kundaje/oak/projects/neuro-variants/variant_position/credible/roussos_2024/variant_figures/roussos_2024.childhood.GABA/rs11076837_profile_position.png",4,220,900)</f>
        <v/>
      </c>
    </row>
    <row r="1369">
      <c r="A1369" t="inlineStr">
        <is>
          <t>chr16</t>
        </is>
      </c>
      <c r="B1369" t="n">
        <v>4534405</v>
      </c>
      <c r="C1369" t="inlineStr">
        <is>
          <t>C</t>
        </is>
      </c>
      <c r="D1369" t="inlineStr">
        <is>
          <t>T</t>
        </is>
      </c>
      <c r="E1369" t="inlineStr">
        <is>
          <t>rs4786519</t>
        </is>
      </c>
      <c r="F1369" t="n">
        <v>-0.026366227</v>
      </c>
      <c r="G1369" t="n">
        <v>0.3374491921645274</v>
      </c>
      <c r="H1369" t="n">
        <v>0.009712466387439399</v>
      </c>
      <c r="I1369" t="n">
        <v>0.6742638682384681</v>
      </c>
      <c r="J1369" t="n">
        <v>0.199963351552847</v>
      </c>
      <c r="K1369" t="n">
        <v>0.2236731660458247</v>
      </c>
      <c r="L1369" t="b">
        <v>0</v>
      </c>
      <c r="M1369" t="b">
        <v>0</v>
      </c>
      <c r="N1369" t="inlineStr">
        <is>
          <t>ref</t>
        </is>
      </c>
      <c r="O1369" t="n">
        <v>100</v>
      </c>
      <c r="P1369" t="n">
        <v>0.004845</v>
      </c>
      <c r="Q1369" t="n">
        <v>-50</v>
      </c>
      <c r="R1369" t="n">
        <v>0.04297</v>
      </c>
      <c r="S1369">
        <f>IMAGE("https://mitra.stanford.edu/kundaje/oak/projects/neuro-variants/variant_position/credible/roussos_2024/variant_figures/roussos_2024.childhood.GABA/rs4786519_count_position.png",4,220,900)</f>
        <v/>
      </c>
      <c r="T1369">
        <f>IMAGE("https://mitra.stanford.edu/kundaje/oak/projects/neuro-variants/variant_position/credible/roussos_2024/variant_figures/roussos_2024.childhood.GABA/rs4786519_profile_position.png",4,220,900)</f>
        <v/>
      </c>
    </row>
    <row r="1370">
      <c r="A1370" t="inlineStr">
        <is>
          <t>chr16</t>
        </is>
      </c>
      <c r="B1370" t="n">
        <v>5738914</v>
      </c>
      <c r="C1370" t="inlineStr">
        <is>
          <t>A</t>
        </is>
      </c>
      <c r="D1370" t="inlineStr">
        <is>
          <t>G</t>
        </is>
      </c>
      <c r="E1370" t="inlineStr">
        <is>
          <t>rs12596497</t>
        </is>
      </c>
      <c r="F1370" t="n">
        <v>0.0608111606</v>
      </c>
      <c r="G1370" t="n">
        <v>0.1018054591358913</v>
      </c>
      <c r="H1370" t="n">
        <v>0.0138807194831829</v>
      </c>
      <c r="I1370" t="n">
        <v>0.2906218797786148</v>
      </c>
      <c r="J1370" t="n">
        <v>0.0690697577014093</v>
      </c>
      <c r="K1370" t="n">
        <v>0.4245772582727066</v>
      </c>
      <c r="L1370" t="b">
        <v>0</v>
      </c>
      <c r="M1370" t="b">
        <v>0</v>
      </c>
      <c r="N1370" t="inlineStr">
        <is>
          <t>alt</t>
        </is>
      </c>
      <c r="O1370" t="n">
        <v>-95</v>
      </c>
      <c r="P1370" t="n">
        <v>0.01237</v>
      </c>
      <c r="Q1370" t="n">
        <v>-50</v>
      </c>
      <c r="R1370" t="n">
        <v>0.114</v>
      </c>
      <c r="S1370">
        <f>IMAGE("https://mitra.stanford.edu/kundaje/oak/projects/neuro-variants/variant_position/credible/roussos_2024/variant_figures/roussos_2024.childhood.GABA/rs12596497_count_position.png",4,220,900)</f>
        <v/>
      </c>
      <c r="T1370">
        <f>IMAGE("https://mitra.stanford.edu/kundaje/oak/projects/neuro-variants/variant_position/credible/roussos_2024/variant_figures/roussos_2024.childhood.GABA/rs12596497_profile_position.png",4,220,900)</f>
        <v/>
      </c>
    </row>
    <row r="1371">
      <c r="A1371" t="inlineStr">
        <is>
          <t>chr16</t>
        </is>
      </c>
      <c r="B1371" t="n">
        <v>5739574</v>
      </c>
      <c r="C1371" t="inlineStr">
        <is>
          <t>T</t>
        </is>
      </c>
      <c r="D1371" t="inlineStr">
        <is>
          <t>G</t>
        </is>
      </c>
      <c r="E1371" t="inlineStr">
        <is>
          <t>rs929468</t>
        </is>
      </c>
      <c r="F1371" t="n">
        <v>0.0056001457999999</v>
      </c>
      <c r="G1371" t="n">
        <v>0.7254020811019222</v>
      </c>
      <c r="H1371" t="n">
        <v>0.017122529235396</v>
      </c>
      <c r="I1371" t="n">
        <v>0.1387542509104427</v>
      </c>
      <c r="J1371" t="n">
        <v>0.1416535779355406</v>
      </c>
      <c r="K1371" t="n">
        <v>0.2849201867791525</v>
      </c>
      <c r="L1371" t="b">
        <v>0</v>
      </c>
      <c r="M1371" t="b">
        <v>0</v>
      </c>
      <c r="N1371" t="inlineStr">
        <is>
          <t>alt</t>
        </is>
      </c>
      <c r="O1371" t="n">
        <v>0</v>
      </c>
      <c r="P1371" t="n">
        <v>0</v>
      </c>
      <c r="Q1371" t="n">
        <v>100</v>
      </c>
      <c r="R1371" t="n">
        <v>0.098</v>
      </c>
      <c r="S1371">
        <f>IMAGE("https://mitra.stanford.edu/kundaje/oak/projects/neuro-variants/variant_position/credible/roussos_2024/variant_figures/roussos_2024.childhood.GABA/rs929468_count_position.png",4,220,900)</f>
        <v/>
      </c>
      <c r="T1371">
        <f>IMAGE("https://mitra.stanford.edu/kundaje/oak/projects/neuro-variants/variant_position/credible/roussos_2024/variant_figures/roussos_2024.childhood.GABA/rs929468_profile_position.png",4,220,900)</f>
        <v/>
      </c>
    </row>
    <row r="1372">
      <c r="A1372" t="inlineStr">
        <is>
          <t>chr16</t>
        </is>
      </c>
      <c r="B1372" t="n">
        <v>5740082</v>
      </c>
      <c r="C1372" t="inlineStr">
        <is>
          <t>G</t>
        </is>
      </c>
      <c r="D1372" t="inlineStr">
        <is>
          <t>T</t>
        </is>
      </c>
      <c r="E1372" t="inlineStr">
        <is>
          <t>rs57105172</t>
        </is>
      </c>
      <c r="F1372" t="n">
        <v>-0.0913422022</v>
      </c>
      <c r="G1372" t="n">
        <v>0.0456379894286955</v>
      </c>
      <c r="H1372" t="n">
        <v>0.0283040493083632</v>
      </c>
      <c r="I1372" t="n">
        <v>0.0199139703433507</v>
      </c>
      <c r="J1372" t="n">
        <v>0.2460472031999329</v>
      </c>
      <c r="K1372" t="n">
        <v>0.173038132501308</v>
      </c>
      <c r="L1372" t="b">
        <v>1</v>
      </c>
      <c r="M1372" t="b">
        <v>0</v>
      </c>
      <c r="N1372" t="inlineStr">
        <is>
          <t>ref</t>
        </is>
      </c>
      <c r="O1372" t="n">
        <v>-100</v>
      </c>
      <c r="P1372" t="n">
        <v>0.02507</v>
      </c>
      <c r="Q1372" t="n">
        <v>5</v>
      </c>
      <c r="R1372" t="n">
        <v>0.003418</v>
      </c>
      <c r="S1372">
        <f>IMAGE("https://mitra.stanford.edu/kundaje/oak/projects/neuro-variants/variant_position/credible/roussos_2024/variant_figures/roussos_2024.childhood.GABA/rs57105172_count_position.png",4,220,900)</f>
        <v/>
      </c>
      <c r="T1372">
        <f>IMAGE("https://mitra.stanford.edu/kundaje/oak/projects/neuro-variants/variant_position/credible/roussos_2024/variant_figures/roussos_2024.childhood.GABA/rs57105172_profile_position.png",4,220,900)</f>
        <v/>
      </c>
    </row>
    <row r="1373">
      <c r="A1373" t="inlineStr">
        <is>
          <t>chr16</t>
        </is>
      </c>
      <c r="B1373" t="n">
        <v>5740711</v>
      </c>
      <c r="C1373" t="inlineStr">
        <is>
          <t>G</t>
        </is>
      </c>
      <c r="D1373" t="inlineStr">
        <is>
          <t>A</t>
        </is>
      </c>
      <c r="E1373" t="inlineStr">
        <is>
          <t>rs66926752</t>
        </is>
      </c>
      <c r="F1373" t="n">
        <v>0.0270176544</v>
      </c>
      <c r="G1373" t="n">
        <v>0.3165747345600261</v>
      </c>
      <c r="H1373" t="n">
        <v>0.0179943998138887</v>
      </c>
      <c r="I1373" t="n">
        <v>0.1149301608501448</v>
      </c>
      <c r="J1373" t="n">
        <v>0.0814422734602416</v>
      </c>
      <c r="K1373" t="n">
        <v>0.4120821601380877</v>
      </c>
      <c r="L1373" t="b">
        <v>0</v>
      </c>
      <c r="M1373" t="b">
        <v>0</v>
      </c>
      <c r="N1373" t="inlineStr">
        <is>
          <t>alt</t>
        </is>
      </c>
      <c r="O1373" t="n">
        <v>-100</v>
      </c>
      <c r="P1373" t="n">
        <v>0.007698</v>
      </c>
      <c r="Q1373" t="n">
        <v>-95</v>
      </c>
      <c r="R1373" t="n">
        <v>0.03412</v>
      </c>
      <c r="S1373">
        <f>IMAGE("https://mitra.stanford.edu/kundaje/oak/projects/neuro-variants/variant_position/credible/roussos_2024/variant_figures/roussos_2024.childhood.GABA/rs66926752_count_position.png",4,220,900)</f>
        <v/>
      </c>
      <c r="T1373">
        <f>IMAGE("https://mitra.stanford.edu/kundaje/oak/projects/neuro-variants/variant_position/credible/roussos_2024/variant_figures/roussos_2024.childhood.GABA/rs66926752_profile_position.png",4,220,900)</f>
        <v/>
      </c>
    </row>
    <row r="1374">
      <c r="A1374" t="inlineStr">
        <is>
          <t>chr16</t>
        </is>
      </c>
      <c r="B1374" t="n">
        <v>5743578</v>
      </c>
      <c r="C1374" t="inlineStr">
        <is>
          <t>C</t>
        </is>
      </c>
      <c r="D1374" t="inlineStr">
        <is>
          <t>T</t>
        </is>
      </c>
      <c r="E1374" t="inlineStr">
        <is>
          <t>rs11076959</t>
        </is>
      </c>
      <c r="F1374" t="n">
        <v>0.0595287044</v>
      </c>
      <c r="G1374" t="n">
        <v>0.1211783338287794</v>
      </c>
      <c r="H1374" t="n">
        <v>0.0272152416554057</v>
      </c>
      <c r="I1374" t="n">
        <v>0.0194904039439398</v>
      </c>
      <c r="J1374" t="n">
        <v>0.1098469142007496</v>
      </c>
      <c r="K1374" t="n">
        <v>0.3423036729222473</v>
      </c>
      <c r="L1374" t="b">
        <v>1</v>
      </c>
      <c r="M1374" t="b">
        <v>0</v>
      </c>
      <c r="N1374" t="inlineStr">
        <is>
          <t>alt</t>
        </is>
      </c>
      <c r="O1374" t="n">
        <v>10</v>
      </c>
      <c r="P1374" t="n">
        <v>0.001434</v>
      </c>
      <c r="Q1374" t="n">
        <v>-35</v>
      </c>
      <c r="R1374" t="n">
        <v>0.02875</v>
      </c>
      <c r="S1374">
        <f>IMAGE("https://mitra.stanford.edu/kundaje/oak/projects/neuro-variants/variant_position/credible/roussos_2024/variant_figures/roussos_2024.childhood.GABA/rs11076959_count_position.png",4,220,900)</f>
        <v/>
      </c>
      <c r="T1374">
        <f>IMAGE("https://mitra.stanford.edu/kundaje/oak/projects/neuro-variants/variant_position/credible/roussos_2024/variant_figures/roussos_2024.childhood.GABA/rs11076959_profile_position.png",4,220,900)</f>
        <v/>
      </c>
    </row>
    <row r="1375">
      <c r="A1375" t="inlineStr">
        <is>
          <t>chr16</t>
        </is>
      </c>
      <c r="B1375" t="n">
        <v>5747060</v>
      </c>
      <c r="C1375" t="inlineStr">
        <is>
          <t>T</t>
        </is>
      </c>
      <c r="D1375" t="inlineStr">
        <is>
          <t>C</t>
        </is>
      </c>
      <c r="E1375" t="inlineStr">
        <is>
          <t>rs9929010</t>
        </is>
      </c>
      <c r="F1375" t="n">
        <v>-3.022700000000073e-06</v>
      </c>
      <c r="G1375" t="n">
        <v>0.6060174287722433</v>
      </c>
      <c r="H1375" t="n">
        <v>0.0101236058816111</v>
      </c>
      <c r="I1375" t="n">
        <v>0.6301486393740312</v>
      </c>
      <c r="J1375" t="n">
        <v>0.0246057674184833</v>
      </c>
      <c r="K1375" t="n">
        <v>0.6219387899256291</v>
      </c>
      <c r="L1375" t="b">
        <v>0</v>
      </c>
      <c r="M1375" t="b">
        <v>0</v>
      </c>
      <c r="N1375" t="inlineStr">
        <is>
          <t>ref</t>
        </is>
      </c>
      <c r="O1375" t="n">
        <v>25</v>
      </c>
      <c r="P1375" t="n">
        <v>0.001011</v>
      </c>
      <c r="Q1375" t="n">
        <v>95</v>
      </c>
      <c r="R1375" t="n">
        <v>0.04114</v>
      </c>
      <c r="S1375">
        <f>IMAGE("https://mitra.stanford.edu/kundaje/oak/projects/neuro-variants/variant_position/credible/roussos_2024/variant_figures/roussos_2024.childhood.GABA/rs9929010_count_position.png",4,220,900)</f>
        <v/>
      </c>
      <c r="T1375">
        <f>IMAGE("https://mitra.stanford.edu/kundaje/oak/projects/neuro-variants/variant_position/credible/roussos_2024/variant_figures/roussos_2024.childhood.GABA/rs9929010_profile_position.png",4,220,900)</f>
        <v/>
      </c>
    </row>
    <row r="1376">
      <c r="A1376" t="inlineStr">
        <is>
          <t>chr16</t>
        </is>
      </c>
      <c r="B1376" t="n">
        <v>5755393</v>
      </c>
      <c r="C1376" t="inlineStr">
        <is>
          <t>C</t>
        </is>
      </c>
      <c r="D1376" t="inlineStr">
        <is>
          <t>A</t>
        </is>
      </c>
      <c r="E1376" t="inlineStr">
        <is>
          <t>rs6500717</t>
        </is>
      </c>
      <c r="F1376" t="n">
        <v>0.0173362707999999</v>
      </c>
      <c r="G1376" t="n">
        <v>0.4564198268933421</v>
      </c>
      <c r="H1376" t="n">
        <v>0.015446087769388</v>
      </c>
      <c r="I1376" t="n">
        <v>0.2059597100292824</v>
      </c>
      <c r="J1376" t="n">
        <v>0.08952377960670969</v>
      </c>
      <c r="K1376" t="n">
        <v>0.4017469387483123</v>
      </c>
      <c r="L1376" t="b">
        <v>0</v>
      </c>
      <c r="M1376" t="b">
        <v>0</v>
      </c>
      <c r="N1376" t="inlineStr">
        <is>
          <t>alt</t>
        </is>
      </c>
      <c r="O1376" t="n">
        <v>0</v>
      </c>
      <c r="P1376" t="n">
        <v>0</v>
      </c>
      <c r="Q1376" t="n">
        <v>-100</v>
      </c>
      <c r="R1376" t="n">
        <v>0.06744</v>
      </c>
      <c r="S1376">
        <f>IMAGE("https://mitra.stanford.edu/kundaje/oak/projects/neuro-variants/variant_position/credible/roussos_2024/variant_figures/roussos_2024.childhood.GABA/rs6500717_count_position.png",4,220,900)</f>
        <v/>
      </c>
      <c r="T1376">
        <f>IMAGE("https://mitra.stanford.edu/kundaje/oak/projects/neuro-variants/variant_position/credible/roussos_2024/variant_figures/roussos_2024.childhood.GABA/rs6500717_profile_position.png",4,220,900)</f>
        <v/>
      </c>
    </row>
    <row r="1377">
      <c r="A1377" t="inlineStr">
        <is>
          <t>chr16</t>
        </is>
      </c>
      <c r="B1377" t="n">
        <v>5758519</v>
      </c>
      <c r="C1377" t="inlineStr">
        <is>
          <t>A</t>
        </is>
      </c>
      <c r="D1377" t="inlineStr">
        <is>
          <t>G</t>
        </is>
      </c>
      <c r="E1377" t="inlineStr">
        <is>
          <t>rs7189389</t>
        </is>
      </c>
      <c r="F1377" t="n">
        <v>-0.105197855</v>
      </c>
      <c r="G1377" t="n">
        <v>0.0332796753917086</v>
      </c>
      <c r="H1377" t="n">
        <v>0.0261649450906822</v>
      </c>
      <c r="I1377" t="n">
        <v>0.0246749381485359</v>
      </c>
      <c r="J1377" t="n">
        <v>0.2519455089945759</v>
      </c>
      <c r="K1377" t="n">
        <v>0.1710707760162674</v>
      </c>
      <c r="L1377" t="b">
        <v>0</v>
      </c>
      <c r="M1377" t="b">
        <v>0</v>
      </c>
      <c r="N1377" t="inlineStr">
        <is>
          <t>ref</t>
        </is>
      </c>
      <c r="O1377" t="n">
        <v>30</v>
      </c>
      <c r="P1377" t="n">
        <v>0.00145</v>
      </c>
      <c r="Q1377" t="n">
        <v>-45</v>
      </c>
      <c r="R1377" t="n">
        <v>0.02979</v>
      </c>
      <c r="S1377">
        <f>IMAGE("https://mitra.stanford.edu/kundaje/oak/projects/neuro-variants/variant_position/credible/roussos_2024/variant_figures/roussos_2024.childhood.GABA/rs7189389_count_position.png",4,220,900)</f>
        <v/>
      </c>
      <c r="T1377">
        <f>IMAGE("https://mitra.stanford.edu/kundaje/oak/projects/neuro-variants/variant_position/credible/roussos_2024/variant_figures/roussos_2024.childhood.GABA/rs7189389_profile_position.png",4,220,900)</f>
        <v/>
      </c>
    </row>
    <row r="1378">
      <c r="A1378" t="inlineStr">
        <is>
          <t>chr16</t>
        </is>
      </c>
      <c r="B1378" t="n">
        <v>5760685</v>
      </c>
      <c r="C1378" t="inlineStr">
        <is>
          <t>T</t>
        </is>
      </c>
      <c r="D1378" t="inlineStr">
        <is>
          <t>C</t>
        </is>
      </c>
      <c r="E1378" t="inlineStr">
        <is>
          <t>rs3900820</t>
        </is>
      </c>
      <c r="F1378" t="n">
        <v>-0.00285024894</v>
      </c>
      <c r="G1378" t="n">
        <v>0.8276038658865024</v>
      </c>
      <c r="H1378" t="n">
        <v>0.0202129914439472</v>
      </c>
      <c r="I1378" t="n">
        <v>0.0723272251137926</v>
      </c>
      <c r="J1378" t="n">
        <v>0.0069506397771774</v>
      </c>
      <c r="K1378" t="n">
        <v>0.7843078138281159</v>
      </c>
      <c r="L1378" t="b">
        <v>0</v>
      </c>
      <c r="M1378" t="b">
        <v>0</v>
      </c>
      <c r="N1378" t="inlineStr">
        <is>
          <t>ref</t>
        </is>
      </c>
      <c r="O1378" t="n">
        <v>-10</v>
      </c>
      <c r="P1378" t="n">
        <v>0.0001812</v>
      </c>
      <c r="Q1378" t="n">
        <v>80</v>
      </c>
      <c r="R1378" t="n">
        <v>0.114</v>
      </c>
      <c r="S1378">
        <f>IMAGE("https://mitra.stanford.edu/kundaje/oak/projects/neuro-variants/variant_position/credible/roussos_2024/variant_figures/roussos_2024.childhood.GABA/rs3900820_count_position.png",4,220,900)</f>
        <v/>
      </c>
      <c r="T1378">
        <f>IMAGE("https://mitra.stanford.edu/kundaje/oak/projects/neuro-variants/variant_position/credible/roussos_2024/variant_figures/roussos_2024.childhood.GABA/rs3900820_profile_position.png",4,220,900)</f>
        <v/>
      </c>
    </row>
    <row r="1379">
      <c r="A1379" t="inlineStr">
        <is>
          <t>chr16</t>
        </is>
      </c>
      <c r="B1379" t="n">
        <v>5770236</v>
      </c>
      <c r="C1379" t="inlineStr">
        <is>
          <t>A</t>
        </is>
      </c>
      <c r="D1379" t="inlineStr">
        <is>
          <t>C</t>
        </is>
      </c>
      <c r="E1379" t="inlineStr">
        <is>
          <t>rs9927114</t>
        </is>
      </c>
      <c r="F1379" t="n">
        <v>-0.147141594</v>
      </c>
      <c r="G1379" t="n">
        <v>0.0108431560021553</v>
      </c>
      <c r="H1379" t="n">
        <v>0.0232921138524435</v>
      </c>
      <c r="I1379" t="n">
        <v>0.0429342085213793</v>
      </c>
      <c r="J1379" t="n">
        <v>0.1788077736591903</v>
      </c>
      <c r="K1379" t="n">
        <v>0.2384549592487973</v>
      </c>
      <c r="L1379" t="b">
        <v>1</v>
      </c>
      <c r="M1379" t="b">
        <v>0</v>
      </c>
      <c r="N1379" t="inlineStr">
        <is>
          <t>ref</t>
        </is>
      </c>
      <c r="O1379" t="n">
        <v>100</v>
      </c>
      <c r="P1379" t="n">
        <v>0.00576</v>
      </c>
      <c r="Q1379" t="n">
        <v>95</v>
      </c>
      <c r="R1379" t="n">
        <v>0.09959999999999999</v>
      </c>
      <c r="S1379">
        <f>IMAGE("https://mitra.stanford.edu/kundaje/oak/projects/neuro-variants/variant_position/credible/roussos_2024/variant_figures/roussos_2024.childhood.GABA/rs9927114_count_position.png",4,220,900)</f>
        <v/>
      </c>
      <c r="T1379">
        <f>IMAGE("https://mitra.stanford.edu/kundaje/oak/projects/neuro-variants/variant_position/credible/roussos_2024/variant_figures/roussos_2024.childhood.GABA/rs9927114_profile_position.png",4,220,900)</f>
        <v/>
      </c>
    </row>
    <row r="1380">
      <c r="A1380" t="inlineStr">
        <is>
          <t>chr16</t>
        </is>
      </c>
      <c r="B1380" t="n">
        <v>5770244</v>
      </c>
      <c r="C1380" t="inlineStr">
        <is>
          <t>A</t>
        </is>
      </c>
      <c r="D1380" t="inlineStr">
        <is>
          <t>G</t>
        </is>
      </c>
      <c r="E1380" t="inlineStr">
        <is>
          <t>rs9927115</t>
        </is>
      </c>
      <c r="F1380" t="n">
        <v>-0.0753177214</v>
      </c>
      <c r="G1380" t="n">
        <v>0.0680711950627938</v>
      </c>
      <c r="H1380" t="n">
        <v>0.0160052023121494</v>
      </c>
      <c r="I1380" t="n">
        <v>0.1815440671486446</v>
      </c>
      <c r="J1380" t="n">
        <v>0.1823752382149064</v>
      </c>
      <c r="K1380" t="n">
        <v>0.234423393850948</v>
      </c>
      <c r="L1380" t="b">
        <v>0</v>
      </c>
      <c r="M1380" t="b">
        <v>0</v>
      </c>
      <c r="N1380" t="inlineStr">
        <is>
          <t>ref</t>
        </is>
      </c>
      <c r="O1380" t="n">
        <v>100</v>
      </c>
      <c r="P1380" t="n">
        <v>0.005093</v>
      </c>
      <c r="Q1380" t="n">
        <v>90</v>
      </c>
      <c r="R1380" t="n">
        <v>0.1178</v>
      </c>
      <c r="S1380">
        <f>IMAGE("https://mitra.stanford.edu/kundaje/oak/projects/neuro-variants/variant_position/credible/roussos_2024/variant_figures/roussos_2024.childhood.GABA/rs9927115_count_position.png",4,220,900)</f>
        <v/>
      </c>
      <c r="T1380">
        <f>IMAGE("https://mitra.stanford.edu/kundaje/oak/projects/neuro-variants/variant_position/credible/roussos_2024/variant_figures/roussos_2024.childhood.GABA/rs9927115_profile_position.png",4,220,900)</f>
        <v/>
      </c>
    </row>
    <row r="1381">
      <c r="A1381" t="inlineStr">
        <is>
          <t>chr16</t>
        </is>
      </c>
      <c r="B1381" t="n">
        <v>5770398</v>
      </c>
      <c r="C1381" t="inlineStr">
        <is>
          <t>A</t>
        </is>
      </c>
      <c r="D1381" t="inlineStr">
        <is>
          <t>C</t>
        </is>
      </c>
      <c r="E1381" t="inlineStr">
        <is>
          <t>rs9927274</t>
        </is>
      </c>
      <c r="F1381" t="n">
        <v>0.0234579559999999</v>
      </c>
      <c r="G1381" t="n">
        <v>0.3647702472887806</v>
      </c>
      <c r="H1381" t="n">
        <v>0.0125873320049981</v>
      </c>
      <c r="I1381" t="n">
        <v>0.3862616352323091</v>
      </c>
      <c r="J1381" t="n">
        <v>0.2560291931059034</v>
      </c>
      <c r="K1381" t="n">
        <v>0.1667174302148938</v>
      </c>
      <c r="L1381" t="b">
        <v>0</v>
      </c>
      <c r="M1381" t="b">
        <v>0</v>
      </c>
      <c r="N1381" t="inlineStr">
        <is>
          <t>alt</t>
        </is>
      </c>
      <c r="O1381" t="n">
        <v>100</v>
      </c>
      <c r="P1381" t="n">
        <v>0.011826</v>
      </c>
      <c r="Q1381" t="n">
        <v>100</v>
      </c>
      <c r="R1381" t="n">
        <v>0.1511</v>
      </c>
      <c r="S1381">
        <f>IMAGE("https://mitra.stanford.edu/kundaje/oak/projects/neuro-variants/variant_position/credible/roussos_2024/variant_figures/roussos_2024.childhood.GABA/rs9927274_count_position.png",4,220,900)</f>
        <v/>
      </c>
      <c r="T1381">
        <f>IMAGE("https://mitra.stanford.edu/kundaje/oak/projects/neuro-variants/variant_position/credible/roussos_2024/variant_figures/roussos_2024.childhood.GABA/rs9927274_profile_position.png",4,220,900)</f>
        <v/>
      </c>
    </row>
    <row r="1382">
      <c r="A1382" t="inlineStr">
        <is>
          <t>chr16</t>
        </is>
      </c>
      <c r="B1382" t="n">
        <v>5770514</v>
      </c>
      <c r="C1382" t="inlineStr">
        <is>
          <t>T</t>
        </is>
      </c>
      <c r="D1382" t="inlineStr">
        <is>
          <t>C</t>
        </is>
      </c>
      <c r="E1382" t="inlineStr">
        <is>
          <t>rs9929578</t>
        </is>
      </c>
      <c r="F1382" t="n">
        <v>0.1604657228</v>
      </c>
      <c r="G1382" t="n">
        <v>0.0095659393997712</v>
      </c>
      <c r="H1382" t="n">
        <v>0.0227612441395005</v>
      </c>
      <c r="I1382" t="n">
        <v>0.0457636874574779</v>
      </c>
      <c r="J1382" t="n">
        <v>0.3645358212393457</v>
      </c>
      <c r="K1382" t="n">
        <v>0.1013636098489889</v>
      </c>
      <c r="L1382" t="b">
        <v>1</v>
      </c>
      <c r="M1382" t="b">
        <v>1</v>
      </c>
      <c r="N1382" t="inlineStr">
        <is>
          <t>alt</t>
        </is>
      </c>
      <c r="O1382" t="n">
        <v>75</v>
      </c>
      <c r="P1382" t="n">
        <v>0.002602</v>
      </c>
      <c r="Q1382" t="n">
        <v>70</v>
      </c>
      <c r="R1382" t="n">
        <v>0.03687</v>
      </c>
      <c r="S1382">
        <f>IMAGE("https://mitra.stanford.edu/kundaje/oak/projects/neuro-variants/variant_position/credible/roussos_2024/variant_figures/roussos_2024.childhood.GABA/rs9929578_count_position.png",4,220,900)</f>
        <v/>
      </c>
      <c r="T1382">
        <f>IMAGE("https://mitra.stanford.edu/kundaje/oak/projects/neuro-variants/variant_position/credible/roussos_2024/variant_figures/roussos_2024.childhood.GABA/rs9929578_profile_position.png",4,220,900)</f>
        <v/>
      </c>
    </row>
    <row r="1383">
      <c r="A1383" t="inlineStr">
        <is>
          <t>chr16</t>
        </is>
      </c>
      <c r="B1383" t="n">
        <v>5773676</v>
      </c>
      <c r="C1383" t="inlineStr">
        <is>
          <t>A</t>
        </is>
      </c>
      <c r="D1383" t="inlineStr">
        <is>
          <t>G</t>
        </is>
      </c>
      <c r="E1383" t="inlineStr">
        <is>
          <t>rs11648113</t>
        </is>
      </c>
      <c r="F1383" t="n">
        <v>0.173370254</v>
      </c>
      <c r="G1383" t="n">
        <v>0.006670561419811</v>
      </c>
      <c r="H1383" t="n">
        <v>0.0308782995806813</v>
      </c>
      <c r="I1383" t="n">
        <v>0.0120406423953582</v>
      </c>
      <c r="J1383" t="n">
        <v>0.1211430127117756</v>
      </c>
      <c r="K1383" t="n">
        <v>0.3148589052384924</v>
      </c>
      <c r="L1383" t="b">
        <v>1</v>
      </c>
      <c r="M1383" t="b">
        <v>1</v>
      </c>
      <c r="N1383" t="inlineStr">
        <is>
          <t>alt</t>
        </is>
      </c>
      <c r="O1383" t="n">
        <v>-80</v>
      </c>
      <c r="P1383" t="n">
        <v>0.008545000000000001</v>
      </c>
      <c r="Q1383" t="n">
        <v>-80</v>
      </c>
      <c r="R1383" t="n">
        <v>0.06128</v>
      </c>
      <c r="S1383">
        <f>IMAGE("https://mitra.stanford.edu/kundaje/oak/projects/neuro-variants/variant_position/credible/roussos_2024/variant_figures/roussos_2024.childhood.GABA/rs11648113_count_position.png",4,220,900)</f>
        <v/>
      </c>
      <c r="T1383">
        <f>IMAGE("https://mitra.stanford.edu/kundaje/oak/projects/neuro-variants/variant_position/credible/roussos_2024/variant_figures/roussos_2024.childhood.GABA/rs11648113_profile_position.png",4,220,900)</f>
        <v/>
      </c>
    </row>
    <row r="1384">
      <c r="A1384" t="inlineStr">
        <is>
          <t>chr16</t>
        </is>
      </c>
      <c r="B1384" t="n">
        <v>5779439</v>
      </c>
      <c r="C1384" t="inlineStr">
        <is>
          <t>C</t>
        </is>
      </c>
      <c r="D1384" t="inlineStr">
        <is>
          <t>T</t>
        </is>
      </c>
      <c r="E1384" t="inlineStr">
        <is>
          <t>rs7198618</t>
        </is>
      </c>
      <c r="F1384" t="n">
        <v>-0.06548567699999989</v>
      </c>
      <c r="G1384" t="n">
        <v>0.0842852168782192</v>
      </c>
      <c r="H1384" t="n">
        <v>0.0146223604430246</v>
      </c>
      <c r="I1384" t="n">
        <v>0.2443918711797904</v>
      </c>
      <c r="J1384" t="n">
        <v>0.1155525538732172</v>
      </c>
      <c r="K1384" t="n">
        <v>0.3257764252767741</v>
      </c>
      <c r="L1384" t="b">
        <v>0</v>
      </c>
      <c r="M1384" t="b">
        <v>0</v>
      </c>
      <c r="N1384" t="inlineStr">
        <is>
          <t>ref</t>
        </is>
      </c>
      <c r="O1384" t="n">
        <v>-100</v>
      </c>
      <c r="P1384" t="n">
        <v>0.01248</v>
      </c>
      <c r="Q1384" t="n">
        <v>-100</v>
      </c>
      <c r="R1384" t="n">
        <v>0.06494</v>
      </c>
      <c r="S1384">
        <f>IMAGE("https://mitra.stanford.edu/kundaje/oak/projects/neuro-variants/variant_position/credible/roussos_2024/variant_figures/roussos_2024.childhood.GABA/rs7198618_count_position.png",4,220,900)</f>
        <v/>
      </c>
      <c r="T1384">
        <f>IMAGE("https://mitra.stanford.edu/kundaje/oak/projects/neuro-variants/variant_position/credible/roussos_2024/variant_figures/roussos_2024.childhood.GABA/rs7198618_profile_position.png",4,220,900)</f>
        <v/>
      </c>
    </row>
    <row r="1385">
      <c r="A1385" t="inlineStr">
        <is>
          <t>chr16</t>
        </is>
      </c>
      <c r="B1385" t="n">
        <v>5785840</v>
      </c>
      <c r="C1385" t="inlineStr">
        <is>
          <t>C</t>
        </is>
      </c>
      <c r="D1385" t="inlineStr">
        <is>
          <t>T</t>
        </is>
      </c>
      <c r="E1385" t="inlineStr">
        <is>
          <t>rs11861310</t>
        </is>
      </c>
      <c r="F1385" t="n">
        <v>0.009609351760000001</v>
      </c>
      <c r="G1385" t="n">
        <v>0.6259921362616991</v>
      </c>
      <c r="H1385" t="n">
        <v>0.0191033204726814</v>
      </c>
      <c r="I1385" t="n">
        <v>0.0896440731104</v>
      </c>
      <c r="J1385" t="n">
        <v>0.0357982031789909</v>
      </c>
      <c r="K1385" t="n">
        <v>0.5813104476366734</v>
      </c>
      <c r="L1385" t="b">
        <v>0</v>
      </c>
      <c r="M1385" t="b">
        <v>0</v>
      </c>
      <c r="N1385" t="inlineStr">
        <is>
          <t>alt</t>
        </is>
      </c>
      <c r="O1385" t="n">
        <v>-100</v>
      </c>
      <c r="P1385" t="n">
        <v>0.01442</v>
      </c>
      <c r="Q1385" t="n">
        <v>-20</v>
      </c>
      <c r="R1385" t="n">
        <v>0.03873</v>
      </c>
      <c r="S1385">
        <f>IMAGE("https://mitra.stanford.edu/kundaje/oak/projects/neuro-variants/variant_position/credible/roussos_2024/variant_figures/roussos_2024.childhood.GABA/rs11861310_count_position.png",4,220,900)</f>
        <v/>
      </c>
      <c r="T1385">
        <f>IMAGE("https://mitra.stanford.edu/kundaje/oak/projects/neuro-variants/variant_position/credible/roussos_2024/variant_figures/roussos_2024.childhood.GABA/rs11861310_profile_position.png",4,220,900)</f>
        <v/>
      </c>
    </row>
    <row r="1386">
      <c r="A1386" t="inlineStr">
        <is>
          <t>chr16</t>
        </is>
      </c>
      <c r="B1386" t="n">
        <v>5793138</v>
      </c>
      <c r="C1386" t="inlineStr">
        <is>
          <t>C</t>
        </is>
      </c>
      <c r="D1386" t="inlineStr">
        <is>
          <t>T</t>
        </is>
      </c>
      <c r="E1386" t="inlineStr">
        <is>
          <t>rs56142463</t>
        </is>
      </c>
      <c r="F1386" t="n">
        <v>-0.0127512722</v>
      </c>
      <c r="G1386" t="n">
        <v>0.5630429539963299</v>
      </c>
      <c r="H1386" t="n">
        <v>0.0076171433137351</v>
      </c>
      <c r="I1386" t="n">
        <v>0.8954092662756802</v>
      </c>
      <c r="J1386" t="n">
        <v>0.1268894892253565</v>
      </c>
      <c r="K1386" t="n">
        <v>0.3088395620083318</v>
      </c>
      <c r="L1386" t="b">
        <v>0</v>
      </c>
      <c r="M1386" t="b">
        <v>0</v>
      </c>
      <c r="N1386" t="inlineStr">
        <is>
          <t>ref</t>
        </is>
      </c>
      <c r="O1386" t="n">
        <v>95</v>
      </c>
      <c r="P1386" t="n">
        <v>0.02383</v>
      </c>
      <c r="Q1386" t="n">
        <v>95</v>
      </c>
      <c r="R1386" t="n">
        <v>0.2363</v>
      </c>
      <c r="S1386">
        <f>IMAGE("https://mitra.stanford.edu/kundaje/oak/projects/neuro-variants/variant_position/credible/roussos_2024/variant_figures/roussos_2024.childhood.GABA/rs56142463_count_position.png",4,220,900)</f>
        <v/>
      </c>
      <c r="T1386">
        <f>IMAGE("https://mitra.stanford.edu/kundaje/oak/projects/neuro-variants/variant_position/credible/roussos_2024/variant_figures/roussos_2024.childhood.GABA/rs56142463_profile_position.png",4,220,900)</f>
        <v/>
      </c>
    </row>
    <row r="1387">
      <c r="A1387" t="inlineStr">
        <is>
          <t>chr16</t>
        </is>
      </c>
      <c r="B1387" t="n">
        <v>7304888</v>
      </c>
      <c r="C1387" t="inlineStr">
        <is>
          <t>A</t>
        </is>
      </c>
      <c r="D1387" t="inlineStr">
        <is>
          <t>G</t>
        </is>
      </c>
      <c r="E1387" t="inlineStr">
        <is>
          <t>rs12051021</t>
        </is>
      </c>
      <c r="F1387" t="n">
        <v>-0.00322442836</v>
      </c>
      <c r="G1387" t="n">
        <v>0.7743445528047168</v>
      </c>
      <c r="H1387" t="n">
        <v>0.0074550327391267</v>
      </c>
      <c r="I1387" t="n">
        <v>0.889243943557946</v>
      </c>
      <c r="J1387" t="n">
        <v>0.5424776444472367</v>
      </c>
      <c r="K1387" t="n">
        <v>0.041050762425389</v>
      </c>
      <c r="L1387" t="b">
        <v>0</v>
      </c>
      <c r="M1387" t="b">
        <v>0</v>
      </c>
      <c r="N1387" t="inlineStr">
        <is>
          <t>ref</t>
        </is>
      </c>
      <c r="O1387" t="n">
        <v>-60</v>
      </c>
      <c r="P1387" t="n">
        <v>0.004753</v>
      </c>
      <c r="Q1387" t="n">
        <v>45</v>
      </c>
      <c r="R1387" t="n">
        <v>0.04144</v>
      </c>
      <c r="S1387">
        <f>IMAGE("https://mitra.stanford.edu/kundaje/oak/projects/neuro-variants/variant_position/credible/roussos_2024/variant_figures/roussos_2024.childhood.GABA/rs12051021_count_position.png",4,220,900)</f>
        <v/>
      </c>
      <c r="T1387">
        <f>IMAGE("https://mitra.stanford.edu/kundaje/oak/projects/neuro-variants/variant_position/credible/roussos_2024/variant_figures/roussos_2024.childhood.GABA/rs12051021_profile_position.png",4,220,900)</f>
        <v/>
      </c>
    </row>
    <row r="1388">
      <c r="A1388" t="inlineStr">
        <is>
          <t>chr16</t>
        </is>
      </c>
      <c r="B1388" t="n">
        <v>7305257</v>
      </c>
      <c r="C1388" t="inlineStr">
        <is>
          <t>C</t>
        </is>
      </c>
      <c r="D1388" t="inlineStr">
        <is>
          <t>T</t>
        </is>
      </c>
      <c r="E1388" t="inlineStr">
        <is>
          <t>rs17143361</t>
        </is>
      </c>
      <c r="F1388" t="n">
        <v>0.003168890328</v>
      </c>
      <c r="G1388" t="n">
        <v>0.847820397969805</v>
      </c>
      <c r="H1388" t="n">
        <v>0.0083709226695353</v>
      </c>
      <c r="I1388" t="n">
        <v>0.812116536436119</v>
      </c>
      <c r="J1388" t="n">
        <v>0.2181723942954073</v>
      </c>
      <c r="K1388" t="n">
        <v>0.2010129356473015</v>
      </c>
      <c r="L1388" t="b">
        <v>0</v>
      </c>
      <c r="M1388" t="b">
        <v>0</v>
      </c>
      <c r="N1388" t="inlineStr">
        <is>
          <t>alt</t>
        </is>
      </c>
      <c r="O1388" t="n">
        <v>40</v>
      </c>
      <c r="P1388" t="n">
        <v>0.003353</v>
      </c>
      <c r="Q1388" t="n">
        <v>-5</v>
      </c>
      <c r="R1388" t="n">
        <v>0.003174</v>
      </c>
      <c r="S1388">
        <f>IMAGE("https://mitra.stanford.edu/kundaje/oak/projects/neuro-variants/variant_position/credible/roussos_2024/variant_figures/roussos_2024.childhood.GABA/rs17143361_count_position.png",4,220,900)</f>
        <v/>
      </c>
      <c r="T1388">
        <f>IMAGE("https://mitra.stanford.edu/kundaje/oak/projects/neuro-variants/variant_position/credible/roussos_2024/variant_figures/roussos_2024.childhood.GABA/rs17143361_profile_position.png",4,220,900)</f>
        <v/>
      </c>
    </row>
    <row r="1389">
      <c r="A1389" t="inlineStr">
        <is>
          <t>chr16</t>
        </is>
      </c>
      <c r="B1389" t="n">
        <v>7307170</v>
      </c>
      <c r="C1389" t="inlineStr">
        <is>
          <t>T</t>
        </is>
      </c>
      <c r="D1389" t="inlineStr">
        <is>
          <t>C</t>
        </is>
      </c>
      <c r="E1389" t="inlineStr">
        <is>
          <t>rs4331351</t>
        </is>
      </c>
      <c r="F1389" t="n">
        <v>0.0267504748</v>
      </c>
      <c r="G1389" t="n">
        <v>0.3206151103931658</v>
      </c>
      <c r="H1389" t="n">
        <v>0.0177791601799712</v>
      </c>
      <c r="I1389" t="n">
        <v>0.1204882839460494</v>
      </c>
      <c r="J1389" t="n">
        <v>0.0104364306506669</v>
      </c>
      <c r="K1389" t="n">
        <v>0.7350844060697639</v>
      </c>
      <c r="L1389" t="b">
        <v>0</v>
      </c>
      <c r="M1389" t="b">
        <v>0</v>
      </c>
      <c r="N1389" t="inlineStr">
        <is>
          <t>alt</t>
        </is>
      </c>
      <c r="O1389" t="n">
        <v>5</v>
      </c>
      <c r="P1389" t="n">
        <v>0.002441</v>
      </c>
      <c r="Q1389" t="n">
        <v>50</v>
      </c>
      <c r="R1389" t="n">
        <v>0.03546</v>
      </c>
      <c r="S1389">
        <f>IMAGE("https://mitra.stanford.edu/kundaje/oak/projects/neuro-variants/variant_position/credible/roussos_2024/variant_figures/roussos_2024.childhood.GABA/rs4331351_count_position.png",4,220,900)</f>
        <v/>
      </c>
      <c r="T1389">
        <f>IMAGE("https://mitra.stanford.edu/kundaje/oak/projects/neuro-variants/variant_position/credible/roussos_2024/variant_figures/roussos_2024.childhood.GABA/rs4331351_profile_position.png",4,220,900)</f>
        <v/>
      </c>
    </row>
    <row r="1390">
      <c r="A1390" t="inlineStr">
        <is>
          <t>chr16</t>
        </is>
      </c>
      <c r="B1390" t="n">
        <v>7310131</v>
      </c>
      <c r="C1390" t="inlineStr">
        <is>
          <t>T</t>
        </is>
      </c>
      <c r="D1390" t="inlineStr">
        <is>
          <t>C</t>
        </is>
      </c>
      <c r="E1390" t="inlineStr">
        <is>
          <t>rs4479249</t>
        </is>
      </c>
      <c r="F1390" t="n">
        <v>0.051141258</v>
      </c>
      <c r="G1390" t="n">
        <v>0.1246303799103263</v>
      </c>
      <c r="H1390" t="n">
        <v>0.0112504693312177</v>
      </c>
      <c r="I1390" t="n">
        <v>0.5144555403644383</v>
      </c>
      <c r="J1390" t="n">
        <v>0.2995015811187199</v>
      </c>
      <c r="K1390" t="n">
        <v>0.1384404352672697</v>
      </c>
      <c r="L1390" t="b">
        <v>0</v>
      </c>
      <c r="M1390" t="b">
        <v>0</v>
      </c>
      <c r="N1390" t="inlineStr">
        <is>
          <t>alt</t>
        </is>
      </c>
      <c r="O1390" t="n">
        <v>-80</v>
      </c>
      <c r="P1390" t="n">
        <v>0.01059</v>
      </c>
      <c r="Q1390" t="n">
        <v>10</v>
      </c>
      <c r="R1390" t="n">
        <v>0.01904</v>
      </c>
      <c r="S1390">
        <f>IMAGE("https://mitra.stanford.edu/kundaje/oak/projects/neuro-variants/variant_position/credible/roussos_2024/variant_figures/roussos_2024.childhood.GABA/rs4479249_count_position.png",4,220,900)</f>
        <v/>
      </c>
      <c r="T1390">
        <f>IMAGE("https://mitra.stanford.edu/kundaje/oak/projects/neuro-variants/variant_position/credible/roussos_2024/variant_figures/roussos_2024.childhood.GABA/rs4479249_profile_position.png",4,220,900)</f>
        <v/>
      </c>
    </row>
    <row r="1391">
      <c r="A1391" t="inlineStr">
        <is>
          <t>chr16</t>
        </is>
      </c>
      <c r="B1391" t="n">
        <v>7365551</v>
      </c>
      <c r="C1391" t="inlineStr">
        <is>
          <t>A</t>
        </is>
      </c>
      <c r="D1391" t="inlineStr">
        <is>
          <t>G</t>
        </is>
      </c>
      <c r="E1391" t="inlineStr">
        <is>
          <t>rs4787008</t>
        </is>
      </c>
      <c r="F1391" t="n">
        <v>-0.1686382992</v>
      </c>
      <c r="G1391" t="n">
        <v>0.007844100833780499</v>
      </c>
      <c r="H1391" t="n">
        <v>0.0331548246174886</v>
      </c>
      <c r="I1391" t="n">
        <v>0.0087159947588811</v>
      </c>
      <c r="J1391" t="n">
        <v>0.2325124081171074</v>
      </c>
      <c r="K1391" t="n">
        <v>0.1876922252095474</v>
      </c>
      <c r="L1391" t="b">
        <v>1</v>
      </c>
      <c r="M1391" t="b">
        <v>1</v>
      </c>
      <c r="N1391" t="inlineStr">
        <is>
          <t>ref</t>
        </is>
      </c>
      <c r="O1391" t="n">
        <v>-55</v>
      </c>
      <c r="P1391" t="n">
        <v>0.00232</v>
      </c>
      <c r="Q1391" t="n">
        <v>35</v>
      </c>
      <c r="R1391" t="n">
        <v>0.03296</v>
      </c>
      <c r="S1391">
        <f>IMAGE("https://mitra.stanford.edu/kundaje/oak/projects/neuro-variants/variant_position/credible/roussos_2024/variant_figures/roussos_2024.childhood.GABA/rs4787008_count_position.png",4,220,900)</f>
        <v/>
      </c>
      <c r="T1391">
        <f>IMAGE("https://mitra.stanford.edu/kundaje/oak/projects/neuro-variants/variant_position/credible/roussos_2024/variant_figures/roussos_2024.childhood.GABA/rs4787008_profile_position.png",4,220,900)</f>
        <v/>
      </c>
    </row>
    <row r="1392">
      <c r="A1392" t="inlineStr">
        <is>
          <t>chr16</t>
        </is>
      </c>
      <c r="B1392" t="n">
        <v>7490196</v>
      </c>
      <c r="C1392" t="inlineStr">
        <is>
          <t>C</t>
        </is>
      </c>
      <c r="D1392" t="inlineStr">
        <is>
          <t>T</t>
        </is>
      </c>
      <c r="E1392" t="inlineStr">
        <is>
          <t>rs8055816</t>
        </is>
      </c>
      <c r="F1392" t="n">
        <v>-0.0366412078</v>
      </c>
      <c r="G1392" t="n">
        <v>0.1396831969942416</v>
      </c>
      <c r="H1392" t="n">
        <v>0.0127617385855936</v>
      </c>
      <c r="I1392" t="n">
        <v>0.3700421314203865</v>
      </c>
      <c r="J1392" t="n">
        <v>0.1056292014826914</v>
      </c>
      <c r="K1392" t="n">
        <v>0.3436500607850243</v>
      </c>
      <c r="L1392" t="b">
        <v>0</v>
      </c>
      <c r="M1392" t="b">
        <v>0</v>
      </c>
      <c r="N1392" t="inlineStr">
        <is>
          <t>ref</t>
        </is>
      </c>
      <c r="O1392" t="n">
        <v>-65</v>
      </c>
      <c r="P1392" t="n">
        <v>0.002674</v>
      </c>
      <c r="Q1392" t="n">
        <v>50</v>
      </c>
      <c r="R1392" t="n">
        <v>0.0713</v>
      </c>
      <c r="S1392">
        <f>IMAGE("https://mitra.stanford.edu/kundaje/oak/projects/neuro-variants/variant_position/credible/roussos_2024/variant_figures/roussos_2024.childhood.GABA/rs8055816_count_position.png",4,220,900)</f>
        <v/>
      </c>
      <c r="T1392">
        <f>IMAGE("https://mitra.stanford.edu/kundaje/oak/projects/neuro-variants/variant_position/credible/roussos_2024/variant_figures/roussos_2024.childhood.GABA/rs8055816_profile_position.png",4,220,900)</f>
        <v/>
      </c>
    </row>
    <row r="1393">
      <c r="A1393" t="inlineStr">
        <is>
          <t>chr16</t>
        </is>
      </c>
      <c r="B1393" t="n">
        <v>9786924</v>
      </c>
      <c r="C1393" t="inlineStr">
        <is>
          <t>A</t>
        </is>
      </c>
      <c r="D1393" t="inlineStr">
        <is>
          <t>G</t>
        </is>
      </c>
      <c r="E1393" t="inlineStr">
        <is>
          <t>rs2077923</t>
        </is>
      </c>
      <c r="F1393" t="n">
        <v>0.0269094012</v>
      </c>
      <c r="G1393" t="n">
        <v>0.311815353031451</v>
      </c>
      <c r="H1393" t="n">
        <v>0.008559400274121999</v>
      </c>
      <c r="I1393" t="n">
        <v>0.7848203942292182</v>
      </c>
      <c r="J1393" t="n">
        <v>0.0311721220497999</v>
      </c>
      <c r="K1393" t="n">
        <v>0.6187202506759443</v>
      </c>
      <c r="L1393" t="b">
        <v>0</v>
      </c>
      <c r="M1393" t="b">
        <v>0</v>
      </c>
      <c r="N1393" t="inlineStr">
        <is>
          <t>alt</t>
        </is>
      </c>
      <c r="O1393" t="n">
        <v>65</v>
      </c>
      <c r="P1393" t="n">
        <v>0.01123</v>
      </c>
      <c r="Q1393" t="n">
        <v>85</v>
      </c>
      <c r="R1393" t="n">
        <v>0.0808</v>
      </c>
      <c r="S1393">
        <f>IMAGE("https://mitra.stanford.edu/kundaje/oak/projects/neuro-variants/variant_position/credible/roussos_2024/variant_figures/roussos_2024.childhood.GABA/rs2077923_count_position.png",4,220,900)</f>
        <v/>
      </c>
      <c r="T1393">
        <f>IMAGE("https://mitra.stanford.edu/kundaje/oak/projects/neuro-variants/variant_position/credible/roussos_2024/variant_figures/roussos_2024.childhood.GABA/rs2077923_profile_position.png",4,220,900)</f>
        <v/>
      </c>
    </row>
    <row r="1394">
      <c r="A1394" t="inlineStr">
        <is>
          <t>chr16</t>
        </is>
      </c>
      <c r="B1394" t="n">
        <v>9789680</v>
      </c>
      <c r="C1394" t="inlineStr">
        <is>
          <t>C</t>
        </is>
      </c>
      <c r="D1394" t="inlineStr">
        <is>
          <t>T</t>
        </is>
      </c>
      <c r="E1394" t="inlineStr">
        <is>
          <t>rs2267787</t>
        </is>
      </c>
      <c r="F1394" t="n">
        <v>-0.039812513</v>
      </c>
      <c r="G1394" t="n">
        <v>0.2197620736760399</v>
      </c>
      <c r="H1394" t="n">
        <v>0.0121800933614265</v>
      </c>
      <c r="I1394" t="n">
        <v>0.4221686987320062</v>
      </c>
      <c r="J1394" t="n">
        <v>0.0966566145211618</v>
      </c>
      <c r="K1394" t="n">
        <v>0.3577575875593982</v>
      </c>
      <c r="L1394" t="b">
        <v>0</v>
      </c>
      <c r="M1394" t="b">
        <v>0</v>
      </c>
      <c r="N1394" t="inlineStr">
        <is>
          <t>ref</t>
        </is>
      </c>
      <c r="O1394" t="n">
        <v>0</v>
      </c>
      <c r="P1394" t="n">
        <v>0</v>
      </c>
      <c r="Q1394" t="n">
        <v>-5</v>
      </c>
      <c r="R1394" t="n">
        <v>0.005615</v>
      </c>
      <c r="S1394">
        <f>IMAGE("https://mitra.stanford.edu/kundaje/oak/projects/neuro-variants/variant_position/credible/roussos_2024/variant_figures/roussos_2024.childhood.GABA/rs2267787_count_position.png",4,220,900)</f>
        <v/>
      </c>
      <c r="T1394">
        <f>IMAGE("https://mitra.stanford.edu/kundaje/oak/projects/neuro-variants/variant_position/credible/roussos_2024/variant_figures/roussos_2024.childhood.GABA/rs2267787_profile_position.png",4,220,900)</f>
        <v/>
      </c>
    </row>
    <row r="1395">
      <c r="A1395" t="inlineStr">
        <is>
          <t>chr16</t>
        </is>
      </c>
      <c r="B1395" t="n">
        <v>9791950</v>
      </c>
      <c r="C1395" t="inlineStr">
        <is>
          <t>T</t>
        </is>
      </c>
      <c r="D1395" t="inlineStr">
        <is>
          <t>G</t>
        </is>
      </c>
      <c r="E1395" t="inlineStr">
        <is>
          <t>rs7195942</t>
        </is>
      </c>
      <c r="F1395" t="n">
        <v>-0.0184914434399999</v>
      </c>
      <c r="G1395" t="n">
        <v>0.4726888823840522</v>
      </c>
      <c r="H1395" t="n">
        <v>0.0162385099373531</v>
      </c>
      <c r="I1395" t="n">
        <v>0.1665241836191757</v>
      </c>
      <c r="J1395" t="n">
        <v>0.0284444304831312</v>
      </c>
      <c r="K1395" t="n">
        <v>0.5950309678573453</v>
      </c>
      <c r="L1395" t="b">
        <v>0</v>
      </c>
      <c r="M1395" t="b">
        <v>0</v>
      </c>
      <c r="N1395" t="inlineStr">
        <is>
          <t>ref</t>
        </is>
      </c>
      <c r="O1395" t="n">
        <v>90</v>
      </c>
      <c r="P1395" t="n">
        <v>0.001968</v>
      </c>
      <c r="Q1395" t="n">
        <v>-100</v>
      </c>
      <c r="R1395" t="n">
        <v>0.09503</v>
      </c>
      <c r="S1395">
        <f>IMAGE("https://mitra.stanford.edu/kundaje/oak/projects/neuro-variants/variant_position/credible/roussos_2024/variant_figures/roussos_2024.childhood.GABA/rs7195942_count_position.png",4,220,900)</f>
        <v/>
      </c>
      <c r="T1395">
        <f>IMAGE("https://mitra.stanford.edu/kundaje/oak/projects/neuro-variants/variant_position/credible/roussos_2024/variant_figures/roussos_2024.childhood.GABA/rs7195942_profile_position.png",4,220,900)</f>
        <v/>
      </c>
    </row>
    <row r="1396">
      <c r="A1396" t="inlineStr">
        <is>
          <t>chr16</t>
        </is>
      </c>
      <c r="B1396" t="n">
        <v>9792446</v>
      </c>
      <c r="C1396" t="inlineStr">
        <is>
          <t>C</t>
        </is>
      </c>
      <c r="D1396" t="inlineStr">
        <is>
          <t>A</t>
        </is>
      </c>
      <c r="E1396" t="inlineStr">
        <is>
          <t>rs7195835</t>
        </is>
      </c>
      <c r="F1396" t="n">
        <v>-0.0148472505</v>
      </c>
      <c r="G1396" t="n">
        <v>0.5264382279186611</v>
      </c>
      <c r="H1396" t="n">
        <v>0.0149230703200301</v>
      </c>
      <c r="I1396" t="n">
        <v>0.2234925795922853</v>
      </c>
      <c r="J1396" t="n">
        <v>0.0144876547088018</v>
      </c>
      <c r="K1396" t="n">
        <v>0.6920382852668855</v>
      </c>
      <c r="L1396" t="b">
        <v>0</v>
      </c>
      <c r="M1396" t="b">
        <v>0</v>
      </c>
      <c r="N1396" t="inlineStr">
        <is>
          <t>ref</t>
        </is>
      </c>
      <c r="O1396" t="n">
        <v>75</v>
      </c>
      <c r="P1396" t="n">
        <v>0.002792</v>
      </c>
      <c r="Q1396" t="n">
        <v>-55</v>
      </c>
      <c r="R1396" t="n">
        <v>0.03186</v>
      </c>
      <c r="S1396">
        <f>IMAGE("https://mitra.stanford.edu/kundaje/oak/projects/neuro-variants/variant_position/credible/roussos_2024/variant_figures/roussos_2024.childhood.GABA/rs7195835_count_position.png",4,220,900)</f>
        <v/>
      </c>
      <c r="T1396">
        <f>IMAGE("https://mitra.stanford.edu/kundaje/oak/projects/neuro-variants/variant_position/credible/roussos_2024/variant_figures/roussos_2024.childhood.GABA/rs7195835_profile_position.png",4,220,900)</f>
        <v/>
      </c>
    </row>
    <row r="1397">
      <c r="A1397" t="inlineStr">
        <is>
          <t>chr16</t>
        </is>
      </c>
      <c r="B1397" t="n">
        <v>9792974</v>
      </c>
      <c r="C1397" t="inlineStr">
        <is>
          <t>C</t>
        </is>
      </c>
      <c r="D1397" t="inlineStr">
        <is>
          <t>G</t>
        </is>
      </c>
      <c r="E1397" t="inlineStr">
        <is>
          <t>rs7196962</t>
        </is>
      </c>
      <c r="F1397" t="n">
        <v>-0.0227310729999999</v>
      </c>
      <c r="G1397" t="n">
        <v>0.3918506294864494</v>
      </c>
      <c r="H1397" t="n">
        <v>0.0104459410619101</v>
      </c>
      <c r="I1397" t="n">
        <v>0.5838449159048117</v>
      </c>
      <c r="J1397" t="n">
        <v>0.0406975770140939</v>
      </c>
      <c r="K1397" t="n">
        <v>0.5290496685491223</v>
      </c>
      <c r="L1397" t="b">
        <v>0</v>
      </c>
      <c r="M1397" t="b">
        <v>0</v>
      </c>
      <c r="N1397" t="inlineStr">
        <is>
          <t>ref</t>
        </is>
      </c>
      <c r="O1397" t="n">
        <v>20</v>
      </c>
      <c r="P1397" t="n">
        <v>0.003853</v>
      </c>
      <c r="Q1397" t="n">
        <v>100</v>
      </c>
      <c r="R1397" t="n">
        <v>0.07886</v>
      </c>
      <c r="S1397">
        <f>IMAGE("https://mitra.stanford.edu/kundaje/oak/projects/neuro-variants/variant_position/credible/roussos_2024/variant_figures/roussos_2024.childhood.GABA/rs7196962_count_position.png",4,220,900)</f>
        <v/>
      </c>
      <c r="T1397">
        <f>IMAGE("https://mitra.stanford.edu/kundaje/oak/projects/neuro-variants/variant_position/credible/roussos_2024/variant_figures/roussos_2024.childhood.GABA/rs7196962_profile_position.png",4,220,900)</f>
        <v/>
      </c>
    </row>
    <row r="1398">
      <c r="A1398" t="inlineStr">
        <is>
          <t>chr16</t>
        </is>
      </c>
      <c r="B1398" t="n">
        <v>9793050</v>
      </c>
      <c r="C1398" t="inlineStr">
        <is>
          <t>C</t>
        </is>
      </c>
      <c r="D1398" t="inlineStr">
        <is>
          <t>G</t>
        </is>
      </c>
      <c r="E1398" t="inlineStr">
        <is>
          <t>rs7197004</t>
        </is>
      </c>
      <c r="F1398" t="n">
        <v>-0.298397904</v>
      </c>
      <c r="G1398" t="n">
        <v>0.0014544703202381</v>
      </c>
      <c r="H1398" t="n">
        <v>0.0519090659094142</v>
      </c>
      <c r="I1398" t="n">
        <v>0.0017383406678732</v>
      </c>
      <c r="J1398" t="n">
        <v>0.0441425310464702</v>
      </c>
      <c r="K1398" t="n">
        <v>0.5137583692100788</v>
      </c>
      <c r="L1398" t="b">
        <v>1</v>
      </c>
      <c r="M1398" t="b">
        <v>1</v>
      </c>
      <c r="N1398" t="inlineStr">
        <is>
          <t>ref</t>
        </is>
      </c>
      <c r="O1398" t="n">
        <v>-55</v>
      </c>
      <c r="P1398" t="n">
        <v>0.002182</v>
      </c>
      <c r="Q1398" t="n">
        <v>100</v>
      </c>
      <c r="R1398" t="n">
        <v>0.0731</v>
      </c>
      <c r="S1398">
        <f>IMAGE("https://mitra.stanford.edu/kundaje/oak/projects/neuro-variants/variant_position/credible/roussos_2024/variant_figures/roussos_2024.childhood.GABA/rs7197004_count_position.png",4,220,900)</f>
        <v/>
      </c>
      <c r="T1398">
        <f>IMAGE("https://mitra.stanford.edu/kundaje/oak/projects/neuro-variants/variant_position/credible/roussos_2024/variant_figures/roussos_2024.childhood.GABA/rs7197004_profile_position.png",4,220,900)</f>
        <v/>
      </c>
    </row>
    <row r="1399">
      <c r="A1399" t="inlineStr">
        <is>
          <t>chr16</t>
        </is>
      </c>
      <c r="B1399" t="n">
        <v>9793254</v>
      </c>
      <c r="C1399" t="inlineStr">
        <is>
          <t>C</t>
        </is>
      </c>
      <c r="D1399" t="inlineStr">
        <is>
          <t>A</t>
        </is>
      </c>
      <c r="E1399" t="inlineStr">
        <is>
          <t>rs9972744</t>
        </is>
      </c>
      <c r="F1399" t="n">
        <v>-0.0034605970799999</v>
      </c>
      <c r="G1399" t="n">
        <v>0.6445410306625452</v>
      </c>
      <c r="H1399" t="n">
        <v>0.0158536357015757</v>
      </c>
      <c r="I1399" t="n">
        <v>0.1859460174859964</v>
      </c>
      <c r="J1399" t="n">
        <v>0.0508041716403844</v>
      </c>
      <c r="K1399" t="n">
        <v>0.4892747734741502</v>
      </c>
      <c r="L1399" t="b">
        <v>0</v>
      </c>
      <c r="M1399" t="b">
        <v>0</v>
      </c>
      <c r="N1399" t="inlineStr">
        <is>
          <t>ref</t>
        </is>
      </c>
      <c r="O1399" t="n">
        <v>-100</v>
      </c>
      <c r="P1399" t="n">
        <v>0.02287</v>
      </c>
      <c r="Q1399" t="n">
        <v>-95</v>
      </c>
      <c r="R1399" t="n">
        <v>0.2168</v>
      </c>
      <c r="S1399">
        <f>IMAGE("https://mitra.stanford.edu/kundaje/oak/projects/neuro-variants/variant_position/credible/roussos_2024/variant_figures/roussos_2024.childhood.GABA/rs9972744_count_position.png",4,220,900)</f>
        <v/>
      </c>
      <c r="T1399">
        <f>IMAGE("https://mitra.stanford.edu/kundaje/oak/projects/neuro-variants/variant_position/credible/roussos_2024/variant_figures/roussos_2024.childhood.GABA/rs9972744_profile_position.png",4,220,900)</f>
        <v/>
      </c>
    </row>
    <row r="1400">
      <c r="A1400" t="inlineStr">
        <is>
          <t>chr16</t>
        </is>
      </c>
      <c r="B1400" t="n">
        <v>9798943</v>
      </c>
      <c r="C1400" t="inlineStr">
        <is>
          <t>T</t>
        </is>
      </c>
      <c r="D1400" t="inlineStr">
        <is>
          <t>A</t>
        </is>
      </c>
      <c r="E1400" t="inlineStr">
        <is>
          <t>rs11648283</t>
        </is>
      </c>
      <c r="F1400" t="n">
        <v>0.0001452152679999</v>
      </c>
      <c r="G1400" t="n">
        <v>0.8274879483969296</v>
      </c>
      <c r="H1400" t="n">
        <v>0.0200019157314134</v>
      </c>
      <c r="I1400" t="n">
        <v>0.0775363822124765</v>
      </c>
      <c r="J1400" t="n">
        <v>0.3260298213649976</v>
      </c>
      <c r="K1400" t="n">
        <v>0.1213494367166861</v>
      </c>
      <c r="L1400" t="b">
        <v>0</v>
      </c>
      <c r="M1400" t="b">
        <v>0</v>
      </c>
      <c r="N1400" t="inlineStr">
        <is>
          <t>alt</t>
        </is>
      </c>
      <c r="O1400" t="n">
        <v>-85</v>
      </c>
      <c r="P1400" t="n">
        <v>0.0094</v>
      </c>
      <c r="Q1400" t="n">
        <v>-100</v>
      </c>
      <c r="R1400" t="n">
        <v>0.1152</v>
      </c>
      <c r="S1400">
        <f>IMAGE("https://mitra.stanford.edu/kundaje/oak/projects/neuro-variants/variant_position/credible/roussos_2024/variant_figures/roussos_2024.childhood.GABA/rs11648283_count_position.png",4,220,900)</f>
        <v/>
      </c>
      <c r="T1400">
        <f>IMAGE("https://mitra.stanford.edu/kundaje/oak/projects/neuro-variants/variant_position/credible/roussos_2024/variant_figures/roussos_2024.childhood.GABA/rs11648283_profile_position.png",4,220,900)</f>
        <v/>
      </c>
    </row>
    <row r="1401">
      <c r="A1401" t="inlineStr">
        <is>
          <t>chr16</t>
        </is>
      </c>
      <c r="B1401" t="n">
        <v>9805369</v>
      </c>
      <c r="C1401" t="inlineStr">
        <is>
          <t>C</t>
        </is>
      </c>
      <c r="D1401" t="inlineStr">
        <is>
          <t>G</t>
        </is>
      </c>
      <c r="E1401" t="inlineStr">
        <is>
          <t>rs9930307</t>
        </is>
      </c>
      <c r="F1401" t="n">
        <v>0.0058328943</v>
      </c>
      <c r="G1401" t="n">
        <v>0.6478965563449115</v>
      </c>
      <c r="H1401" t="n">
        <v>0.0102396210173547</v>
      </c>
      <c r="I1401" t="n">
        <v>0.6179503357164954</v>
      </c>
      <c r="J1401" t="n">
        <v>0.0446440912232204</v>
      </c>
      <c r="K1401" t="n">
        <v>0.5180878291793843</v>
      </c>
      <c r="L1401" t="b">
        <v>0</v>
      </c>
      <c r="M1401" t="b">
        <v>0</v>
      </c>
      <c r="N1401" t="inlineStr">
        <is>
          <t>alt</t>
        </is>
      </c>
      <c r="O1401" t="n">
        <v>15</v>
      </c>
      <c r="P1401" t="n">
        <v>0.0002747</v>
      </c>
      <c r="Q1401" t="n">
        <v>-55</v>
      </c>
      <c r="R1401" t="n">
        <v>0.01129</v>
      </c>
      <c r="S1401">
        <f>IMAGE("https://mitra.stanford.edu/kundaje/oak/projects/neuro-variants/variant_position/credible/roussos_2024/variant_figures/roussos_2024.childhood.GABA/rs9930307_count_position.png",4,220,900)</f>
        <v/>
      </c>
      <c r="T1401">
        <f>IMAGE("https://mitra.stanford.edu/kundaje/oak/projects/neuro-variants/variant_position/credible/roussos_2024/variant_figures/roussos_2024.childhood.GABA/rs9930307_profile_position.png",4,220,900)</f>
        <v/>
      </c>
    </row>
    <row r="1402">
      <c r="A1402" t="inlineStr">
        <is>
          <t>chr16</t>
        </is>
      </c>
      <c r="B1402" t="n">
        <v>9805444</v>
      </c>
      <c r="C1402" t="inlineStr">
        <is>
          <t>A</t>
        </is>
      </c>
      <c r="D1402" t="inlineStr">
        <is>
          <t>G</t>
        </is>
      </c>
      <c r="E1402" t="inlineStr">
        <is>
          <t>rs9940856</t>
        </is>
      </c>
      <c r="F1402" t="n">
        <v>0.0245630789999999</v>
      </c>
      <c r="G1402" t="n">
        <v>0.3411821888915191</v>
      </c>
      <c r="H1402" t="n">
        <v>0.014841559614627</v>
      </c>
      <c r="I1402" t="n">
        <v>0.2304798265391838</v>
      </c>
      <c r="J1402" t="n">
        <v>0.050026177462252</v>
      </c>
      <c r="K1402" t="n">
        <v>0.4949138544307919</v>
      </c>
      <c r="L1402" t="b">
        <v>0</v>
      </c>
      <c r="M1402" t="b">
        <v>0</v>
      </c>
      <c r="N1402" t="inlineStr">
        <is>
          <t>alt</t>
        </is>
      </c>
      <c r="O1402" t="n">
        <v>-75</v>
      </c>
      <c r="P1402" t="n">
        <v>0.002853</v>
      </c>
      <c r="Q1402" t="n">
        <v>-100</v>
      </c>
      <c r="R1402" t="n">
        <v>0.0827</v>
      </c>
      <c r="S1402">
        <f>IMAGE("https://mitra.stanford.edu/kundaje/oak/projects/neuro-variants/variant_position/credible/roussos_2024/variant_figures/roussos_2024.childhood.GABA/rs9940856_count_position.png",4,220,900)</f>
        <v/>
      </c>
      <c r="T1402">
        <f>IMAGE("https://mitra.stanford.edu/kundaje/oak/projects/neuro-variants/variant_position/credible/roussos_2024/variant_figures/roussos_2024.childhood.GABA/rs9940856_profile_position.png",4,220,900)</f>
        <v/>
      </c>
    </row>
    <row r="1403">
      <c r="A1403" t="inlineStr">
        <is>
          <t>chr16</t>
        </is>
      </c>
      <c r="B1403" t="n">
        <v>9812125</v>
      </c>
      <c r="C1403" t="inlineStr">
        <is>
          <t>T</t>
        </is>
      </c>
      <c r="D1403" t="inlineStr">
        <is>
          <t>A</t>
        </is>
      </c>
      <c r="E1403" t="inlineStr">
        <is>
          <t>rs7184107</t>
        </is>
      </c>
      <c r="F1403" t="n">
        <v>-0.01386208046</v>
      </c>
      <c r="G1403" t="n">
        <v>0.5565528004292944</v>
      </c>
      <c r="H1403" t="n">
        <v>0.0252532829206646</v>
      </c>
      <c r="I1403" t="n">
        <v>0.0272491356331277</v>
      </c>
      <c r="J1403" t="n">
        <v>0.0378850704697283</v>
      </c>
      <c r="K1403" t="n">
        <v>0.5673840702941675</v>
      </c>
      <c r="L1403" t="b">
        <v>0</v>
      </c>
      <c r="M1403" t="b">
        <v>0</v>
      </c>
      <c r="N1403" t="inlineStr">
        <is>
          <t>ref</t>
        </is>
      </c>
      <c r="O1403" t="n">
        <v>-100</v>
      </c>
      <c r="P1403" t="n">
        <v>0.006733</v>
      </c>
      <c r="Q1403" t="n">
        <v>-80</v>
      </c>
      <c r="R1403" t="n">
        <v>0.03793</v>
      </c>
      <c r="S1403">
        <f>IMAGE("https://mitra.stanford.edu/kundaje/oak/projects/neuro-variants/variant_position/credible/roussos_2024/variant_figures/roussos_2024.childhood.GABA/rs7184107_count_position.png",4,220,900)</f>
        <v/>
      </c>
      <c r="T1403">
        <f>IMAGE("https://mitra.stanford.edu/kundaje/oak/projects/neuro-variants/variant_position/credible/roussos_2024/variant_figures/roussos_2024.childhood.GABA/rs7184107_profile_position.png",4,220,900)</f>
        <v/>
      </c>
    </row>
    <row r="1404">
      <c r="A1404" t="inlineStr">
        <is>
          <t>chr16</t>
        </is>
      </c>
      <c r="B1404" t="n">
        <v>9813803</v>
      </c>
      <c r="C1404" t="inlineStr">
        <is>
          <t>G</t>
        </is>
      </c>
      <c r="D1404" t="inlineStr">
        <is>
          <t>T</t>
        </is>
      </c>
      <c r="E1404" t="inlineStr">
        <is>
          <t>rs10468229</t>
        </is>
      </c>
      <c r="F1404" t="n">
        <v>-0.0408563349999999</v>
      </c>
      <c r="G1404" t="n">
        <v>0.2122278653182053</v>
      </c>
      <c r="H1404" t="n">
        <v>0.0119576119065825</v>
      </c>
      <c r="I1404" t="n">
        <v>0.4321252525143315</v>
      </c>
      <c r="J1404" t="n">
        <v>0.1013402860673074</v>
      </c>
      <c r="K1404" t="n">
        <v>0.3451566567945723</v>
      </c>
      <c r="L1404" t="b">
        <v>0</v>
      </c>
      <c r="M1404" t="b">
        <v>0</v>
      </c>
      <c r="N1404" t="inlineStr">
        <is>
          <t>ref</t>
        </is>
      </c>
      <c r="O1404" t="n">
        <v>25</v>
      </c>
      <c r="P1404" t="n">
        <v>0.00479</v>
      </c>
      <c r="Q1404" t="n">
        <v>85</v>
      </c>
      <c r="R1404" t="n">
        <v>0.0764</v>
      </c>
      <c r="S1404">
        <f>IMAGE("https://mitra.stanford.edu/kundaje/oak/projects/neuro-variants/variant_position/credible/roussos_2024/variant_figures/roussos_2024.childhood.GABA/rs10468229_count_position.png",4,220,900)</f>
        <v/>
      </c>
      <c r="T1404">
        <f>IMAGE("https://mitra.stanford.edu/kundaje/oak/projects/neuro-variants/variant_position/credible/roussos_2024/variant_figures/roussos_2024.childhood.GABA/rs10468229_profile_position.png",4,220,900)</f>
        <v/>
      </c>
    </row>
    <row r="1405">
      <c r="A1405" t="inlineStr">
        <is>
          <t>chr16</t>
        </is>
      </c>
      <c r="B1405" t="n">
        <v>9814951</v>
      </c>
      <c r="C1405" t="inlineStr">
        <is>
          <t>G</t>
        </is>
      </c>
      <c r="D1405" t="inlineStr">
        <is>
          <t>T</t>
        </is>
      </c>
      <c r="E1405" t="inlineStr">
        <is>
          <t>rs11649466</t>
        </is>
      </c>
      <c r="F1405" t="n">
        <v>0.115745193</v>
      </c>
      <c r="G1405" t="n">
        <v>0.0251030528751621</v>
      </c>
      <c r="H1405" t="n">
        <v>0.0198041463387121</v>
      </c>
      <c r="I1405" t="n">
        <v>0.07980581006319649</v>
      </c>
      <c r="J1405" t="n">
        <v>0.0252926640279784</v>
      </c>
      <c r="K1405" t="n">
        <v>0.6408139737545704</v>
      </c>
      <c r="L1405" t="b">
        <v>0</v>
      </c>
      <c r="M1405" t="b">
        <v>0</v>
      </c>
      <c r="N1405" t="inlineStr">
        <is>
          <t>alt</t>
        </is>
      </c>
      <c r="O1405" t="n">
        <v>-45</v>
      </c>
      <c r="P1405" t="n">
        <v>0.00479</v>
      </c>
      <c r="Q1405" t="n">
        <v>90</v>
      </c>
      <c r="R1405" t="n">
        <v>0.12354</v>
      </c>
      <c r="S1405">
        <f>IMAGE("https://mitra.stanford.edu/kundaje/oak/projects/neuro-variants/variant_position/credible/roussos_2024/variant_figures/roussos_2024.childhood.GABA/rs11649466_count_position.png",4,220,900)</f>
        <v/>
      </c>
      <c r="T1405">
        <f>IMAGE("https://mitra.stanford.edu/kundaje/oak/projects/neuro-variants/variant_position/credible/roussos_2024/variant_figures/roussos_2024.childhood.GABA/rs11649466_profile_position.png",4,220,900)</f>
        <v/>
      </c>
    </row>
    <row r="1406">
      <c r="A1406" t="inlineStr">
        <is>
          <t>chr16</t>
        </is>
      </c>
      <c r="B1406" t="n">
        <v>9818786</v>
      </c>
      <c r="C1406" t="inlineStr">
        <is>
          <t>C</t>
        </is>
      </c>
      <c r="D1406" t="inlineStr">
        <is>
          <t>T</t>
        </is>
      </c>
      <c r="E1406" t="inlineStr">
        <is>
          <t>rs11645219</t>
        </is>
      </c>
      <c r="F1406" t="n">
        <v>-0.01002351048</v>
      </c>
      <c r="G1406" t="n">
        <v>0.6700140651574913</v>
      </c>
      <c r="H1406" t="n">
        <v>0.0072190166326718</v>
      </c>
      <c r="I1406" t="n">
        <v>0.8976200144753358</v>
      </c>
      <c r="J1406" t="n">
        <v>0.0142510104500428</v>
      </c>
      <c r="K1406" t="n">
        <v>0.6958174905763932</v>
      </c>
      <c r="L1406" t="b">
        <v>0</v>
      </c>
      <c r="M1406" t="b">
        <v>0</v>
      </c>
      <c r="N1406" t="inlineStr">
        <is>
          <t>ref</t>
        </is>
      </c>
      <c r="O1406" t="n">
        <v>-100</v>
      </c>
      <c r="P1406" t="n">
        <v>0.006233</v>
      </c>
      <c r="Q1406" t="n">
        <v>35</v>
      </c>
      <c r="R1406" t="n">
        <v>0.06024</v>
      </c>
      <c r="S1406">
        <f>IMAGE("https://mitra.stanford.edu/kundaje/oak/projects/neuro-variants/variant_position/credible/roussos_2024/variant_figures/roussos_2024.childhood.GABA/rs11645219_count_position.png",4,220,900)</f>
        <v/>
      </c>
      <c r="T1406">
        <f>IMAGE("https://mitra.stanford.edu/kundaje/oak/projects/neuro-variants/variant_position/credible/roussos_2024/variant_figures/roussos_2024.childhood.GABA/rs11645219_profile_position.png",4,220,900)</f>
        <v/>
      </c>
    </row>
    <row r="1407">
      <c r="A1407" t="inlineStr">
        <is>
          <t>chr16</t>
        </is>
      </c>
      <c r="B1407" t="n">
        <v>9820157</v>
      </c>
      <c r="C1407" t="inlineStr">
        <is>
          <t>A</t>
        </is>
      </c>
      <c r="D1407" t="inlineStr">
        <is>
          <t>G</t>
        </is>
      </c>
      <c r="E1407" t="inlineStr">
        <is>
          <t>rs1420042</t>
        </is>
      </c>
      <c r="F1407" t="n">
        <v>0.0070646430999999</v>
      </c>
      <c r="G1407" t="n">
        <v>0.6926527418561133</v>
      </c>
      <c r="H1407" t="n">
        <v>0.0232238532765151</v>
      </c>
      <c r="I1407" t="n">
        <v>0.0408090864507554</v>
      </c>
      <c r="J1407" t="n">
        <v>0.0966859332788841</v>
      </c>
      <c r="K1407" t="n">
        <v>0.3641273775012557</v>
      </c>
      <c r="L1407" t="b">
        <v>0</v>
      </c>
      <c r="M1407" t="b">
        <v>0</v>
      </c>
      <c r="N1407" t="inlineStr">
        <is>
          <t>alt</t>
        </is>
      </c>
      <c r="O1407" t="n">
        <v>-100</v>
      </c>
      <c r="P1407" t="n">
        <v>0.09859999999999999</v>
      </c>
      <c r="Q1407" t="n">
        <v>5</v>
      </c>
      <c r="R1407" t="n">
        <v>0.006027</v>
      </c>
      <c r="S1407">
        <f>IMAGE("https://mitra.stanford.edu/kundaje/oak/projects/neuro-variants/variant_position/credible/roussos_2024/variant_figures/roussos_2024.childhood.GABA/rs1420042_count_position.png",4,220,900)</f>
        <v/>
      </c>
      <c r="T1407">
        <f>IMAGE("https://mitra.stanford.edu/kundaje/oak/projects/neuro-variants/variant_position/credible/roussos_2024/variant_figures/roussos_2024.childhood.GABA/rs1420042_profile_position.png",4,220,900)</f>
        <v/>
      </c>
    </row>
    <row r="1408">
      <c r="A1408" t="inlineStr">
        <is>
          <t>chr16</t>
        </is>
      </c>
      <c r="B1408" t="n">
        <v>9820544</v>
      </c>
      <c r="C1408" t="inlineStr">
        <is>
          <t>C</t>
        </is>
      </c>
      <c r="D1408" t="inlineStr">
        <is>
          <t>G</t>
        </is>
      </c>
      <c r="E1408" t="inlineStr">
        <is>
          <t>rs7196708</t>
        </is>
      </c>
      <c r="F1408" t="n">
        <v>0.0212116982</v>
      </c>
      <c r="G1408" t="n">
        <v>0.3876054949302323</v>
      </c>
      <c r="H1408" t="n">
        <v>0.0113614647513229</v>
      </c>
      <c r="I1408" t="n">
        <v>0.4780244542219749</v>
      </c>
      <c r="J1408" t="n">
        <v>0.2487728005696215</v>
      </c>
      <c r="K1408" t="n">
        <v>0.1716402554867976</v>
      </c>
      <c r="L1408" t="b">
        <v>0</v>
      </c>
      <c r="M1408" t="b">
        <v>0</v>
      </c>
      <c r="N1408" t="inlineStr">
        <is>
          <t>alt</t>
        </is>
      </c>
      <c r="O1408" t="n">
        <v>90</v>
      </c>
      <c r="P1408" t="n">
        <v>0.003784</v>
      </c>
      <c r="Q1408" t="n">
        <v>10</v>
      </c>
      <c r="R1408" t="n">
        <v>0.0354</v>
      </c>
      <c r="S1408">
        <f>IMAGE("https://mitra.stanford.edu/kundaje/oak/projects/neuro-variants/variant_position/credible/roussos_2024/variant_figures/roussos_2024.childhood.GABA/rs7196708_count_position.png",4,220,900)</f>
        <v/>
      </c>
      <c r="T1408">
        <f>IMAGE("https://mitra.stanford.edu/kundaje/oak/projects/neuro-variants/variant_position/credible/roussos_2024/variant_figures/roussos_2024.childhood.GABA/rs7196708_profile_position.png",4,220,900)</f>
        <v/>
      </c>
    </row>
    <row r="1409">
      <c r="A1409" t="inlineStr">
        <is>
          <t>chr16</t>
        </is>
      </c>
      <c r="B1409" t="n">
        <v>9821156</v>
      </c>
      <c r="C1409" t="inlineStr">
        <is>
          <t>A</t>
        </is>
      </c>
      <c r="D1409" t="inlineStr">
        <is>
          <t>G</t>
        </is>
      </c>
      <c r="E1409" t="inlineStr">
        <is>
          <t>rs6497523</t>
        </is>
      </c>
      <c r="F1409" t="n">
        <v>0.09926518300000001</v>
      </c>
      <c r="G1409" t="n">
        <v>0.0287002262651314</v>
      </c>
      <c r="H1409" t="n">
        <v>0.0135100805246971</v>
      </c>
      <c r="I1409" t="n">
        <v>0.3197917858761276</v>
      </c>
      <c r="J1409" t="n">
        <v>0.2430357479424514</v>
      </c>
      <c r="K1409" t="n">
        <v>0.1766981303167212</v>
      </c>
      <c r="L1409" t="b">
        <v>0</v>
      </c>
      <c r="M1409" t="b">
        <v>0</v>
      </c>
      <c r="N1409" t="inlineStr">
        <is>
          <t>alt</t>
        </is>
      </c>
      <c r="O1409" t="n">
        <v>5</v>
      </c>
      <c r="P1409" t="n">
        <v>0.0001221</v>
      </c>
      <c r="Q1409" t="n">
        <v>-90</v>
      </c>
      <c r="R1409" t="n">
        <v>0.12256</v>
      </c>
      <c r="S1409">
        <f>IMAGE("https://mitra.stanford.edu/kundaje/oak/projects/neuro-variants/variant_position/credible/roussos_2024/variant_figures/roussos_2024.childhood.GABA/rs6497523_count_position.png",4,220,900)</f>
        <v/>
      </c>
      <c r="T1409">
        <f>IMAGE("https://mitra.stanford.edu/kundaje/oak/projects/neuro-variants/variant_position/credible/roussos_2024/variant_figures/roussos_2024.childhood.GABA/rs6497523_profile_position.png",4,220,900)</f>
        <v/>
      </c>
    </row>
    <row r="1410">
      <c r="A1410" t="inlineStr">
        <is>
          <t>chr16</t>
        </is>
      </c>
      <c r="B1410" t="n">
        <v>9846107</v>
      </c>
      <c r="C1410" t="inlineStr">
        <is>
          <t>C</t>
        </is>
      </c>
      <c r="D1410" t="inlineStr">
        <is>
          <t>T</t>
        </is>
      </c>
      <c r="E1410" t="inlineStr">
        <is>
          <t>rs35440248</t>
        </is>
      </c>
      <c r="F1410" t="n">
        <v>0.2188336848</v>
      </c>
      <c r="G1410" t="n">
        <v>0.0039193958749236</v>
      </c>
      <c r="H1410" t="n">
        <v>0.052617088494864</v>
      </c>
      <c r="I1410" t="n">
        <v>0.001633013521143</v>
      </c>
      <c r="J1410" t="n">
        <v>0.1245586479864295</v>
      </c>
      <c r="K1410" t="n">
        <v>0.3130034892095278</v>
      </c>
      <c r="L1410" t="b">
        <v>1</v>
      </c>
      <c r="M1410" t="b">
        <v>1</v>
      </c>
      <c r="N1410" t="inlineStr">
        <is>
          <t>alt</t>
        </is>
      </c>
      <c r="O1410" t="n">
        <v>-65</v>
      </c>
      <c r="P1410" t="n">
        <v>0.006287</v>
      </c>
      <c r="Q1410" t="n">
        <v>-65</v>
      </c>
      <c r="R1410" t="n">
        <v>0.07006999999999999</v>
      </c>
      <c r="S1410">
        <f>IMAGE("https://mitra.stanford.edu/kundaje/oak/projects/neuro-variants/variant_position/credible/roussos_2024/variant_figures/roussos_2024.childhood.GABA/rs35440248_count_position.png",4,220,900)</f>
        <v/>
      </c>
      <c r="T1410">
        <f>IMAGE("https://mitra.stanford.edu/kundaje/oak/projects/neuro-variants/variant_position/credible/roussos_2024/variant_figures/roussos_2024.childhood.GABA/rs35440248_profile_position.png",4,220,900)</f>
        <v/>
      </c>
    </row>
    <row r="1411">
      <c r="A1411" t="inlineStr">
        <is>
          <t>chr16</t>
        </is>
      </c>
      <c r="B1411" t="n">
        <v>9849250</v>
      </c>
      <c r="C1411" t="inlineStr">
        <is>
          <t>G</t>
        </is>
      </c>
      <c r="D1411" t="inlineStr">
        <is>
          <t>A</t>
        </is>
      </c>
      <c r="E1411" t="inlineStr">
        <is>
          <t>rs8047364</t>
        </is>
      </c>
      <c r="F1411" t="n">
        <v>0.0079998857599999</v>
      </c>
      <c r="G1411" t="n">
        <v>0.6643010704532611</v>
      </c>
      <c r="H1411" t="n">
        <v>0.0297616452053793</v>
      </c>
      <c r="I1411" t="n">
        <v>0.0135384145605492</v>
      </c>
      <c r="J1411" t="n">
        <v>0.0054093107997737</v>
      </c>
      <c r="K1411" t="n">
        <v>0.8226987827400689</v>
      </c>
      <c r="L1411" t="b">
        <v>0</v>
      </c>
      <c r="M1411" t="b">
        <v>0</v>
      </c>
      <c r="N1411" t="inlineStr">
        <is>
          <t>alt</t>
        </is>
      </c>
      <c r="O1411" t="n">
        <v>60</v>
      </c>
      <c r="P1411" t="n">
        <v>0.005432</v>
      </c>
      <c r="Q1411" t="n">
        <v>-100</v>
      </c>
      <c r="R1411" t="n">
        <v>0.03918</v>
      </c>
      <c r="S1411">
        <f>IMAGE("https://mitra.stanford.edu/kundaje/oak/projects/neuro-variants/variant_position/credible/roussos_2024/variant_figures/roussos_2024.childhood.GABA/rs8047364_count_position.png",4,220,900)</f>
        <v/>
      </c>
      <c r="T1411">
        <f>IMAGE("https://mitra.stanford.edu/kundaje/oak/projects/neuro-variants/variant_position/credible/roussos_2024/variant_figures/roussos_2024.childhood.GABA/rs8047364_profile_position.png",4,220,900)</f>
        <v/>
      </c>
    </row>
    <row r="1412">
      <c r="A1412" t="inlineStr">
        <is>
          <t>chr16</t>
        </is>
      </c>
      <c r="B1412" t="n">
        <v>9854777</v>
      </c>
      <c r="C1412" t="inlineStr">
        <is>
          <t>G</t>
        </is>
      </c>
      <c r="D1412" t="inlineStr">
        <is>
          <t>A</t>
        </is>
      </c>
      <c r="E1412" t="inlineStr">
        <is>
          <t>rs9933832</t>
        </is>
      </c>
      <c r="F1412" t="n">
        <v>-0.08203744960000001</v>
      </c>
      <c r="G1412" t="n">
        <v>0.0497896525070179</v>
      </c>
      <c r="H1412" t="n">
        <v>0.0122133971862397</v>
      </c>
      <c r="I1412" t="n">
        <v>0.4190016555437098</v>
      </c>
      <c r="J1412" t="n">
        <v>0.2967477120897991</v>
      </c>
      <c r="K1412" t="n">
        <v>0.1357591480295932</v>
      </c>
      <c r="L1412" t="b">
        <v>0</v>
      </c>
      <c r="M1412" t="b">
        <v>0</v>
      </c>
      <c r="N1412" t="inlineStr">
        <is>
          <t>ref</t>
        </is>
      </c>
      <c r="O1412" t="n">
        <v>20</v>
      </c>
      <c r="P1412" t="n">
        <v>0.00772</v>
      </c>
      <c r="Q1412" t="n">
        <v>15</v>
      </c>
      <c r="R1412" t="n">
        <v>0.0654</v>
      </c>
      <c r="S1412">
        <f>IMAGE("https://mitra.stanford.edu/kundaje/oak/projects/neuro-variants/variant_position/credible/roussos_2024/variant_figures/roussos_2024.childhood.GABA/rs9933832_count_position.png",4,220,900)</f>
        <v/>
      </c>
      <c r="T1412">
        <f>IMAGE("https://mitra.stanford.edu/kundaje/oak/projects/neuro-variants/variant_position/credible/roussos_2024/variant_figures/roussos_2024.childhood.GABA/rs9933832_profile_position.png",4,220,900)</f>
        <v/>
      </c>
    </row>
    <row r="1413">
      <c r="A1413" t="inlineStr">
        <is>
          <t>chr16</t>
        </is>
      </c>
      <c r="B1413" t="n">
        <v>9861707</v>
      </c>
      <c r="C1413" t="inlineStr">
        <is>
          <t>C</t>
        </is>
      </c>
      <c r="D1413" t="inlineStr">
        <is>
          <t>T</t>
        </is>
      </c>
      <c r="E1413" t="inlineStr">
        <is>
          <t>rs727605</t>
        </is>
      </c>
      <c r="F1413" t="n">
        <v>-0.0724582679999999</v>
      </c>
      <c r="G1413" t="n">
        <v>0.0664784991343698</v>
      </c>
      <c r="H1413" t="n">
        <v>0.0140292038940033</v>
      </c>
      <c r="I1413" t="n">
        <v>0.2818466469173439</v>
      </c>
      <c r="J1413" t="n">
        <v>0.2102238696571799</v>
      </c>
      <c r="K1413" t="n">
        <v>0.2026384020420689</v>
      </c>
      <c r="L1413" t="b">
        <v>0</v>
      </c>
      <c r="M1413" t="b">
        <v>0</v>
      </c>
      <c r="N1413" t="inlineStr">
        <is>
          <t>ref</t>
        </is>
      </c>
      <c r="O1413" t="n">
        <v>-10</v>
      </c>
      <c r="P1413" t="n">
        <v>0.000778</v>
      </c>
      <c r="Q1413" t="n">
        <v>100</v>
      </c>
      <c r="R1413" t="n">
        <v>0.09845</v>
      </c>
      <c r="S1413">
        <f>IMAGE("https://mitra.stanford.edu/kundaje/oak/projects/neuro-variants/variant_position/credible/roussos_2024/variant_figures/roussos_2024.childhood.GABA/rs727605_count_position.png",4,220,900)</f>
        <v/>
      </c>
      <c r="T1413">
        <f>IMAGE("https://mitra.stanford.edu/kundaje/oak/projects/neuro-variants/variant_position/credible/roussos_2024/variant_figures/roussos_2024.childhood.GABA/rs727605_profile_position.png",4,220,900)</f>
        <v/>
      </c>
    </row>
    <row r="1414">
      <c r="A1414" t="inlineStr">
        <is>
          <t>chr16</t>
        </is>
      </c>
      <c r="B1414" t="n">
        <v>9864252</v>
      </c>
      <c r="C1414" t="inlineStr">
        <is>
          <t>T</t>
        </is>
      </c>
      <c r="D1414" t="inlineStr">
        <is>
          <t>C</t>
        </is>
      </c>
      <c r="E1414" t="inlineStr">
        <is>
          <t>rs9939815</t>
        </is>
      </c>
      <c r="F1414" t="n">
        <v>-0.0127852421</v>
      </c>
      <c r="G1414" t="n">
        <v>0.5730169244227825</v>
      </c>
      <c r="H1414" t="n">
        <v>0.0212266272478663</v>
      </c>
      <c r="I1414" t="n">
        <v>0.0587166935883612</v>
      </c>
      <c r="J1414" t="n">
        <v>0.0153148625159682</v>
      </c>
      <c r="K1414" t="n">
        <v>0.692198345652437</v>
      </c>
      <c r="L1414" t="b">
        <v>0</v>
      </c>
      <c r="M1414" t="b">
        <v>0</v>
      </c>
      <c r="N1414" t="inlineStr">
        <is>
          <t>ref</t>
        </is>
      </c>
      <c r="O1414" t="n">
        <v>70</v>
      </c>
      <c r="P1414" t="n">
        <v>0.003521</v>
      </c>
      <c r="Q1414" t="n">
        <v>65</v>
      </c>
      <c r="R1414" t="n">
        <v>0.00804</v>
      </c>
      <c r="S1414">
        <f>IMAGE("https://mitra.stanford.edu/kundaje/oak/projects/neuro-variants/variant_position/credible/roussos_2024/variant_figures/roussos_2024.childhood.GABA/rs9939815_count_position.png",4,220,900)</f>
        <v/>
      </c>
      <c r="T1414">
        <f>IMAGE("https://mitra.stanford.edu/kundaje/oak/projects/neuro-variants/variant_position/credible/roussos_2024/variant_figures/roussos_2024.childhood.GABA/rs9939815_profile_position.png",4,220,900)</f>
        <v/>
      </c>
    </row>
    <row r="1415">
      <c r="A1415" t="inlineStr">
        <is>
          <t>chr16</t>
        </is>
      </c>
      <c r="B1415" t="n">
        <v>9864255</v>
      </c>
      <c r="C1415" t="inlineStr">
        <is>
          <t>T</t>
        </is>
      </c>
      <c r="D1415" t="inlineStr">
        <is>
          <t>G</t>
        </is>
      </c>
      <c r="E1415" t="inlineStr">
        <is>
          <t>rs9939817</t>
        </is>
      </c>
      <c r="F1415" t="n">
        <v>-0.0356672694</v>
      </c>
      <c r="G1415" t="n">
        <v>0.2481564092693783</v>
      </c>
      <c r="H1415" t="n">
        <v>0.0322563698496286</v>
      </c>
      <c r="I1415" t="n">
        <v>0.0091229361515672</v>
      </c>
      <c r="J1415" t="n">
        <v>0.0152447069171325</v>
      </c>
      <c r="K1415" t="n">
        <v>0.692777922336455</v>
      </c>
      <c r="L1415" t="b">
        <v>1</v>
      </c>
      <c r="M1415" t="b">
        <v>0</v>
      </c>
      <c r="N1415" t="inlineStr">
        <is>
          <t>ref</t>
        </is>
      </c>
      <c r="O1415" t="n">
        <v>60</v>
      </c>
      <c r="P1415" t="n">
        <v>0.00795</v>
      </c>
      <c r="Q1415" t="n">
        <v>10</v>
      </c>
      <c r="R1415" t="n">
        <v>0.004517</v>
      </c>
      <c r="S1415">
        <f>IMAGE("https://mitra.stanford.edu/kundaje/oak/projects/neuro-variants/variant_position/credible/roussos_2024/variant_figures/roussos_2024.childhood.GABA/rs9939817_count_position.png",4,220,900)</f>
        <v/>
      </c>
      <c r="T1415">
        <f>IMAGE("https://mitra.stanford.edu/kundaje/oak/projects/neuro-variants/variant_position/credible/roussos_2024/variant_figures/roussos_2024.childhood.GABA/rs9939817_profile_position.png",4,220,900)</f>
        <v/>
      </c>
    </row>
    <row r="1416">
      <c r="A1416" t="inlineStr">
        <is>
          <t>chr16</t>
        </is>
      </c>
      <c r="B1416" t="n">
        <v>9864332</v>
      </c>
      <c r="C1416" t="inlineStr">
        <is>
          <t>A</t>
        </is>
      </c>
      <c r="D1416" t="inlineStr">
        <is>
          <t>G</t>
        </is>
      </c>
      <c r="E1416" t="inlineStr">
        <is>
          <t>rs7196023</t>
        </is>
      </c>
      <c r="F1416" t="n">
        <v>0.0143606119</v>
      </c>
      <c r="G1416" t="n">
        <v>0.4901880880437576</v>
      </c>
      <c r="H1416" t="n">
        <v>0.0132421165701496</v>
      </c>
      <c r="I1416" t="n">
        <v>0.3381285730338615</v>
      </c>
      <c r="J1416" t="n">
        <v>0.0168698037737429</v>
      </c>
      <c r="K1416" t="n">
        <v>0.678611246908169</v>
      </c>
      <c r="L1416" t="b">
        <v>0</v>
      </c>
      <c r="M1416" t="b">
        <v>0</v>
      </c>
      <c r="N1416" t="inlineStr">
        <is>
          <t>alt</t>
        </is>
      </c>
      <c r="O1416" t="n">
        <v>-10</v>
      </c>
      <c r="P1416" t="n">
        <v>0.000801</v>
      </c>
      <c r="Q1416" t="n">
        <v>-75</v>
      </c>
      <c r="R1416" t="n">
        <v>0.06183</v>
      </c>
      <c r="S1416">
        <f>IMAGE("https://mitra.stanford.edu/kundaje/oak/projects/neuro-variants/variant_position/credible/roussos_2024/variant_figures/roussos_2024.childhood.GABA/rs7196023_count_position.png",4,220,900)</f>
        <v/>
      </c>
      <c r="T1416">
        <f>IMAGE("https://mitra.stanford.edu/kundaje/oak/projects/neuro-variants/variant_position/credible/roussos_2024/variant_figures/roussos_2024.childhood.GABA/rs7196023_profile_position.png",4,220,900)</f>
        <v/>
      </c>
    </row>
    <row r="1417">
      <c r="A1417" t="inlineStr">
        <is>
          <t>chr16</t>
        </is>
      </c>
      <c r="B1417" t="n">
        <v>9865264</v>
      </c>
      <c r="C1417" t="inlineStr">
        <is>
          <t>G</t>
        </is>
      </c>
      <c r="D1417" t="inlineStr">
        <is>
          <t>A</t>
        </is>
      </c>
      <c r="E1417" t="inlineStr">
        <is>
          <t>rs16966529</t>
        </is>
      </c>
      <c r="F1417" t="n">
        <v>0.0647443006</v>
      </c>
      <c r="G1417" t="n">
        <v>0.0881841716220734</v>
      </c>
      <c r="H1417" t="n">
        <v>0.0163507461633064</v>
      </c>
      <c r="I1417" t="n">
        <v>0.1712962020524183</v>
      </c>
      <c r="J1417" t="n">
        <v>0.1891740487110217</v>
      </c>
      <c r="K1417" t="n">
        <v>0.2237594934242487</v>
      </c>
      <c r="L1417" t="b">
        <v>0</v>
      </c>
      <c r="M1417" t="b">
        <v>0</v>
      </c>
      <c r="N1417" t="inlineStr">
        <is>
          <t>alt</t>
        </is>
      </c>
      <c r="O1417" t="n">
        <v>10</v>
      </c>
      <c r="P1417" t="n">
        <v>0.002132</v>
      </c>
      <c r="Q1417" t="n">
        <v>90</v>
      </c>
      <c r="R1417" t="n">
        <v>0.1637</v>
      </c>
      <c r="S1417">
        <f>IMAGE("https://mitra.stanford.edu/kundaje/oak/projects/neuro-variants/variant_position/credible/roussos_2024/variant_figures/roussos_2024.childhood.GABA/rs16966529_count_position.png",4,220,900)</f>
        <v/>
      </c>
      <c r="T1417">
        <f>IMAGE("https://mitra.stanford.edu/kundaje/oak/projects/neuro-variants/variant_position/credible/roussos_2024/variant_figures/roussos_2024.childhood.GABA/rs16966529_profile_position.png",4,220,900)</f>
        <v/>
      </c>
    </row>
    <row r="1418">
      <c r="A1418" t="inlineStr">
        <is>
          <t>chr16</t>
        </is>
      </c>
      <c r="B1418" t="n">
        <v>10036400</v>
      </c>
      <c r="C1418" t="inlineStr">
        <is>
          <t>T</t>
        </is>
      </c>
      <c r="D1418" t="inlineStr">
        <is>
          <t>C</t>
        </is>
      </c>
      <c r="E1418" t="inlineStr">
        <is>
          <t>rs76655943</t>
        </is>
      </c>
      <c r="F1418" t="n">
        <v>0.086687206</v>
      </c>
      <c r="G1418" t="n">
        <v>0.0401854328628365</v>
      </c>
      <c r="H1418" t="n">
        <v>0.0129619862861885</v>
      </c>
      <c r="I1418" t="n">
        <v>0.35489813924346</v>
      </c>
      <c r="J1418" t="n">
        <v>0.07566543109044831</v>
      </c>
      <c r="K1418" t="n">
        <v>0.4263589483211448</v>
      </c>
      <c r="L1418" t="b">
        <v>0</v>
      </c>
      <c r="M1418" t="b">
        <v>0</v>
      </c>
      <c r="N1418" t="inlineStr">
        <is>
          <t>alt</t>
        </is>
      </c>
      <c r="O1418" t="n">
        <v>100</v>
      </c>
      <c r="P1418" t="n">
        <v>0.015015</v>
      </c>
      <c r="Q1418" t="n">
        <v>95</v>
      </c>
      <c r="R1418" t="n">
        <v>0.10925</v>
      </c>
      <c r="S1418">
        <f>IMAGE("https://mitra.stanford.edu/kundaje/oak/projects/neuro-variants/variant_position/credible/roussos_2024/variant_figures/roussos_2024.childhood.GABA/rs76655943_count_position.png",4,220,900)</f>
        <v/>
      </c>
      <c r="T1418">
        <f>IMAGE("https://mitra.stanford.edu/kundaje/oak/projects/neuro-variants/variant_position/credible/roussos_2024/variant_figures/roussos_2024.childhood.GABA/rs76655943_profile_position.png",4,220,900)</f>
        <v/>
      </c>
    </row>
    <row r="1419">
      <c r="A1419" t="inlineStr">
        <is>
          <t>chr16</t>
        </is>
      </c>
      <c r="B1419" t="n">
        <v>10038863</v>
      </c>
      <c r="C1419" t="inlineStr">
        <is>
          <t>A</t>
        </is>
      </c>
      <c r="D1419" t="inlineStr">
        <is>
          <t>C</t>
        </is>
      </c>
      <c r="E1419" t="inlineStr">
        <is>
          <t>rs28610230</t>
        </is>
      </c>
      <c r="F1419" t="n">
        <v>-0.0010597799269999</v>
      </c>
      <c r="G1419" t="n">
        <v>0.7042172612608739</v>
      </c>
      <c r="H1419" t="n">
        <v>0.0280894773703494</v>
      </c>
      <c r="I1419" t="n">
        <v>0.0168866451182541</v>
      </c>
      <c r="J1419" t="n">
        <v>0.451109924399489</v>
      </c>
      <c r="K1419" t="n">
        <v>0.0657433533237598</v>
      </c>
      <c r="L1419" t="b">
        <v>1</v>
      </c>
      <c r="M1419" t="b">
        <v>0</v>
      </c>
      <c r="N1419" t="inlineStr">
        <is>
          <t>ref</t>
        </is>
      </c>
      <c r="O1419" t="n">
        <v>-100</v>
      </c>
      <c r="P1419" t="n">
        <v>0.005615</v>
      </c>
      <c r="Q1419" t="n">
        <v>30</v>
      </c>
      <c r="R1419" t="n">
        <v>0.06104</v>
      </c>
      <c r="S1419">
        <f>IMAGE("https://mitra.stanford.edu/kundaje/oak/projects/neuro-variants/variant_position/credible/roussos_2024/variant_figures/roussos_2024.childhood.GABA/rs28610230_count_position.png",4,220,900)</f>
        <v/>
      </c>
      <c r="T1419">
        <f>IMAGE("https://mitra.stanford.edu/kundaje/oak/projects/neuro-variants/variant_position/credible/roussos_2024/variant_figures/roussos_2024.childhood.GABA/rs28610230_profile_position.png",4,220,900)</f>
        <v/>
      </c>
    </row>
    <row r="1420">
      <c r="A1420" t="inlineStr">
        <is>
          <t>chr16</t>
        </is>
      </c>
      <c r="B1420" t="n">
        <v>13643666</v>
      </c>
      <c r="C1420" t="inlineStr">
        <is>
          <t>A</t>
        </is>
      </c>
      <c r="D1420" t="inlineStr">
        <is>
          <t>G</t>
        </is>
      </c>
      <c r="E1420" t="inlineStr">
        <is>
          <t>rs55761603</t>
        </is>
      </c>
      <c r="F1420" t="n">
        <v>0.0841962528</v>
      </c>
      <c r="G1420" t="n">
        <v>0.0563260163492711</v>
      </c>
      <c r="H1420" t="n">
        <v>0.0258002566835476</v>
      </c>
      <c r="I1420" t="n">
        <v>0.0284630426400005</v>
      </c>
      <c r="J1420" t="n">
        <v>0.1600846055579987</v>
      </c>
      <c r="K1420" t="n">
        <v>0.2607794450509504</v>
      </c>
      <c r="L1420" t="b">
        <v>0</v>
      </c>
      <c r="M1420" t="b">
        <v>0</v>
      </c>
      <c r="N1420" t="inlineStr">
        <is>
          <t>alt</t>
        </is>
      </c>
      <c r="O1420" t="n">
        <v>-10</v>
      </c>
      <c r="P1420" t="n">
        <v>0.0002289</v>
      </c>
      <c r="Q1420" t="n">
        <v>-25</v>
      </c>
      <c r="R1420" t="n">
        <v>0.01782</v>
      </c>
      <c r="S1420">
        <f>IMAGE("https://mitra.stanford.edu/kundaje/oak/projects/neuro-variants/variant_position/credible/roussos_2024/variant_figures/roussos_2024.childhood.GABA/rs55761603_count_position.png",4,220,900)</f>
        <v/>
      </c>
      <c r="T1420">
        <f>IMAGE("https://mitra.stanford.edu/kundaje/oak/projects/neuro-variants/variant_position/credible/roussos_2024/variant_figures/roussos_2024.childhood.GABA/rs55761603_profile_position.png",4,220,900)</f>
        <v/>
      </c>
    </row>
    <row r="1421">
      <c r="A1421" t="inlineStr">
        <is>
          <t>chr16</t>
        </is>
      </c>
      <c r="B1421" t="n">
        <v>24118368</v>
      </c>
      <c r="C1421" t="inlineStr">
        <is>
          <t>T</t>
        </is>
      </c>
      <c r="D1421" t="inlineStr">
        <is>
          <t>C</t>
        </is>
      </c>
      <c r="E1421" t="inlineStr">
        <is>
          <t>rs9926924</t>
        </is>
      </c>
      <c r="F1421" t="n">
        <v>0.0491001913</v>
      </c>
      <c r="G1421" t="n">
        <v>0.1360343038592618</v>
      </c>
      <c r="H1421" t="n">
        <v>0.0148790340256913</v>
      </c>
      <c r="I1421" t="n">
        <v>0.2309748816163476</v>
      </c>
      <c r="J1421" t="n">
        <v>0.2993214801784256</v>
      </c>
      <c r="K1421" t="n">
        <v>0.1373198874790277</v>
      </c>
      <c r="L1421" t="b">
        <v>0</v>
      </c>
      <c r="M1421" t="b">
        <v>0</v>
      </c>
      <c r="N1421" t="inlineStr">
        <is>
          <t>alt</t>
        </is>
      </c>
      <c r="O1421" t="n">
        <v>100</v>
      </c>
      <c r="P1421" t="n">
        <v>0.003433</v>
      </c>
      <c r="Q1421" t="n">
        <v>100</v>
      </c>
      <c r="R1421" t="n">
        <v>0.1233</v>
      </c>
      <c r="S1421">
        <f>IMAGE("https://mitra.stanford.edu/kundaje/oak/projects/neuro-variants/variant_position/credible/roussos_2024/variant_figures/roussos_2024.childhood.GABA/rs9926924_count_position.png",4,220,900)</f>
        <v/>
      </c>
      <c r="T1421">
        <f>IMAGE("https://mitra.stanford.edu/kundaje/oak/projects/neuro-variants/variant_position/credible/roussos_2024/variant_figures/roussos_2024.childhood.GABA/rs9926924_profile_position.png",4,220,900)</f>
        <v/>
      </c>
    </row>
    <row r="1422">
      <c r="A1422" t="inlineStr">
        <is>
          <t>chr16</t>
        </is>
      </c>
      <c r="B1422" t="n">
        <v>24120003</v>
      </c>
      <c r="C1422" t="inlineStr">
        <is>
          <t>T</t>
        </is>
      </c>
      <c r="D1422" t="inlineStr">
        <is>
          <t>G</t>
        </is>
      </c>
      <c r="E1422" t="inlineStr">
        <is>
          <t>rs2283541</t>
        </is>
      </c>
      <c r="F1422" t="n">
        <v>-0.1225156307999999</v>
      </c>
      <c r="G1422" t="n">
        <v>0.0216718332491453</v>
      </c>
      <c r="H1422" t="n">
        <v>0.0302331536764501</v>
      </c>
      <c r="I1422" t="n">
        <v>0.0131547159848824</v>
      </c>
      <c r="J1422" t="n">
        <v>0.2067307490942597</v>
      </c>
      <c r="K1422" t="n">
        <v>0.2119694313692246</v>
      </c>
      <c r="L1422" t="b">
        <v>1</v>
      </c>
      <c r="M1422" t="b">
        <v>0</v>
      </c>
      <c r="N1422" t="inlineStr">
        <is>
          <t>ref</t>
        </is>
      </c>
      <c r="O1422" t="n">
        <v>5</v>
      </c>
      <c r="P1422" t="n">
        <v>0.0001068</v>
      </c>
      <c r="Q1422" t="n">
        <v>75</v>
      </c>
      <c r="R1422" t="n">
        <v>0.02881</v>
      </c>
      <c r="S1422">
        <f>IMAGE("https://mitra.stanford.edu/kundaje/oak/projects/neuro-variants/variant_position/credible/roussos_2024/variant_figures/roussos_2024.childhood.GABA/rs2283541_count_position.png",4,220,900)</f>
        <v/>
      </c>
      <c r="T1422">
        <f>IMAGE("https://mitra.stanford.edu/kundaje/oak/projects/neuro-variants/variant_position/credible/roussos_2024/variant_figures/roussos_2024.childhood.GABA/rs2283541_profile_position.png",4,220,900)</f>
        <v/>
      </c>
    </row>
    <row r="1423">
      <c r="A1423" t="inlineStr">
        <is>
          <t>chr16</t>
        </is>
      </c>
      <c r="B1423" t="n">
        <v>24469698</v>
      </c>
      <c r="C1423" t="inlineStr">
        <is>
          <t>A</t>
        </is>
      </c>
      <c r="D1423" t="inlineStr">
        <is>
          <t>G</t>
        </is>
      </c>
      <c r="E1423" t="inlineStr">
        <is>
          <t>rs11640574</t>
        </is>
      </c>
      <c r="F1423" t="n">
        <v>-0.0185525252</v>
      </c>
      <c r="G1423" t="n">
        <v>0.4627245914602994</v>
      </c>
      <c r="H1423" t="n">
        <v>0.0406736159658781</v>
      </c>
      <c r="I1423" t="n">
        <v>0.0035526006709597</v>
      </c>
      <c r="J1423" t="n">
        <v>0.019565035287219</v>
      </c>
      <c r="K1423" t="n">
        <v>0.6529036733369754</v>
      </c>
      <c r="L1423" t="b">
        <v>1</v>
      </c>
      <c r="M1423" t="b">
        <v>0</v>
      </c>
      <c r="N1423" t="inlineStr">
        <is>
          <t>ref</t>
        </is>
      </c>
      <c r="O1423" t="n">
        <v>-80</v>
      </c>
      <c r="P1423" t="n">
        <v>0.002563</v>
      </c>
      <c r="Q1423" t="n">
        <v>-65</v>
      </c>
      <c r="R1423" t="n">
        <v>0.02792</v>
      </c>
      <c r="S1423">
        <f>IMAGE("https://mitra.stanford.edu/kundaje/oak/projects/neuro-variants/variant_position/credible/roussos_2024/variant_figures/roussos_2024.childhood.GABA/rs11640574_count_position.png",4,220,900)</f>
        <v/>
      </c>
      <c r="T1423">
        <f>IMAGE("https://mitra.stanford.edu/kundaje/oak/projects/neuro-variants/variant_position/credible/roussos_2024/variant_figures/roussos_2024.childhood.GABA/rs11640574_profile_position.png",4,220,900)</f>
        <v/>
      </c>
    </row>
    <row r="1424">
      <c r="A1424" t="inlineStr">
        <is>
          <t>chr16</t>
        </is>
      </c>
      <c r="B1424" t="n">
        <v>29959513</v>
      </c>
      <c r="C1424" t="inlineStr">
        <is>
          <t>G</t>
        </is>
      </c>
      <c r="D1424" t="inlineStr">
        <is>
          <t>A</t>
        </is>
      </c>
      <c r="E1424" t="inlineStr">
        <is>
          <t>rs4788197</t>
        </is>
      </c>
      <c r="F1424" t="n">
        <v>-0.1043826472</v>
      </c>
      <c r="G1424" t="n">
        <v>0.0293499277758231</v>
      </c>
      <c r="H1424" t="n">
        <v>0.0169591703848379</v>
      </c>
      <c r="I1424" t="n">
        <v>0.1539904355461363</v>
      </c>
      <c r="J1424" t="n">
        <v>0.3690435802391573</v>
      </c>
      <c r="K1424" t="n">
        <v>0.09971518581721869</v>
      </c>
      <c r="L1424" t="b">
        <v>0</v>
      </c>
      <c r="M1424" t="b">
        <v>0</v>
      </c>
      <c r="N1424" t="inlineStr">
        <is>
          <t>ref</t>
        </is>
      </c>
      <c r="O1424" t="n">
        <v>-15</v>
      </c>
      <c r="P1424" t="n">
        <v>0.01512</v>
      </c>
      <c r="Q1424" t="n">
        <v>-20</v>
      </c>
      <c r="R1424" t="n">
        <v>0.283</v>
      </c>
      <c r="S1424">
        <f>IMAGE("https://mitra.stanford.edu/kundaje/oak/projects/neuro-variants/variant_position/credible/roussos_2024/variant_figures/roussos_2024.childhood.GABA/rs4788197_count_position.png",4,220,900)</f>
        <v/>
      </c>
      <c r="T1424">
        <f>IMAGE("https://mitra.stanford.edu/kundaje/oak/projects/neuro-variants/variant_position/credible/roussos_2024/variant_figures/roussos_2024.childhood.GABA/rs4788197_profile_position.png",4,220,900)</f>
        <v/>
      </c>
    </row>
    <row r="1425">
      <c r="A1425" t="inlineStr">
        <is>
          <t>chr16</t>
        </is>
      </c>
      <c r="B1425" t="n">
        <v>29959944</v>
      </c>
      <c r="C1425" t="inlineStr">
        <is>
          <t>G</t>
        </is>
      </c>
      <c r="D1425" t="inlineStr">
        <is>
          <t>T</t>
        </is>
      </c>
      <c r="E1425" t="inlineStr">
        <is>
          <t>rs4788200</t>
        </is>
      </c>
      <c r="F1425" t="n">
        <v>0.0683051648</v>
      </c>
      <c r="G1425" t="n">
        <v>0.0704155302411863</v>
      </c>
      <c r="H1425" t="n">
        <v>0.0178272907154438</v>
      </c>
      <c r="I1425" t="n">
        <v>0.1179881478055209</v>
      </c>
      <c r="J1425" t="n">
        <v>0.1885196121547192</v>
      </c>
      <c r="K1425" t="n">
        <v>0.2312547240746076</v>
      </c>
      <c r="L1425" t="b">
        <v>0</v>
      </c>
      <c r="M1425" t="b">
        <v>0</v>
      </c>
      <c r="N1425" t="inlineStr">
        <is>
          <t>alt</t>
        </is>
      </c>
      <c r="O1425" t="n">
        <v>-100</v>
      </c>
      <c r="P1425" t="n">
        <v>0.01889</v>
      </c>
      <c r="Q1425" t="n">
        <v>-10</v>
      </c>
      <c r="R1425" t="n">
        <v>0.02698</v>
      </c>
      <c r="S1425">
        <f>IMAGE("https://mitra.stanford.edu/kundaje/oak/projects/neuro-variants/variant_position/credible/roussos_2024/variant_figures/roussos_2024.childhood.GABA/rs4788200_count_position.png",4,220,900)</f>
        <v/>
      </c>
      <c r="T1425">
        <f>IMAGE("https://mitra.stanford.edu/kundaje/oak/projects/neuro-variants/variant_position/credible/roussos_2024/variant_figures/roussos_2024.childhood.GABA/rs4788200_profile_position.png",4,220,900)</f>
        <v/>
      </c>
    </row>
    <row r="1426">
      <c r="A1426" t="inlineStr">
        <is>
          <t>chr16</t>
        </is>
      </c>
      <c r="B1426" t="n">
        <v>29971245</v>
      </c>
      <c r="C1426" t="inlineStr">
        <is>
          <t>C</t>
        </is>
      </c>
      <c r="D1426" t="inlineStr">
        <is>
          <t>T</t>
        </is>
      </c>
      <c r="E1426" t="inlineStr">
        <is>
          <t>rs12934406</t>
        </is>
      </c>
      <c r="F1426" t="n">
        <v>0.0060434929</v>
      </c>
      <c r="G1426" t="n">
        <v>0.7378484237506137</v>
      </c>
      <c r="H1426" t="n">
        <v>0.0167294271401768</v>
      </c>
      <c r="I1426" t="n">
        <v>0.1543480320717281</v>
      </c>
      <c r="J1426" t="n">
        <v>0.1441362484555296</v>
      </c>
      <c r="K1426" t="n">
        <v>0.3000550207133098</v>
      </c>
      <c r="L1426" t="b">
        <v>0</v>
      </c>
      <c r="M1426" t="b">
        <v>0</v>
      </c>
      <c r="N1426" t="inlineStr">
        <is>
          <t>alt</t>
        </is>
      </c>
      <c r="O1426" t="n">
        <v>-55</v>
      </c>
      <c r="P1426" t="n">
        <v>0.015564</v>
      </c>
      <c r="Q1426" t="n">
        <v>60</v>
      </c>
      <c r="R1426" t="n">
        <v>0.12024</v>
      </c>
      <c r="S1426">
        <f>IMAGE("https://mitra.stanford.edu/kundaje/oak/projects/neuro-variants/variant_position/credible/roussos_2024/variant_figures/roussos_2024.childhood.GABA/rs12934406_count_position.png",4,220,900)</f>
        <v/>
      </c>
      <c r="T1426">
        <f>IMAGE("https://mitra.stanford.edu/kundaje/oak/projects/neuro-variants/variant_position/credible/roussos_2024/variant_figures/roussos_2024.childhood.GABA/rs12934406_profile_position.png",4,220,900)</f>
        <v/>
      </c>
    </row>
    <row r="1427">
      <c r="A1427" t="inlineStr">
        <is>
          <t>chr16</t>
        </is>
      </c>
      <c r="B1427" t="n">
        <v>29971798</v>
      </c>
      <c r="C1427" t="inlineStr">
        <is>
          <t>G</t>
        </is>
      </c>
      <c r="D1427" t="inlineStr">
        <is>
          <t>T</t>
        </is>
      </c>
      <c r="E1427" t="inlineStr">
        <is>
          <t>rs9932196</t>
        </is>
      </c>
      <c r="F1427" t="n">
        <v>0.00417247216</v>
      </c>
      <c r="G1427" t="n">
        <v>0.7570831385748438</v>
      </c>
      <c r="H1427" t="n">
        <v>0.0291920310088549</v>
      </c>
      <c r="I1427" t="n">
        <v>0.0148132858281938</v>
      </c>
      <c r="J1427" t="n">
        <v>0.0931530229733408</v>
      </c>
      <c r="K1427" t="n">
        <v>0.3751995397973325</v>
      </c>
      <c r="L1427" t="b">
        <v>1</v>
      </c>
      <c r="M1427" t="b">
        <v>0</v>
      </c>
      <c r="N1427" t="inlineStr">
        <is>
          <t>alt</t>
        </is>
      </c>
      <c r="O1427" t="n">
        <v>0</v>
      </c>
      <c r="P1427" t="n">
        <v>0</v>
      </c>
      <c r="Q1427" t="n">
        <v>-100</v>
      </c>
      <c r="R1427" t="n">
        <v>0.1385</v>
      </c>
      <c r="S1427">
        <f>IMAGE("https://mitra.stanford.edu/kundaje/oak/projects/neuro-variants/variant_position/credible/roussos_2024/variant_figures/roussos_2024.childhood.GABA/rs9932196_count_position.png",4,220,900)</f>
        <v/>
      </c>
      <c r="T1427">
        <f>IMAGE("https://mitra.stanford.edu/kundaje/oak/projects/neuro-variants/variant_position/credible/roussos_2024/variant_figures/roussos_2024.childhood.GABA/rs9932196_profile_position.png",4,220,900)</f>
        <v/>
      </c>
    </row>
    <row r="1428">
      <c r="A1428" t="inlineStr">
        <is>
          <t>chr16</t>
        </is>
      </c>
      <c r="B1428" t="n">
        <v>29981787</v>
      </c>
      <c r="C1428" t="inlineStr">
        <is>
          <t>C</t>
        </is>
      </c>
      <c r="D1428" t="inlineStr">
        <is>
          <t>G</t>
        </is>
      </c>
      <c r="E1428" t="inlineStr">
        <is>
          <t>rs11642046</t>
        </is>
      </c>
      <c r="F1428" t="n">
        <v>-0.065877571</v>
      </c>
      <c r="G1428" t="n">
        <v>0.0949798188161288</v>
      </c>
      <c r="H1428" t="n">
        <v>0.0150434715262118</v>
      </c>
      <c r="I1428" t="n">
        <v>0.2256546672436947</v>
      </c>
      <c r="J1428" t="n">
        <v>0.1398745576008878</v>
      </c>
      <c r="K1428" t="n">
        <v>0.3011095052243404</v>
      </c>
      <c r="L1428" t="b">
        <v>0</v>
      </c>
      <c r="M1428" t="b">
        <v>0</v>
      </c>
      <c r="N1428" t="inlineStr">
        <is>
          <t>ref</t>
        </is>
      </c>
      <c r="O1428" t="n">
        <v>-20</v>
      </c>
      <c r="P1428" t="n">
        <v>0.0006638</v>
      </c>
      <c r="Q1428" t="n">
        <v>-35</v>
      </c>
      <c r="R1428" t="n">
        <v>0.001709</v>
      </c>
      <c r="S1428">
        <f>IMAGE("https://mitra.stanford.edu/kundaje/oak/projects/neuro-variants/variant_position/credible/roussos_2024/variant_figures/roussos_2024.childhood.GABA/rs11642046_count_position.png",4,220,900)</f>
        <v/>
      </c>
      <c r="T1428">
        <f>IMAGE("https://mitra.stanford.edu/kundaje/oak/projects/neuro-variants/variant_position/credible/roussos_2024/variant_figures/roussos_2024.childhood.GABA/rs11642046_profile_position.png",4,220,900)</f>
        <v/>
      </c>
    </row>
    <row r="1429">
      <c r="A1429" t="inlineStr">
        <is>
          <t>chr16</t>
        </is>
      </c>
      <c r="B1429" t="n">
        <v>29983415</v>
      </c>
      <c r="C1429" t="inlineStr">
        <is>
          <t>T</t>
        </is>
      </c>
      <c r="D1429" t="inlineStr">
        <is>
          <t>A</t>
        </is>
      </c>
      <c r="E1429" t="inlineStr">
        <is>
          <t>rs3814884</t>
        </is>
      </c>
      <c r="F1429" t="n">
        <v>-0.0236979115954</v>
      </c>
      <c r="G1429" t="n">
        <v>0.3817385593020375</v>
      </c>
      <c r="H1429" t="n">
        <v>0.0101360223787122</v>
      </c>
      <c r="I1429" t="n">
        <v>0.6199519888564076</v>
      </c>
      <c r="J1429" t="n">
        <v>0.5875541873468618</v>
      </c>
      <c r="K1429" t="n">
        <v>0.0308739340720156</v>
      </c>
      <c r="L1429" t="b">
        <v>0</v>
      </c>
      <c r="M1429" t="b">
        <v>0</v>
      </c>
      <c r="N1429" t="inlineStr">
        <is>
          <t>ref</t>
        </is>
      </c>
      <c r="O1429" t="n">
        <v>100</v>
      </c>
      <c r="P1429" t="n">
        <v>0.010086</v>
      </c>
      <c r="Q1429" t="n">
        <v>100</v>
      </c>
      <c r="R1429" t="n">
        <v>0.1938</v>
      </c>
      <c r="S1429">
        <f>IMAGE("https://mitra.stanford.edu/kundaje/oak/projects/neuro-variants/variant_position/credible/roussos_2024/variant_figures/roussos_2024.childhood.GABA/rs3814884_count_position.png",4,220,900)</f>
        <v/>
      </c>
      <c r="T1429">
        <f>IMAGE("https://mitra.stanford.edu/kundaje/oak/projects/neuro-variants/variant_position/credible/roussos_2024/variant_figures/roussos_2024.childhood.GABA/rs3814884_profile_position.png",4,220,900)</f>
        <v/>
      </c>
    </row>
    <row r="1430">
      <c r="A1430" t="inlineStr">
        <is>
          <t>chr16</t>
        </is>
      </c>
      <c r="B1430" t="n">
        <v>29983601</v>
      </c>
      <c r="C1430" t="inlineStr">
        <is>
          <t>C</t>
        </is>
      </c>
      <c r="D1430" t="inlineStr">
        <is>
          <t>T</t>
        </is>
      </c>
      <c r="E1430" t="inlineStr">
        <is>
          <t>rs3814883</t>
        </is>
      </c>
      <c r="F1430" t="n">
        <v>-0.132128702</v>
      </c>
      <c r="G1430" t="n">
        <v>0.0143640316639684</v>
      </c>
      <c r="H1430" t="n">
        <v>0.0194940358142934</v>
      </c>
      <c r="I1430" t="n">
        <v>0.08642647976095789</v>
      </c>
      <c r="J1430" t="n">
        <v>0.5733869447760257</v>
      </c>
      <c r="K1430" t="n">
        <v>0.0337912407354899</v>
      </c>
      <c r="L1430" t="b">
        <v>1</v>
      </c>
      <c r="M1430" t="b">
        <v>0</v>
      </c>
      <c r="N1430" t="inlineStr">
        <is>
          <t>ref</t>
        </is>
      </c>
      <c r="O1430" t="n">
        <v>-5</v>
      </c>
      <c r="P1430" t="n">
        <v>3.05e-05</v>
      </c>
      <c r="Q1430" t="n">
        <v>5</v>
      </c>
      <c r="R1430" t="n">
        <v>0.003906</v>
      </c>
      <c r="S1430">
        <f>IMAGE("https://mitra.stanford.edu/kundaje/oak/projects/neuro-variants/variant_position/credible/roussos_2024/variant_figures/roussos_2024.childhood.GABA/rs3814883_count_position.png",4,220,900)</f>
        <v/>
      </c>
      <c r="T1430">
        <f>IMAGE("https://mitra.stanford.edu/kundaje/oak/projects/neuro-variants/variant_position/credible/roussos_2024/variant_figures/roussos_2024.childhood.GABA/rs3814883_profile_position.png",4,220,900)</f>
        <v/>
      </c>
    </row>
    <row r="1431">
      <c r="A1431" t="inlineStr">
        <is>
          <t>chr16</t>
        </is>
      </c>
      <c r="B1431" t="n">
        <v>29984559</v>
      </c>
      <c r="C1431" t="inlineStr">
        <is>
          <t>G</t>
        </is>
      </c>
      <c r="D1431" t="inlineStr">
        <is>
          <t>A</t>
        </is>
      </c>
      <c r="E1431" t="inlineStr">
        <is>
          <t>rs4787489</t>
        </is>
      </c>
      <c r="F1431" t="n">
        <v>-0.0723621604</v>
      </c>
      <c r="G1431" t="n">
        <v>0.077996342927476</v>
      </c>
      <c r="H1431" t="n">
        <v>0.0160969465500626</v>
      </c>
      <c r="I1431" t="n">
        <v>0.1779978239555421</v>
      </c>
      <c r="J1431" t="n">
        <v>0.2256884672572302</v>
      </c>
      <c r="K1431" t="n">
        <v>0.1953963799744294</v>
      </c>
      <c r="L1431" t="b">
        <v>0</v>
      </c>
      <c r="M1431" t="b">
        <v>0</v>
      </c>
      <c r="N1431" t="inlineStr">
        <is>
          <t>ref</t>
        </is>
      </c>
      <c r="O1431" t="n">
        <v>-100</v>
      </c>
      <c r="P1431" t="n">
        <v>0.0196</v>
      </c>
      <c r="Q1431" t="n">
        <v>-75</v>
      </c>
      <c r="R1431" t="n">
        <v>0.06122</v>
      </c>
      <c r="S1431">
        <f>IMAGE("https://mitra.stanford.edu/kundaje/oak/projects/neuro-variants/variant_position/credible/roussos_2024/variant_figures/roussos_2024.childhood.GABA/rs4787489_count_position.png",4,220,900)</f>
        <v/>
      </c>
      <c r="T1431">
        <f>IMAGE("https://mitra.stanford.edu/kundaje/oak/projects/neuro-variants/variant_position/credible/roussos_2024/variant_figures/roussos_2024.childhood.GABA/rs4787489_profile_position.png",4,220,900)</f>
        <v/>
      </c>
    </row>
    <row r="1432">
      <c r="A1432" t="inlineStr">
        <is>
          <t>chr16</t>
        </is>
      </c>
      <c r="B1432" t="n">
        <v>29991755</v>
      </c>
      <c r="C1432" t="inlineStr">
        <is>
          <t>G</t>
        </is>
      </c>
      <c r="D1432" t="inlineStr">
        <is>
          <t>A</t>
        </is>
      </c>
      <c r="E1432" t="inlineStr">
        <is>
          <t>rs9924686</t>
        </is>
      </c>
      <c r="F1432" t="n">
        <v>0.0259510776</v>
      </c>
      <c r="G1432" t="n">
        <v>0.3250900819684194</v>
      </c>
      <c r="H1432" t="n">
        <v>0.0107548677067188</v>
      </c>
      <c r="I1432" t="n">
        <v>0.557779611077223</v>
      </c>
      <c r="J1432" t="n">
        <v>0.5941854620845637</v>
      </c>
      <c r="K1432" t="n">
        <v>0.0303885010356378</v>
      </c>
      <c r="L1432" t="b">
        <v>0</v>
      </c>
      <c r="M1432" t="b">
        <v>0</v>
      </c>
      <c r="N1432" t="inlineStr">
        <is>
          <t>alt</t>
        </is>
      </c>
      <c r="O1432" t="n">
        <v>80</v>
      </c>
      <c r="P1432" t="n">
        <v>0.00332</v>
      </c>
      <c r="Q1432" t="n">
        <v>-45</v>
      </c>
      <c r="R1432" t="n">
        <v>0.03964</v>
      </c>
      <c r="S1432">
        <f>IMAGE("https://mitra.stanford.edu/kundaje/oak/projects/neuro-variants/variant_position/credible/roussos_2024/variant_figures/roussos_2024.childhood.GABA/rs9924686_count_position.png",4,220,900)</f>
        <v/>
      </c>
      <c r="T1432">
        <f>IMAGE("https://mitra.stanford.edu/kundaje/oak/projects/neuro-variants/variant_position/credible/roussos_2024/variant_figures/roussos_2024.childhood.GABA/rs9924686_profile_position.png",4,220,900)</f>
        <v/>
      </c>
    </row>
    <row r="1433">
      <c r="A1433" t="inlineStr">
        <is>
          <t>chr16</t>
        </is>
      </c>
      <c r="B1433" t="n">
        <v>57107341</v>
      </c>
      <c r="C1433" t="inlineStr">
        <is>
          <t>G</t>
        </is>
      </c>
      <c r="D1433" t="inlineStr">
        <is>
          <t>A</t>
        </is>
      </c>
      <c r="E1433" t="inlineStr">
        <is>
          <t>rs72777107</t>
        </is>
      </c>
      <c r="F1433" t="n">
        <v>0.0102823809999999</v>
      </c>
      <c r="G1433" t="n">
        <v>0.4556714665420789</v>
      </c>
      <c r="H1433" t="n">
        <v>0.0140223888813836</v>
      </c>
      <c r="I1433" t="n">
        <v>0.2833849676424471</v>
      </c>
      <c r="J1433" t="n">
        <v>0.3989675608887772</v>
      </c>
      <c r="K1433" t="n">
        <v>0.08619876935810129</v>
      </c>
      <c r="L1433" t="b">
        <v>0</v>
      </c>
      <c r="M1433" t="b">
        <v>0</v>
      </c>
      <c r="N1433" t="inlineStr">
        <is>
          <t>alt</t>
        </is>
      </c>
      <c r="O1433" t="n">
        <v>-35</v>
      </c>
      <c r="P1433" t="n">
        <v>0.006012</v>
      </c>
      <c r="Q1433" t="n">
        <v>-35</v>
      </c>
      <c r="R1433" t="n">
        <v>0.05725</v>
      </c>
      <c r="S1433">
        <f>IMAGE("https://mitra.stanford.edu/kundaje/oak/projects/neuro-variants/variant_position/credible/roussos_2024/variant_figures/roussos_2024.childhood.GABA/rs72777107_count_position.png",4,220,900)</f>
        <v/>
      </c>
      <c r="T1433">
        <f>IMAGE("https://mitra.stanford.edu/kundaje/oak/projects/neuro-variants/variant_position/credible/roussos_2024/variant_figures/roussos_2024.childhood.GABA/rs72777107_profile_position.png",4,220,900)</f>
        <v/>
      </c>
    </row>
    <row r="1434">
      <c r="A1434" t="inlineStr">
        <is>
          <t>chr16</t>
        </is>
      </c>
      <c r="B1434" t="n">
        <v>58504758</v>
      </c>
      <c r="C1434" t="inlineStr">
        <is>
          <t>C</t>
        </is>
      </c>
      <c r="D1434" t="inlineStr">
        <is>
          <t>T</t>
        </is>
      </c>
      <c r="E1434" t="inlineStr">
        <is>
          <t>rs9928398</t>
        </is>
      </c>
      <c r="F1434" t="n">
        <v>-0.043131088</v>
      </c>
      <c r="G1434" t="n">
        <v>0.1889922438950043</v>
      </c>
      <c r="H1434" t="n">
        <v>0.009220472664413301</v>
      </c>
      <c r="I1434" t="n">
        <v>0.7294407161843426</v>
      </c>
      <c r="J1434" t="n">
        <v>0.139826391070344</v>
      </c>
      <c r="K1434" t="n">
        <v>0.3011932622636053</v>
      </c>
      <c r="L1434" t="b">
        <v>0</v>
      </c>
      <c r="M1434" t="b">
        <v>0</v>
      </c>
      <c r="N1434" t="inlineStr">
        <is>
          <t>ref</t>
        </is>
      </c>
      <c r="O1434" t="n">
        <v>0</v>
      </c>
      <c r="P1434" t="n">
        <v>0</v>
      </c>
      <c r="Q1434" t="n">
        <v>-100</v>
      </c>
      <c r="R1434" t="n">
        <v>0.121</v>
      </c>
      <c r="S1434">
        <f>IMAGE("https://mitra.stanford.edu/kundaje/oak/projects/neuro-variants/variant_position/credible/roussos_2024/variant_figures/roussos_2024.childhood.GABA/rs9928398_count_position.png",4,220,900)</f>
        <v/>
      </c>
      <c r="T1434">
        <f>IMAGE("https://mitra.stanford.edu/kundaje/oak/projects/neuro-variants/variant_position/credible/roussos_2024/variant_figures/roussos_2024.childhood.GABA/rs9928398_profile_position.png",4,220,900)</f>
        <v/>
      </c>
    </row>
    <row r="1435">
      <c r="A1435" t="inlineStr">
        <is>
          <t>chr16</t>
        </is>
      </c>
      <c r="B1435" t="n">
        <v>58505278</v>
      </c>
      <c r="C1435" t="inlineStr">
        <is>
          <t>G</t>
        </is>
      </c>
      <c r="D1435" t="inlineStr">
        <is>
          <t>A</t>
        </is>
      </c>
      <c r="E1435" t="inlineStr">
        <is>
          <t>rs8056038</t>
        </is>
      </c>
      <c r="F1435" t="n">
        <v>-0.02714322586</v>
      </c>
      <c r="G1435" t="n">
        <v>0.3205099572686757</v>
      </c>
      <c r="H1435" t="n">
        <v>0.0106122972046022</v>
      </c>
      <c r="I1435" t="n">
        <v>0.5758697208789335</v>
      </c>
      <c r="J1435" t="n">
        <v>0.0565872966011182</v>
      </c>
      <c r="K1435" t="n">
        <v>0.4797161883764457</v>
      </c>
      <c r="L1435" t="b">
        <v>0</v>
      </c>
      <c r="M1435" t="b">
        <v>0</v>
      </c>
      <c r="N1435" t="inlineStr">
        <is>
          <t>ref</t>
        </is>
      </c>
      <c r="O1435" t="n">
        <v>80</v>
      </c>
      <c r="P1435" t="n">
        <v>0.04382</v>
      </c>
      <c r="Q1435" t="n">
        <v>55</v>
      </c>
      <c r="R1435" t="n">
        <v>0.03882</v>
      </c>
      <c r="S1435">
        <f>IMAGE("https://mitra.stanford.edu/kundaje/oak/projects/neuro-variants/variant_position/credible/roussos_2024/variant_figures/roussos_2024.childhood.GABA/rs8056038_count_position.png",4,220,900)</f>
        <v/>
      </c>
      <c r="T1435">
        <f>IMAGE("https://mitra.stanford.edu/kundaje/oak/projects/neuro-variants/variant_position/credible/roussos_2024/variant_figures/roussos_2024.childhood.GABA/rs8056038_profile_position.png",4,220,900)</f>
        <v/>
      </c>
    </row>
    <row r="1436">
      <c r="A1436" t="inlineStr">
        <is>
          <t>chr16</t>
        </is>
      </c>
      <c r="B1436" t="n">
        <v>58505281</v>
      </c>
      <c r="C1436" t="inlineStr">
        <is>
          <t>G</t>
        </is>
      </c>
      <c r="D1436" t="inlineStr">
        <is>
          <t>A</t>
        </is>
      </c>
      <c r="E1436" t="inlineStr">
        <is>
          <t>rs8056039</t>
        </is>
      </c>
      <c r="F1436" t="n">
        <v>-0.06895305439999989</v>
      </c>
      <c r="G1436" t="n">
        <v>0.0714238439694465</v>
      </c>
      <c r="H1436" t="n">
        <v>0.0122386208223898</v>
      </c>
      <c r="I1436" t="n">
        <v>0.4194985379927624</v>
      </c>
      <c r="J1436" t="n">
        <v>0.0567747272308432</v>
      </c>
      <c r="K1436" t="n">
        <v>0.4791515884003912</v>
      </c>
      <c r="L1436" t="b">
        <v>0</v>
      </c>
      <c r="M1436" t="b">
        <v>0</v>
      </c>
      <c r="N1436" t="inlineStr">
        <is>
          <t>ref</t>
        </is>
      </c>
      <c r="O1436" t="n">
        <v>75</v>
      </c>
      <c r="P1436" t="n">
        <v>0.0428</v>
      </c>
      <c r="Q1436" t="n">
        <v>55</v>
      </c>
      <c r="R1436" t="n">
        <v>0.03336</v>
      </c>
      <c r="S1436">
        <f>IMAGE("https://mitra.stanford.edu/kundaje/oak/projects/neuro-variants/variant_position/credible/roussos_2024/variant_figures/roussos_2024.childhood.GABA/rs8056039_count_position.png",4,220,900)</f>
        <v/>
      </c>
      <c r="T1436">
        <f>IMAGE("https://mitra.stanford.edu/kundaje/oak/projects/neuro-variants/variant_position/credible/roussos_2024/variant_figures/roussos_2024.childhood.GABA/rs8056039_profile_position.png",4,220,900)</f>
        <v/>
      </c>
    </row>
    <row r="1437">
      <c r="A1437" t="inlineStr">
        <is>
          <t>chr16</t>
        </is>
      </c>
      <c r="B1437" t="n">
        <v>58519260</v>
      </c>
      <c r="C1437" t="inlineStr">
        <is>
          <t>A</t>
        </is>
      </c>
      <c r="D1437" t="inlineStr">
        <is>
          <t>C</t>
        </is>
      </c>
      <c r="E1437" t="inlineStr">
        <is>
          <t>rs37035</t>
        </is>
      </c>
      <c r="F1437" t="n">
        <v>0.1007323396</v>
      </c>
      <c r="G1437" t="n">
        <v>0.0295641809273424</v>
      </c>
      <c r="H1437" t="n">
        <v>0.0148703217344003</v>
      </c>
      <c r="I1437" t="n">
        <v>0.2323658207717596</v>
      </c>
      <c r="J1437" t="n">
        <v>0.0387363615421666</v>
      </c>
      <c r="K1437" t="n">
        <v>0.5471514172782176</v>
      </c>
      <c r="L1437" t="b">
        <v>0</v>
      </c>
      <c r="M1437" t="b">
        <v>0</v>
      </c>
      <c r="N1437" t="inlineStr">
        <is>
          <t>alt</t>
        </is>
      </c>
      <c r="O1437" t="n">
        <v>-95</v>
      </c>
      <c r="P1437" t="n">
        <v>0.01791</v>
      </c>
      <c r="Q1437" t="n">
        <v>65</v>
      </c>
      <c r="R1437" t="n">
        <v>0.06006</v>
      </c>
      <c r="S1437">
        <f>IMAGE("https://mitra.stanford.edu/kundaje/oak/projects/neuro-variants/variant_position/credible/roussos_2024/variant_figures/roussos_2024.childhood.GABA/rs37035_count_position.png",4,220,900)</f>
        <v/>
      </c>
      <c r="T1437">
        <f>IMAGE("https://mitra.stanford.edu/kundaje/oak/projects/neuro-variants/variant_position/credible/roussos_2024/variant_figures/roussos_2024.childhood.GABA/rs37035_profile_position.png",4,220,900)</f>
        <v/>
      </c>
    </row>
    <row r="1438">
      <c r="A1438" t="inlineStr">
        <is>
          <t>chr16</t>
        </is>
      </c>
      <c r="B1438" t="n">
        <v>58530960</v>
      </c>
      <c r="C1438" t="inlineStr">
        <is>
          <t>C</t>
        </is>
      </c>
      <c r="D1438" t="inlineStr">
        <is>
          <t>T</t>
        </is>
      </c>
      <c r="E1438" t="inlineStr">
        <is>
          <t>rs37059</t>
        </is>
      </c>
      <c r="F1438" t="n">
        <v>-0.0689240428</v>
      </c>
      <c r="G1438" t="n">
        <v>0.07596695723282521</v>
      </c>
      <c r="H1438" t="n">
        <v>0.0148371892897837</v>
      </c>
      <c r="I1438" t="n">
        <v>0.2349478706327533</v>
      </c>
      <c r="J1438" t="n">
        <v>0.0378965885531192</v>
      </c>
      <c r="K1438" t="n">
        <v>0.5423157267405353</v>
      </c>
      <c r="L1438" t="b">
        <v>0</v>
      </c>
      <c r="M1438" t="b">
        <v>0</v>
      </c>
      <c r="N1438" t="inlineStr">
        <is>
          <t>ref</t>
        </is>
      </c>
      <c r="O1438" t="n">
        <v>-55</v>
      </c>
      <c r="P1438" t="n">
        <v>0.06604</v>
      </c>
      <c r="Q1438" t="n">
        <v>45</v>
      </c>
      <c r="R1438" t="n">
        <v>0.11597</v>
      </c>
      <c r="S1438">
        <f>IMAGE("https://mitra.stanford.edu/kundaje/oak/projects/neuro-variants/variant_position/credible/roussos_2024/variant_figures/roussos_2024.childhood.GABA/rs37059_count_position.png",4,220,900)</f>
        <v/>
      </c>
      <c r="T1438">
        <f>IMAGE("https://mitra.stanford.edu/kundaje/oak/projects/neuro-variants/variant_position/credible/roussos_2024/variant_figures/roussos_2024.childhood.GABA/rs37059_profile_position.png",4,220,900)</f>
        <v/>
      </c>
    </row>
    <row r="1439">
      <c r="A1439" t="inlineStr">
        <is>
          <t>chr16</t>
        </is>
      </c>
      <c r="B1439" t="n">
        <v>58559618</v>
      </c>
      <c r="C1439" t="inlineStr">
        <is>
          <t>C</t>
        </is>
      </c>
      <c r="D1439" t="inlineStr">
        <is>
          <t>T</t>
        </is>
      </c>
      <c r="E1439" t="inlineStr">
        <is>
          <t>rs7201946</t>
        </is>
      </c>
      <c r="F1439" t="n">
        <v>0.0424869826</v>
      </c>
      <c r="G1439" t="n">
        <v>0.196359219093784</v>
      </c>
      <c r="H1439" t="n">
        <v>0.0195747607062358</v>
      </c>
      <c r="I1439" t="n">
        <v>0.0850880838955924</v>
      </c>
      <c r="J1439" t="n">
        <v>0.0340055705639672</v>
      </c>
      <c r="K1439" t="n">
        <v>0.5571049187127595</v>
      </c>
      <c r="L1439" t="b">
        <v>0</v>
      </c>
      <c r="M1439" t="b">
        <v>0</v>
      </c>
      <c r="N1439" t="inlineStr">
        <is>
          <t>alt</t>
        </is>
      </c>
      <c r="O1439" t="n">
        <v>-95</v>
      </c>
      <c r="P1439" t="n">
        <v>0.02695</v>
      </c>
      <c r="Q1439" t="n">
        <v>95</v>
      </c>
      <c r="R1439" t="n">
        <v>0.0641</v>
      </c>
      <c r="S1439">
        <f>IMAGE("https://mitra.stanford.edu/kundaje/oak/projects/neuro-variants/variant_position/credible/roussos_2024/variant_figures/roussos_2024.childhood.GABA/rs7201946_count_position.png",4,220,900)</f>
        <v/>
      </c>
      <c r="T1439">
        <f>IMAGE("https://mitra.stanford.edu/kundaje/oak/projects/neuro-variants/variant_position/credible/roussos_2024/variant_figures/roussos_2024.childhood.GABA/rs7201946_profile_position.png",4,220,900)</f>
        <v/>
      </c>
    </row>
    <row r="1440">
      <c r="A1440" t="inlineStr">
        <is>
          <t>chr16</t>
        </is>
      </c>
      <c r="B1440" t="n">
        <v>58572603</v>
      </c>
      <c r="C1440" t="inlineStr">
        <is>
          <t>A</t>
        </is>
      </c>
      <c r="D1440" t="inlineStr">
        <is>
          <t>C</t>
        </is>
      </c>
      <c r="E1440" t="inlineStr">
        <is>
          <t>rs7206744</t>
        </is>
      </c>
      <c r="F1440" t="n">
        <v>-0.0056707832</v>
      </c>
      <c r="G1440" t="n">
        <v>0.7757774587487317</v>
      </c>
      <c r="H1440" t="n">
        <v>0.0074147389161631</v>
      </c>
      <c r="I1440" t="n">
        <v>0.917591346140589</v>
      </c>
      <c r="J1440" t="n">
        <v>0.0052585286172017</v>
      </c>
      <c r="K1440" t="n">
        <v>0.8114912414888743</v>
      </c>
      <c r="L1440" t="b">
        <v>0</v>
      </c>
      <c r="M1440" t="b">
        <v>0</v>
      </c>
      <c r="N1440" t="inlineStr">
        <is>
          <t>ref</t>
        </is>
      </c>
      <c r="O1440" t="n">
        <v>-80</v>
      </c>
      <c r="P1440" t="n">
        <v>0.007755</v>
      </c>
      <c r="Q1440" t="n">
        <v>-100</v>
      </c>
      <c r="R1440" t="n">
        <v>0.06665</v>
      </c>
      <c r="S1440">
        <f>IMAGE("https://mitra.stanford.edu/kundaje/oak/projects/neuro-variants/variant_position/credible/roussos_2024/variant_figures/roussos_2024.childhood.GABA/rs7206744_count_position.png",4,220,900)</f>
        <v/>
      </c>
      <c r="T1440">
        <f>IMAGE("https://mitra.stanford.edu/kundaje/oak/projects/neuro-variants/variant_position/credible/roussos_2024/variant_figures/roussos_2024.childhood.GABA/rs7206744_profile_position.png",4,220,900)</f>
        <v/>
      </c>
    </row>
    <row r="1441">
      <c r="A1441" t="inlineStr">
        <is>
          <t>chr16</t>
        </is>
      </c>
      <c r="B1441" t="n">
        <v>58576353</v>
      </c>
      <c r="C1441" t="inlineStr">
        <is>
          <t>C</t>
        </is>
      </c>
      <c r="D1441" t="inlineStr">
        <is>
          <t>T</t>
        </is>
      </c>
      <c r="E1441" t="inlineStr">
        <is>
          <t>rs9936144</t>
        </is>
      </c>
      <c r="F1441" t="n">
        <v>-0.1029003088</v>
      </c>
      <c r="G1441" t="n">
        <v>0.028455400755398</v>
      </c>
      <c r="H1441" t="n">
        <v>0.0194230267168294</v>
      </c>
      <c r="I1441" t="n">
        <v>0.0871333059183232</v>
      </c>
      <c r="J1441" t="n">
        <v>0.0432839102846013</v>
      </c>
      <c r="K1441" t="n">
        <v>0.5484182979348374</v>
      </c>
      <c r="L1441" t="b">
        <v>0</v>
      </c>
      <c r="M1441" t="b">
        <v>0</v>
      </c>
      <c r="N1441" t="inlineStr">
        <is>
          <t>ref</t>
        </is>
      </c>
      <c r="O1441" t="n">
        <v>-100</v>
      </c>
      <c r="P1441" t="n">
        <v>0.01881</v>
      </c>
      <c r="Q1441" t="n">
        <v>-35</v>
      </c>
      <c r="R1441" t="n">
        <v>0.06232</v>
      </c>
      <c r="S1441">
        <f>IMAGE("https://mitra.stanford.edu/kundaje/oak/projects/neuro-variants/variant_position/credible/roussos_2024/variant_figures/roussos_2024.childhood.GABA/rs9936144_count_position.png",4,220,900)</f>
        <v/>
      </c>
      <c r="T1441">
        <f>IMAGE("https://mitra.stanford.edu/kundaje/oak/projects/neuro-variants/variant_position/credible/roussos_2024/variant_figures/roussos_2024.childhood.GABA/rs9936144_profile_position.png",4,220,900)</f>
        <v/>
      </c>
    </row>
    <row r="1442">
      <c r="A1442" t="inlineStr">
        <is>
          <t>chr16</t>
        </is>
      </c>
      <c r="B1442" t="n">
        <v>58581678</v>
      </c>
      <c r="C1442" t="inlineStr">
        <is>
          <t>T</t>
        </is>
      </c>
      <c r="D1442" t="inlineStr">
        <is>
          <t>C</t>
        </is>
      </c>
      <c r="E1442" t="inlineStr">
        <is>
          <t>rs116630925</t>
        </is>
      </c>
      <c r="F1442" t="n">
        <v>0.00180337434</v>
      </c>
      <c r="G1442" t="n">
        <v>0.8059249475316065</v>
      </c>
      <c r="H1442" t="n">
        <v>0.0203951630078047</v>
      </c>
      <c r="I1442" t="n">
        <v>0.07165243011514</v>
      </c>
      <c r="J1442" t="n">
        <v>0.004091013800758</v>
      </c>
      <c r="K1442" t="n">
        <v>0.8261545481857487</v>
      </c>
      <c r="L1442" t="b">
        <v>0</v>
      </c>
      <c r="M1442" t="b">
        <v>0</v>
      </c>
      <c r="N1442" t="inlineStr">
        <is>
          <t>alt</t>
        </is>
      </c>
      <c r="O1442" t="n">
        <v>-70</v>
      </c>
      <c r="P1442" t="n">
        <v>0.003937</v>
      </c>
      <c r="Q1442" t="n">
        <v>-35</v>
      </c>
      <c r="R1442" t="n">
        <v>0.03842</v>
      </c>
      <c r="S1442">
        <f>IMAGE("https://mitra.stanford.edu/kundaje/oak/projects/neuro-variants/variant_position/credible/roussos_2024/variant_figures/roussos_2024.childhood.GABA/rs116630925_count_position.png",4,220,900)</f>
        <v/>
      </c>
      <c r="T1442">
        <f>IMAGE("https://mitra.stanford.edu/kundaje/oak/projects/neuro-variants/variant_position/credible/roussos_2024/variant_figures/roussos_2024.childhood.GABA/rs116630925_profile_position.png",4,220,900)</f>
        <v/>
      </c>
    </row>
    <row r="1443">
      <c r="A1443" t="inlineStr">
        <is>
          <t>chr16</t>
        </is>
      </c>
      <c r="B1443" t="n">
        <v>58587091</v>
      </c>
      <c r="C1443" t="inlineStr">
        <is>
          <t>A</t>
        </is>
      </c>
      <c r="D1443" t="inlineStr">
        <is>
          <t>G</t>
        </is>
      </c>
      <c r="E1443" t="inlineStr">
        <is>
          <t>rs12443835</t>
        </is>
      </c>
      <c r="F1443" t="n">
        <v>-0.000814557324</v>
      </c>
      <c r="G1443" t="n">
        <v>0.8471370712409791</v>
      </c>
      <c r="H1443" t="n">
        <v>0.0213996956283468</v>
      </c>
      <c r="I1443" t="n">
        <v>0.0560282643820452</v>
      </c>
      <c r="J1443" t="n">
        <v>0.056347511046889</v>
      </c>
      <c r="K1443" t="n">
        <v>0.4961279403989607</v>
      </c>
      <c r="L1443" t="b">
        <v>0</v>
      </c>
      <c r="M1443" t="b">
        <v>0</v>
      </c>
      <c r="N1443" t="inlineStr">
        <is>
          <t>ref</t>
        </is>
      </c>
      <c r="O1443" t="n">
        <v>15</v>
      </c>
      <c r="P1443" t="n">
        <v>0.0004883</v>
      </c>
      <c r="Q1443" t="n">
        <v>-35</v>
      </c>
      <c r="R1443" t="n">
        <v>0.010925</v>
      </c>
      <c r="S1443">
        <f>IMAGE("https://mitra.stanford.edu/kundaje/oak/projects/neuro-variants/variant_position/credible/roussos_2024/variant_figures/roussos_2024.childhood.GABA/rs12443835_count_position.png",4,220,900)</f>
        <v/>
      </c>
      <c r="T1443">
        <f>IMAGE("https://mitra.stanford.edu/kundaje/oak/projects/neuro-variants/variant_position/credible/roussos_2024/variant_figures/roussos_2024.childhood.GABA/rs12443835_profile_position.png",4,220,900)</f>
        <v/>
      </c>
    </row>
    <row r="1444">
      <c r="A1444" t="inlineStr">
        <is>
          <t>chr16</t>
        </is>
      </c>
      <c r="B1444" t="n">
        <v>58622367</v>
      </c>
      <c r="C1444" t="inlineStr">
        <is>
          <t>G</t>
        </is>
      </c>
      <c r="D1444" t="inlineStr">
        <is>
          <t>A</t>
        </is>
      </c>
      <c r="E1444" t="inlineStr">
        <is>
          <t>rs9925537</t>
        </is>
      </c>
      <c r="F1444" t="n">
        <v>-0.016518109572</v>
      </c>
      <c r="G1444" t="n">
        <v>0.4986379643272642</v>
      </c>
      <c r="H1444" t="n">
        <v>0.0114511146747642</v>
      </c>
      <c r="I1444" t="n">
        <v>0.4808408095281724</v>
      </c>
      <c r="J1444" t="n">
        <v>0.1299449226194215</v>
      </c>
      <c r="K1444" t="n">
        <v>0.314166753963019</v>
      </c>
      <c r="L1444" t="b">
        <v>0</v>
      </c>
      <c r="M1444" t="b">
        <v>0</v>
      </c>
      <c r="N1444" t="inlineStr">
        <is>
          <t>ref</t>
        </is>
      </c>
      <c r="O1444" t="n">
        <v>15</v>
      </c>
      <c r="P1444" t="n">
        <v>0.001133</v>
      </c>
      <c r="Q1444" t="n">
        <v>-100</v>
      </c>
      <c r="R1444" t="n">
        <v>0.05493</v>
      </c>
      <c r="S1444">
        <f>IMAGE("https://mitra.stanford.edu/kundaje/oak/projects/neuro-variants/variant_position/credible/roussos_2024/variant_figures/roussos_2024.childhood.GABA/rs9925537_count_position.png",4,220,900)</f>
        <v/>
      </c>
      <c r="T1444">
        <f>IMAGE("https://mitra.stanford.edu/kundaje/oak/projects/neuro-variants/variant_position/credible/roussos_2024/variant_figures/roussos_2024.childhood.GABA/rs9925537_profile_position.png",4,220,900)</f>
        <v/>
      </c>
    </row>
    <row r="1445">
      <c r="A1445" t="inlineStr">
        <is>
          <t>chr16</t>
        </is>
      </c>
      <c r="B1445" t="n">
        <v>58625904</v>
      </c>
      <c r="C1445" t="inlineStr">
        <is>
          <t>G</t>
        </is>
      </c>
      <c r="D1445" t="inlineStr">
        <is>
          <t>A</t>
        </is>
      </c>
      <c r="E1445" t="inlineStr">
        <is>
          <t>rs154433</t>
        </is>
      </c>
      <c r="F1445" t="n">
        <v>0.092447324</v>
      </c>
      <c r="G1445" t="n">
        <v>0.035921731895708</v>
      </c>
      <c r="H1445" t="n">
        <v>0.0389415668913591</v>
      </c>
      <c r="I1445" t="n">
        <v>0.0044708528517883</v>
      </c>
      <c r="J1445" t="n">
        <v>0.06807396703733939</v>
      </c>
      <c r="K1445" t="n">
        <v>0.4355764737739363</v>
      </c>
      <c r="L1445" t="b">
        <v>1</v>
      </c>
      <c r="M1445" t="b">
        <v>1</v>
      </c>
      <c r="N1445" t="inlineStr">
        <is>
          <t>alt</t>
        </is>
      </c>
      <c r="O1445" t="n">
        <v>-95</v>
      </c>
      <c r="P1445" t="n">
        <v>0.01538</v>
      </c>
      <c r="Q1445" t="n">
        <v>-10</v>
      </c>
      <c r="R1445" t="n">
        <v>0.00537</v>
      </c>
      <c r="S1445">
        <f>IMAGE("https://mitra.stanford.edu/kundaje/oak/projects/neuro-variants/variant_position/credible/roussos_2024/variant_figures/roussos_2024.childhood.GABA/rs154433_count_position.png",4,220,900)</f>
        <v/>
      </c>
      <c r="T1445">
        <f>IMAGE("https://mitra.stanford.edu/kundaje/oak/projects/neuro-variants/variant_position/credible/roussos_2024/variant_figures/roussos_2024.childhood.GABA/rs154433_profile_position.png",4,220,900)</f>
        <v/>
      </c>
    </row>
    <row r="1446">
      <c r="A1446" t="inlineStr">
        <is>
          <t>chr16</t>
        </is>
      </c>
      <c r="B1446" t="n">
        <v>63663230</v>
      </c>
      <c r="C1446" t="inlineStr">
        <is>
          <t>T</t>
        </is>
      </c>
      <c r="D1446" t="inlineStr">
        <is>
          <t>C</t>
        </is>
      </c>
      <c r="E1446" t="inlineStr">
        <is>
          <t>rs7193419</t>
        </is>
      </c>
      <c r="F1446" t="n">
        <v>-0.02790432246</v>
      </c>
      <c r="G1446" t="n">
        <v>0.3231266822254823</v>
      </c>
      <c r="H1446" t="n">
        <v>0.008316247625815801</v>
      </c>
      <c r="I1446" t="n">
        <v>0.8222499736350297</v>
      </c>
      <c r="J1446" t="n">
        <v>0.0178928189985549</v>
      </c>
      <c r="K1446" t="n">
        <v>0.6689334422582461</v>
      </c>
      <c r="L1446" t="b">
        <v>0</v>
      </c>
      <c r="M1446" t="b">
        <v>0</v>
      </c>
      <c r="N1446" t="inlineStr">
        <is>
          <t>ref</t>
        </is>
      </c>
      <c r="O1446" t="n">
        <v>40</v>
      </c>
      <c r="P1446" t="n">
        <v>0.001083</v>
      </c>
      <c r="Q1446" t="n">
        <v>0</v>
      </c>
      <c r="R1446" t="n">
        <v>0</v>
      </c>
      <c r="S1446">
        <f>IMAGE("https://mitra.stanford.edu/kundaje/oak/projects/neuro-variants/variant_position/credible/roussos_2024/variant_figures/roussos_2024.childhood.GABA/rs7193419_count_position.png",4,220,900)</f>
        <v/>
      </c>
      <c r="T1446">
        <f>IMAGE("https://mitra.stanford.edu/kundaje/oak/projects/neuro-variants/variant_position/credible/roussos_2024/variant_figures/roussos_2024.childhood.GABA/rs7193419_profile_position.png",4,220,900)</f>
        <v/>
      </c>
    </row>
    <row r="1447">
      <c r="A1447" t="inlineStr">
        <is>
          <t>chr16</t>
        </is>
      </c>
      <c r="B1447" t="n">
        <v>63665521</v>
      </c>
      <c r="C1447" t="inlineStr">
        <is>
          <t>T</t>
        </is>
      </c>
      <c r="D1447" t="inlineStr">
        <is>
          <t>G</t>
        </is>
      </c>
      <c r="E1447" t="inlineStr">
        <is>
          <t>rs6498914</t>
        </is>
      </c>
      <c r="F1447" t="n">
        <v>-0.01589727614</v>
      </c>
      <c r="G1447" t="n">
        <v>0.4953419399727557</v>
      </c>
      <c r="H1447" t="n">
        <v>0.023812900963547</v>
      </c>
      <c r="I1447" t="n">
        <v>0.035860319515837</v>
      </c>
      <c r="J1447" t="n">
        <v>0.2031549077506229</v>
      </c>
      <c r="K1447" t="n">
        <v>0.2067780195278898</v>
      </c>
      <c r="L1447" t="b">
        <v>0</v>
      </c>
      <c r="M1447" t="b">
        <v>0</v>
      </c>
      <c r="N1447" t="inlineStr">
        <is>
          <t>ref</t>
        </is>
      </c>
      <c r="O1447" t="n">
        <v>65</v>
      </c>
      <c r="P1447" t="n">
        <v>0.0091</v>
      </c>
      <c r="Q1447" t="n">
        <v>95</v>
      </c>
      <c r="R1447" t="n">
        <v>0.3257</v>
      </c>
      <c r="S1447">
        <f>IMAGE("https://mitra.stanford.edu/kundaje/oak/projects/neuro-variants/variant_position/credible/roussos_2024/variant_figures/roussos_2024.childhood.GABA/rs6498914_count_position.png",4,220,900)</f>
        <v/>
      </c>
      <c r="T1447">
        <f>IMAGE("https://mitra.stanford.edu/kundaje/oak/projects/neuro-variants/variant_position/credible/roussos_2024/variant_figures/roussos_2024.childhood.GABA/rs6498914_profile_position.png",4,220,900)</f>
        <v/>
      </c>
    </row>
    <row r="1448">
      <c r="A1448" t="inlineStr">
        <is>
          <t>chr16</t>
        </is>
      </c>
      <c r="B1448" t="n">
        <v>63667853</v>
      </c>
      <c r="C1448" t="inlineStr">
        <is>
          <t>T</t>
        </is>
      </c>
      <c r="D1448" t="inlineStr">
        <is>
          <t>C</t>
        </is>
      </c>
      <c r="E1448" t="inlineStr">
        <is>
          <t>rs4353494</t>
        </is>
      </c>
      <c r="F1448" t="n">
        <v>0.0372238785999999</v>
      </c>
      <c r="G1448" t="n">
        <v>0.2240637308341223</v>
      </c>
      <c r="H1448" t="n">
        <v>0.0212868074746091</v>
      </c>
      <c r="I1448" t="n">
        <v>0.0572936901734864</v>
      </c>
      <c r="J1448" t="n">
        <v>0.0152059642729994</v>
      </c>
      <c r="K1448" t="n">
        <v>0.6898936542991325</v>
      </c>
      <c r="L1448" t="b">
        <v>0</v>
      </c>
      <c r="M1448" t="b">
        <v>0</v>
      </c>
      <c r="N1448" t="inlineStr">
        <is>
          <t>alt</t>
        </is>
      </c>
      <c r="O1448" t="n">
        <v>95</v>
      </c>
      <c r="P1448" t="n">
        <v>0.008460000000000001</v>
      </c>
      <c r="Q1448" t="n">
        <v>-100</v>
      </c>
      <c r="R1448" t="n">
        <v>0.0956</v>
      </c>
      <c r="S1448">
        <f>IMAGE("https://mitra.stanford.edu/kundaje/oak/projects/neuro-variants/variant_position/credible/roussos_2024/variant_figures/roussos_2024.childhood.GABA/rs4353494_count_position.png",4,220,900)</f>
        <v/>
      </c>
      <c r="T1448">
        <f>IMAGE("https://mitra.stanford.edu/kundaje/oak/projects/neuro-variants/variant_position/credible/roussos_2024/variant_figures/roussos_2024.childhood.GABA/rs4353494_profile_position.png",4,220,900)</f>
        <v/>
      </c>
    </row>
    <row r="1449">
      <c r="A1449" t="inlineStr">
        <is>
          <t>chr16</t>
        </is>
      </c>
      <c r="B1449" t="n">
        <v>63674238</v>
      </c>
      <c r="C1449" t="inlineStr">
        <is>
          <t>C</t>
        </is>
      </c>
      <c r="D1449" t="inlineStr">
        <is>
          <t>T</t>
        </is>
      </c>
      <c r="E1449" t="inlineStr">
        <is>
          <t>rs10775297</t>
        </is>
      </c>
      <c r="F1449" t="n">
        <v>-0.0327860437</v>
      </c>
      <c r="G1449" t="n">
        <v>0.2723799477074127</v>
      </c>
      <c r="H1449" t="n">
        <v>0.0069911691983621</v>
      </c>
      <c r="I1449" t="n">
        <v>0.9403605477090436</v>
      </c>
      <c r="J1449" t="n">
        <v>0.0280768989131117</v>
      </c>
      <c r="K1449" t="n">
        <v>0.5983737894559836</v>
      </c>
      <c r="L1449" t="b">
        <v>0</v>
      </c>
      <c r="M1449" t="b">
        <v>0</v>
      </c>
      <c r="N1449" t="inlineStr">
        <is>
          <t>ref</t>
        </is>
      </c>
      <c r="O1449" t="n">
        <v>-85</v>
      </c>
      <c r="P1449" t="n">
        <v>0.03275</v>
      </c>
      <c r="Q1449" t="n">
        <v>55</v>
      </c>
      <c r="R1449" t="n">
        <v>0.0679</v>
      </c>
      <c r="S1449">
        <f>IMAGE("https://mitra.stanford.edu/kundaje/oak/projects/neuro-variants/variant_position/credible/roussos_2024/variant_figures/roussos_2024.childhood.GABA/rs10775297_count_position.png",4,220,900)</f>
        <v/>
      </c>
      <c r="T1449">
        <f>IMAGE("https://mitra.stanford.edu/kundaje/oak/projects/neuro-variants/variant_position/credible/roussos_2024/variant_figures/roussos_2024.childhood.GABA/rs10775297_profile_position.png",4,220,900)</f>
        <v/>
      </c>
    </row>
    <row r="1450">
      <c r="A1450" t="inlineStr">
        <is>
          <t>chr16</t>
        </is>
      </c>
      <c r="B1450" t="n">
        <v>63675908</v>
      </c>
      <c r="C1450" t="inlineStr">
        <is>
          <t>G</t>
        </is>
      </c>
      <c r="D1450" t="inlineStr">
        <is>
          <t>A</t>
        </is>
      </c>
      <c r="E1450" t="inlineStr">
        <is>
          <t>rs12933055</t>
        </is>
      </c>
      <c r="F1450" t="n">
        <v>-0.08225856719999999</v>
      </c>
      <c r="G1450" t="n">
        <v>0.0484774036797352</v>
      </c>
      <c r="H1450" t="n">
        <v>0.0172849353305119</v>
      </c>
      <c r="I1450" t="n">
        <v>0.137194845734906</v>
      </c>
      <c r="J1450" t="n">
        <v>0.0459938011769386</v>
      </c>
      <c r="K1450" t="n">
        <v>0.5241023390191477</v>
      </c>
      <c r="L1450" t="b">
        <v>0</v>
      </c>
      <c r="M1450" t="b">
        <v>0</v>
      </c>
      <c r="N1450" t="inlineStr">
        <is>
          <t>ref</t>
        </is>
      </c>
      <c r="O1450" t="n">
        <v>35</v>
      </c>
      <c r="P1450" t="n">
        <v>0.01648</v>
      </c>
      <c r="Q1450" t="n">
        <v>-65</v>
      </c>
      <c r="R1450" t="n">
        <v>0.01004</v>
      </c>
      <c r="S1450">
        <f>IMAGE("https://mitra.stanford.edu/kundaje/oak/projects/neuro-variants/variant_position/credible/roussos_2024/variant_figures/roussos_2024.childhood.GABA/rs12933055_count_position.png",4,220,900)</f>
        <v/>
      </c>
      <c r="T1450">
        <f>IMAGE("https://mitra.stanford.edu/kundaje/oak/projects/neuro-variants/variant_position/credible/roussos_2024/variant_figures/roussos_2024.childhood.GABA/rs12933055_profile_position.png",4,220,900)</f>
        <v/>
      </c>
    </row>
    <row r="1451">
      <c r="A1451" t="inlineStr">
        <is>
          <t>chr16</t>
        </is>
      </c>
      <c r="B1451" t="n">
        <v>64258586</v>
      </c>
      <c r="C1451" t="inlineStr">
        <is>
          <t>T</t>
        </is>
      </c>
      <c r="D1451" t="inlineStr">
        <is>
          <t>C</t>
        </is>
      </c>
      <c r="E1451" t="inlineStr">
        <is>
          <t>rs2926123</t>
        </is>
      </c>
      <c r="F1451" t="n">
        <v>-0.00778737082</v>
      </c>
      <c r="G1451" t="n">
        <v>0.3930865539028991</v>
      </c>
      <c r="H1451" t="n">
        <v>0.0131389277260566</v>
      </c>
      <c r="I1451" t="n">
        <v>0.3404116633128922</v>
      </c>
      <c r="J1451" t="n">
        <v>0.0201985298737198</v>
      </c>
      <c r="K1451" t="n">
        <v>0.6410366366187035</v>
      </c>
      <c r="L1451" t="b">
        <v>0</v>
      </c>
      <c r="M1451" t="b">
        <v>0</v>
      </c>
      <c r="N1451" t="inlineStr">
        <is>
          <t>ref</t>
        </is>
      </c>
      <c r="O1451" t="n">
        <v>-50</v>
      </c>
      <c r="P1451" t="n">
        <v>0.01947</v>
      </c>
      <c r="Q1451" t="n">
        <v>-30</v>
      </c>
      <c r="R1451" t="n">
        <v>0.06419999999999999</v>
      </c>
      <c r="S1451">
        <f>IMAGE("https://mitra.stanford.edu/kundaje/oak/projects/neuro-variants/variant_position/credible/roussos_2024/variant_figures/roussos_2024.childhood.GABA/rs2926123_count_position.png",4,220,900)</f>
        <v/>
      </c>
      <c r="T1451">
        <f>IMAGE("https://mitra.stanford.edu/kundaje/oak/projects/neuro-variants/variant_position/credible/roussos_2024/variant_figures/roussos_2024.childhood.GABA/rs2926123_profile_position.png",4,220,900)</f>
        <v/>
      </c>
    </row>
    <row r="1452">
      <c r="A1452" t="inlineStr">
        <is>
          <t>chr16</t>
        </is>
      </c>
      <c r="B1452" t="n">
        <v>64263093</v>
      </c>
      <c r="C1452" t="inlineStr">
        <is>
          <t>C</t>
        </is>
      </c>
      <c r="D1452" t="inlineStr">
        <is>
          <t>A</t>
        </is>
      </c>
      <c r="E1452" t="inlineStr">
        <is>
          <t>rs2917686</t>
        </is>
      </c>
      <c r="F1452" t="n">
        <v>-0.0312920966</v>
      </c>
      <c r="G1452" t="n">
        <v>0.2972217045087295</v>
      </c>
      <c r="H1452" t="n">
        <v>0.0107669324327255</v>
      </c>
      <c r="I1452" t="n">
        <v>0.5529270293905154</v>
      </c>
      <c r="J1452" t="n">
        <v>0.0582500890033716</v>
      </c>
      <c r="K1452" t="n">
        <v>0.4539153594455454</v>
      </c>
      <c r="L1452" t="b">
        <v>0</v>
      </c>
      <c r="M1452" t="b">
        <v>0</v>
      </c>
      <c r="N1452" t="inlineStr">
        <is>
          <t>ref</t>
        </is>
      </c>
      <c r="O1452" t="n">
        <v>-10</v>
      </c>
      <c r="P1452" t="n">
        <v>0.000973</v>
      </c>
      <c r="Q1452" t="n">
        <v>-100</v>
      </c>
      <c r="R1452" t="n">
        <v>0.06216</v>
      </c>
      <c r="S1452">
        <f>IMAGE("https://mitra.stanford.edu/kundaje/oak/projects/neuro-variants/variant_position/credible/roussos_2024/variant_figures/roussos_2024.childhood.GABA/rs2917686_count_position.png",4,220,900)</f>
        <v/>
      </c>
      <c r="T1452">
        <f>IMAGE("https://mitra.stanford.edu/kundaje/oak/projects/neuro-variants/variant_position/credible/roussos_2024/variant_figures/roussos_2024.childhood.GABA/rs2917686_profile_position.png",4,220,900)</f>
        <v/>
      </c>
    </row>
    <row r="1453">
      <c r="A1453" t="inlineStr">
        <is>
          <t>chr16</t>
        </is>
      </c>
      <c r="B1453" t="n">
        <v>64263270</v>
      </c>
      <c r="C1453" t="inlineStr">
        <is>
          <t>G</t>
        </is>
      </c>
      <c r="D1453" t="inlineStr">
        <is>
          <t>A</t>
        </is>
      </c>
      <c r="E1453" t="inlineStr">
        <is>
          <t>rs2917688</t>
        </is>
      </c>
      <c r="F1453" t="n">
        <v>-0.0253424168</v>
      </c>
      <c r="G1453" t="n">
        <v>0.3513047985150282</v>
      </c>
      <c r="H1453" t="n">
        <v>0.0114809690444502</v>
      </c>
      <c r="I1453" t="n">
        <v>0.4738250615362367</v>
      </c>
      <c r="J1453" t="n">
        <v>0.0443927875856002</v>
      </c>
      <c r="K1453" t="n">
        <v>0.5087902071761777</v>
      </c>
      <c r="L1453" t="b">
        <v>0</v>
      </c>
      <c r="M1453" t="b">
        <v>0</v>
      </c>
      <c r="N1453" t="inlineStr">
        <is>
          <t>ref</t>
        </is>
      </c>
      <c r="O1453" t="n">
        <v>-100</v>
      </c>
      <c r="P1453" t="n">
        <v>0.00524</v>
      </c>
      <c r="Q1453" t="n">
        <v>-90</v>
      </c>
      <c r="R1453" t="n">
        <v>0.03125</v>
      </c>
      <c r="S1453">
        <f>IMAGE("https://mitra.stanford.edu/kundaje/oak/projects/neuro-variants/variant_position/credible/roussos_2024/variant_figures/roussos_2024.childhood.GABA/rs2917688_count_position.png",4,220,900)</f>
        <v/>
      </c>
      <c r="T1453">
        <f>IMAGE("https://mitra.stanford.edu/kundaje/oak/projects/neuro-variants/variant_position/credible/roussos_2024/variant_figures/roussos_2024.childhood.GABA/rs2917688_profile_position.png",4,220,900)</f>
        <v/>
      </c>
    </row>
    <row r="1454">
      <c r="A1454" t="inlineStr">
        <is>
          <t>chr16</t>
        </is>
      </c>
      <c r="B1454" t="n">
        <v>64265570</v>
      </c>
      <c r="C1454" t="inlineStr">
        <is>
          <t>G</t>
        </is>
      </c>
      <c r="D1454" t="inlineStr">
        <is>
          <t>A</t>
        </is>
      </c>
      <c r="E1454" t="inlineStr">
        <is>
          <t>rs2917696</t>
        </is>
      </c>
      <c r="F1454" t="n">
        <v>0.030845582</v>
      </c>
      <c r="G1454" t="n">
        <v>0.2055391557562201</v>
      </c>
      <c r="H1454" t="n">
        <v>0.0101502241959724</v>
      </c>
      <c r="I1454" t="n">
        <v>0.5442940692132566</v>
      </c>
      <c r="J1454" t="n">
        <v>0.0053140248371761</v>
      </c>
      <c r="K1454" t="n">
        <v>0.8197946915206821</v>
      </c>
      <c r="L1454" t="b">
        <v>0</v>
      </c>
      <c r="M1454" t="b">
        <v>0</v>
      </c>
      <c r="N1454" t="inlineStr">
        <is>
          <t>alt</t>
        </is>
      </c>
      <c r="O1454" t="n">
        <v>-85</v>
      </c>
      <c r="P1454" t="n">
        <v>0.0045</v>
      </c>
      <c r="Q1454" t="n">
        <v>-90</v>
      </c>
      <c r="R1454" t="n">
        <v>0.01833</v>
      </c>
      <c r="S1454">
        <f>IMAGE("https://mitra.stanford.edu/kundaje/oak/projects/neuro-variants/variant_position/credible/roussos_2024/variant_figures/roussos_2024.childhood.GABA/rs2917696_count_position.png",4,220,900)</f>
        <v/>
      </c>
      <c r="T1454">
        <f>IMAGE("https://mitra.stanford.edu/kundaje/oak/projects/neuro-variants/variant_position/credible/roussos_2024/variant_figures/roussos_2024.childhood.GABA/rs2917696_profile_position.png",4,220,900)</f>
        <v/>
      </c>
    </row>
    <row r="1455">
      <c r="A1455" t="inlineStr">
        <is>
          <t>chr16</t>
        </is>
      </c>
      <c r="B1455" t="n">
        <v>64313247</v>
      </c>
      <c r="C1455" t="inlineStr">
        <is>
          <t>G</t>
        </is>
      </c>
      <c r="D1455" t="inlineStr">
        <is>
          <t>A</t>
        </is>
      </c>
      <c r="E1455" t="inlineStr">
        <is>
          <t>rs12921977</t>
        </is>
      </c>
      <c r="F1455" t="n">
        <v>-0.0277067434</v>
      </c>
      <c r="G1455" t="n">
        <v>0.3302234401859737</v>
      </c>
      <c r="H1455" t="n">
        <v>0.0138910802080507</v>
      </c>
      <c r="I1455" t="n">
        <v>0.2926789738252676</v>
      </c>
      <c r="J1455" t="n">
        <v>0.033878871646667</v>
      </c>
      <c r="K1455" t="n">
        <v>0.5688487827525078</v>
      </c>
      <c r="L1455" t="b">
        <v>0</v>
      </c>
      <c r="M1455" t="b">
        <v>0</v>
      </c>
      <c r="N1455" t="inlineStr">
        <is>
          <t>ref</t>
        </is>
      </c>
      <c r="O1455" t="n">
        <v>25</v>
      </c>
      <c r="P1455" t="n">
        <v>0.001054</v>
      </c>
      <c r="Q1455" t="n">
        <v>75</v>
      </c>
      <c r="R1455" t="n">
        <v>0.07214</v>
      </c>
      <c r="S1455">
        <f>IMAGE("https://mitra.stanford.edu/kundaje/oak/projects/neuro-variants/variant_position/credible/roussos_2024/variant_figures/roussos_2024.childhood.GABA/rs12921977_count_position.png",4,220,900)</f>
        <v/>
      </c>
      <c r="T1455">
        <f>IMAGE("https://mitra.stanford.edu/kundaje/oak/projects/neuro-variants/variant_position/credible/roussos_2024/variant_figures/roussos_2024.childhood.GABA/rs12921977_profile_position.png",4,220,900)</f>
        <v/>
      </c>
    </row>
    <row r="1456">
      <c r="A1456" t="inlineStr">
        <is>
          <t>chr16</t>
        </is>
      </c>
      <c r="B1456" t="n">
        <v>64337259</v>
      </c>
      <c r="C1456" t="inlineStr">
        <is>
          <t>G</t>
        </is>
      </c>
      <c r="D1456" t="inlineStr">
        <is>
          <t>A</t>
        </is>
      </c>
      <c r="E1456" t="inlineStr">
        <is>
          <t>rs8058130</t>
        </is>
      </c>
      <c r="F1456" t="n">
        <v>-0.0014137038</v>
      </c>
      <c r="G1456" t="n">
        <v>0.8048452226977376</v>
      </c>
      <c r="H1456" t="n">
        <v>0.0177749376060357</v>
      </c>
      <c r="I1456" t="n">
        <v>0.1240467006800992</v>
      </c>
      <c r="J1456" t="n">
        <v>0.0059192477644446</v>
      </c>
      <c r="K1456" t="n">
        <v>0.7933781819854848</v>
      </c>
      <c r="L1456" t="b">
        <v>0</v>
      </c>
      <c r="M1456" t="b">
        <v>0</v>
      </c>
      <c r="N1456" t="inlineStr">
        <is>
          <t>ref</t>
        </is>
      </c>
      <c r="O1456" t="n">
        <v>-65</v>
      </c>
      <c r="P1456" t="n">
        <v>0.004715</v>
      </c>
      <c r="Q1456" t="n">
        <v>-20</v>
      </c>
      <c r="R1456" t="n">
        <v>0.05942</v>
      </c>
      <c r="S1456">
        <f>IMAGE("https://mitra.stanford.edu/kundaje/oak/projects/neuro-variants/variant_position/credible/roussos_2024/variant_figures/roussos_2024.childhood.GABA/rs8058130_count_position.png",4,220,900)</f>
        <v/>
      </c>
      <c r="T1456">
        <f>IMAGE("https://mitra.stanford.edu/kundaje/oak/projects/neuro-variants/variant_position/credible/roussos_2024/variant_figures/roussos_2024.childhood.GABA/rs8058130_profile_position.png",4,220,900)</f>
        <v/>
      </c>
    </row>
    <row r="1457">
      <c r="A1457" t="inlineStr">
        <is>
          <t>chr16</t>
        </is>
      </c>
      <c r="B1457" t="n">
        <v>64340633</v>
      </c>
      <c r="C1457" t="inlineStr">
        <is>
          <t>G</t>
        </is>
      </c>
      <c r="D1457" t="inlineStr">
        <is>
          <t>T</t>
        </is>
      </c>
      <c r="E1457" t="inlineStr">
        <is>
          <t>rs934655</t>
        </is>
      </c>
      <c r="F1457" t="n">
        <v>0.0246778068</v>
      </c>
      <c r="G1457" t="n">
        <v>0.3504973678144028</v>
      </c>
      <c r="H1457" t="n">
        <v>0.0245267648397813</v>
      </c>
      <c r="I1457" t="n">
        <v>0.0316206500520116</v>
      </c>
      <c r="J1457" t="n">
        <v>0.0130908253230298</v>
      </c>
      <c r="K1457" t="n">
        <v>0.7082562223264787</v>
      </c>
      <c r="L1457" t="b">
        <v>0</v>
      </c>
      <c r="M1457" t="b">
        <v>0</v>
      </c>
      <c r="N1457" t="inlineStr">
        <is>
          <t>alt</t>
        </is>
      </c>
      <c r="O1457" t="n">
        <v>70</v>
      </c>
      <c r="P1457" t="n">
        <v>0.002533</v>
      </c>
      <c r="Q1457" t="n">
        <v>100</v>
      </c>
      <c r="R1457" t="n">
        <v>0.0356</v>
      </c>
      <c r="S1457">
        <f>IMAGE("https://mitra.stanford.edu/kundaje/oak/projects/neuro-variants/variant_position/credible/roussos_2024/variant_figures/roussos_2024.childhood.GABA/rs934655_count_position.png",4,220,900)</f>
        <v/>
      </c>
      <c r="T1457">
        <f>IMAGE("https://mitra.stanford.edu/kundaje/oak/projects/neuro-variants/variant_position/credible/roussos_2024/variant_figures/roussos_2024.childhood.GABA/rs934655_profile_position.png",4,220,900)</f>
        <v/>
      </c>
    </row>
    <row r="1458">
      <c r="A1458" t="inlineStr">
        <is>
          <t>chr16</t>
        </is>
      </c>
      <c r="B1458" t="n">
        <v>65343295</v>
      </c>
      <c r="C1458" t="inlineStr">
        <is>
          <t>C</t>
        </is>
      </c>
      <c r="D1458" t="inlineStr">
        <is>
          <t>T</t>
        </is>
      </c>
      <c r="E1458" t="inlineStr">
        <is>
          <t>rs4785823</t>
        </is>
      </c>
      <c r="F1458" t="n">
        <v>-0.0347036268</v>
      </c>
      <c r="G1458" t="n">
        <v>0.2541978633325858</v>
      </c>
      <c r="H1458" t="n">
        <v>0.0122057587655644</v>
      </c>
      <c r="I1458" t="n">
        <v>0.4127515814208147</v>
      </c>
      <c r="J1458" t="n">
        <v>0.0320558731754308</v>
      </c>
      <c r="K1458" t="n">
        <v>0.5952384332578944</v>
      </c>
      <c r="L1458" t="b">
        <v>0</v>
      </c>
      <c r="M1458" t="b">
        <v>0</v>
      </c>
      <c r="N1458" t="inlineStr">
        <is>
          <t>ref</t>
        </is>
      </c>
      <c r="O1458" t="n">
        <v>-100</v>
      </c>
      <c r="P1458" t="n">
        <v>0.003464</v>
      </c>
      <c r="Q1458" t="n">
        <v>95</v>
      </c>
      <c r="R1458" t="n">
        <v>0.08400000000000001</v>
      </c>
      <c r="S1458">
        <f>IMAGE("https://mitra.stanford.edu/kundaje/oak/projects/neuro-variants/variant_position/credible/roussos_2024/variant_figures/roussos_2024.childhood.GABA/rs4785823_count_position.png",4,220,900)</f>
        <v/>
      </c>
      <c r="T1458">
        <f>IMAGE("https://mitra.stanford.edu/kundaje/oak/projects/neuro-variants/variant_position/credible/roussos_2024/variant_figures/roussos_2024.childhood.GABA/rs4785823_profile_position.png",4,220,900)</f>
        <v/>
      </c>
    </row>
    <row r="1459">
      <c r="A1459" t="inlineStr">
        <is>
          <t>chr16</t>
        </is>
      </c>
      <c r="B1459" t="n">
        <v>66718992</v>
      </c>
      <c r="C1459" t="inlineStr">
        <is>
          <t>A</t>
        </is>
      </c>
      <c r="D1459" t="inlineStr">
        <is>
          <t>G</t>
        </is>
      </c>
      <c r="E1459" t="inlineStr">
        <is>
          <t>rs7196496</t>
        </is>
      </c>
      <c r="F1459" t="n">
        <v>0.0057060044388</v>
      </c>
      <c r="G1459" t="n">
        <v>0.7400844558364765</v>
      </c>
      <c r="H1459" t="n">
        <v>0.0202639748173416</v>
      </c>
      <c r="I1459" t="n">
        <v>0.0716663677510076</v>
      </c>
      <c r="J1459" t="n">
        <v>0.0400577998366526</v>
      </c>
      <c r="K1459" t="n">
        <v>0.5542195587582418</v>
      </c>
      <c r="L1459" t="b">
        <v>0</v>
      </c>
      <c r="M1459" t="b">
        <v>0</v>
      </c>
      <c r="N1459" t="inlineStr">
        <is>
          <t>alt</t>
        </is>
      </c>
      <c r="O1459" t="n">
        <v>90</v>
      </c>
      <c r="P1459" t="n">
        <v>0.0946</v>
      </c>
      <c r="Q1459" t="n">
        <v>35</v>
      </c>
      <c r="R1459" t="n">
        <v>0.0445</v>
      </c>
      <c r="S1459">
        <f>IMAGE("https://mitra.stanford.edu/kundaje/oak/projects/neuro-variants/variant_position/credible/roussos_2024/variant_figures/roussos_2024.childhood.GABA/rs7196496_count_position.png",4,220,900)</f>
        <v/>
      </c>
      <c r="T1459">
        <f>IMAGE("https://mitra.stanford.edu/kundaje/oak/projects/neuro-variants/variant_position/credible/roussos_2024/variant_figures/roussos_2024.childhood.GABA/rs7196496_profile_position.png",4,220,900)</f>
        <v/>
      </c>
    </row>
    <row r="1460">
      <c r="A1460" t="inlineStr">
        <is>
          <t>chr16</t>
        </is>
      </c>
      <c r="B1460" t="n">
        <v>66724067</v>
      </c>
      <c r="C1460" t="inlineStr">
        <is>
          <t>G</t>
        </is>
      </c>
      <c r="D1460" t="inlineStr">
        <is>
          <t>A</t>
        </is>
      </c>
      <c r="E1460" t="inlineStr">
        <is>
          <t>rs11862377</t>
        </is>
      </c>
      <c r="F1460" t="n">
        <v>-0.0273176099199999</v>
      </c>
      <c r="G1460" t="n">
        <v>0.2930452463795337</v>
      </c>
      <c r="H1460" t="n">
        <v>0.013060875687571</v>
      </c>
      <c r="I1460" t="n">
        <v>0.3383233084168072</v>
      </c>
      <c r="J1460" t="n">
        <v>0.0713136897656593</v>
      </c>
      <c r="K1460" t="n">
        <v>0.4292060429456196</v>
      </c>
      <c r="L1460" t="b">
        <v>0</v>
      </c>
      <c r="M1460" t="b">
        <v>0</v>
      </c>
      <c r="N1460" t="inlineStr">
        <is>
          <t>ref</t>
        </is>
      </c>
      <c r="O1460" t="n">
        <v>-100</v>
      </c>
      <c r="P1460" t="n">
        <v>0.03586</v>
      </c>
      <c r="Q1460" t="n">
        <v>-55</v>
      </c>
      <c r="R1460" t="n">
        <v>0.0345</v>
      </c>
      <c r="S1460">
        <f>IMAGE("https://mitra.stanford.edu/kundaje/oak/projects/neuro-variants/variant_position/credible/roussos_2024/variant_figures/roussos_2024.childhood.GABA/rs11862377_count_position.png",4,220,900)</f>
        <v/>
      </c>
      <c r="T1460">
        <f>IMAGE("https://mitra.stanford.edu/kundaje/oak/projects/neuro-variants/variant_position/credible/roussos_2024/variant_figures/roussos_2024.childhood.GABA/rs11862377_profile_position.png",4,220,900)</f>
        <v/>
      </c>
    </row>
    <row r="1461">
      <c r="A1461" t="inlineStr">
        <is>
          <t>chr16</t>
        </is>
      </c>
      <c r="B1461" t="n">
        <v>66749462</v>
      </c>
      <c r="C1461" t="inlineStr">
        <is>
          <t>C</t>
        </is>
      </c>
      <c r="D1461" t="inlineStr">
        <is>
          <t>T</t>
        </is>
      </c>
      <c r="E1461" t="inlineStr">
        <is>
          <t>rs13329803</t>
        </is>
      </c>
      <c r="F1461" t="n">
        <v>-0.0174221566999999</v>
      </c>
      <c r="G1461" t="n">
        <v>0.462620873484724</v>
      </c>
      <c r="H1461" t="n">
        <v>0.0071697541449868</v>
      </c>
      <c r="I1461" t="n">
        <v>0.932052155046762</v>
      </c>
      <c r="J1461" t="n">
        <v>0.0287198173860233</v>
      </c>
      <c r="K1461" t="n">
        <v>0.5967746125546038</v>
      </c>
      <c r="L1461" t="b">
        <v>0</v>
      </c>
      <c r="M1461" t="b">
        <v>0</v>
      </c>
      <c r="N1461" t="inlineStr">
        <is>
          <t>ref</t>
        </is>
      </c>
      <c r="O1461" t="n">
        <v>100</v>
      </c>
      <c r="P1461" t="n">
        <v>0.00941</v>
      </c>
      <c r="Q1461" t="n">
        <v>25</v>
      </c>
      <c r="R1461" t="n">
        <v>0.02757</v>
      </c>
      <c r="S1461">
        <f>IMAGE("https://mitra.stanford.edu/kundaje/oak/projects/neuro-variants/variant_position/credible/roussos_2024/variant_figures/roussos_2024.childhood.GABA/rs13329803_count_position.png",4,220,900)</f>
        <v/>
      </c>
      <c r="T1461">
        <f>IMAGE("https://mitra.stanford.edu/kundaje/oak/projects/neuro-variants/variant_position/credible/roussos_2024/variant_figures/roussos_2024.childhood.GABA/rs13329803_profile_position.png",4,220,900)</f>
        <v/>
      </c>
    </row>
    <row r="1462">
      <c r="A1462" t="inlineStr">
        <is>
          <t>chr16</t>
        </is>
      </c>
      <c r="B1462" t="n">
        <v>66751701</v>
      </c>
      <c r="C1462" t="inlineStr">
        <is>
          <t>C</t>
        </is>
      </c>
      <c r="D1462" t="inlineStr">
        <is>
          <t>A</t>
        </is>
      </c>
      <c r="E1462" t="inlineStr">
        <is>
          <t>rs9929143</t>
        </is>
      </c>
      <c r="F1462" t="n">
        <v>7.724297999999984e-05</v>
      </c>
      <c r="G1462" t="n">
        <v>0.7362179645032251</v>
      </c>
      <c r="H1462" t="n">
        <v>0.0255001578718128</v>
      </c>
      <c r="I1462" t="n">
        <v>0.0283649133989248</v>
      </c>
      <c r="J1462" t="n">
        <v>0.8575275910452136</v>
      </c>
      <c r="K1462" t="n">
        <v>0.0034974276133023</v>
      </c>
      <c r="L1462" t="b">
        <v>0</v>
      </c>
      <c r="M1462" t="b">
        <v>0</v>
      </c>
      <c r="N1462" t="inlineStr">
        <is>
          <t>alt</t>
        </is>
      </c>
      <c r="O1462" t="n">
        <v>55</v>
      </c>
      <c r="P1462" t="n">
        <v>0.0703</v>
      </c>
      <c r="Q1462" t="n">
        <v>95</v>
      </c>
      <c r="R1462" t="n">
        <v>0.2373</v>
      </c>
      <c r="S1462">
        <f>IMAGE("https://mitra.stanford.edu/kundaje/oak/projects/neuro-variants/variant_position/credible/roussos_2024/variant_figures/roussos_2024.childhood.GABA/rs9929143_count_position.png",4,220,900)</f>
        <v/>
      </c>
      <c r="T1462">
        <f>IMAGE("https://mitra.stanford.edu/kundaje/oak/projects/neuro-variants/variant_position/credible/roussos_2024/variant_figures/roussos_2024.childhood.GABA/rs9929143_profile_position.png",4,220,900)</f>
        <v/>
      </c>
    </row>
    <row r="1463">
      <c r="A1463" t="inlineStr">
        <is>
          <t>chr16</t>
        </is>
      </c>
      <c r="B1463" t="n">
        <v>66772160</v>
      </c>
      <c r="C1463" t="inlineStr">
        <is>
          <t>A</t>
        </is>
      </c>
      <c r="D1463" t="inlineStr">
        <is>
          <t>C</t>
        </is>
      </c>
      <c r="E1463" t="inlineStr">
        <is>
          <t>rs75228693</t>
        </is>
      </c>
      <c r="F1463" t="n">
        <v>0.0015881398199999</v>
      </c>
      <c r="G1463" t="n">
        <v>0.848395238246285</v>
      </c>
      <c r="H1463" t="n">
        <v>0.038171842481424</v>
      </c>
      <c r="I1463" t="n">
        <v>0.0045529160694861</v>
      </c>
      <c r="J1463" t="n">
        <v>0.0008188310192456</v>
      </c>
      <c r="K1463" t="n">
        <v>0.9184957513847002</v>
      </c>
      <c r="L1463" t="b">
        <v>0</v>
      </c>
      <c r="M1463" t="b">
        <v>0</v>
      </c>
      <c r="N1463" t="inlineStr">
        <is>
          <t>alt</t>
        </is>
      </c>
      <c r="O1463" t="n">
        <v>20</v>
      </c>
      <c r="P1463" t="n">
        <v>0.0009990000000000001</v>
      </c>
      <c r="Q1463" t="n">
        <v>65</v>
      </c>
      <c r="R1463" t="n">
        <v>0.0539</v>
      </c>
      <c r="S1463">
        <f>IMAGE("https://mitra.stanford.edu/kundaje/oak/projects/neuro-variants/variant_position/credible/roussos_2024/variant_figures/roussos_2024.childhood.GABA/rs75228693_count_position.png",4,220,900)</f>
        <v/>
      </c>
      <c r="T1463">
        <f>IMAGE("https://mitra.stanford.edu/kundaje/oak/projects/neuro-variants/variant_position/credible/roussos_2024/variant_figures/roussos_2024.childhood.GABA/rs75228693_profile_position.png",4,220,900)</f>
        <v/>
      </c>
    </row>
    <row r="1464">
      <c r="A1464" t="inlineStr">
        <is>
          <t>chr16</t>
        </is>
      </c>
      <c r="B1464" t="n">
        <v>66857678</v>
      </c>
      <c r="C1464" t="inlineStr">
        <is>
          <t>C</t>
        </is>
      </c>
      <c r="D1464" t="inlineStr">
        <is>
          <t>T</t>
        </is>
      </c>
      <c r="E1464" t="inlineStr">
        <is>
          <t>rs16957058</t>
        </is>
      </c>
      <c r="F1464" t="n">
        <v>-0.067572944</v>
      </c>
      <c r="G1464" t="n">
        <v>0.083833353389391</v>
      </c>
      <c r="H1464" t="n">
        <v>0.0186732550142863</v>
      </c>
      <c r="I1464" t="n">
        <v>0.0987562036375105</v>
      </c>
      <c r="J1464" t="n">
        <v>0.0962398693221083</v>
      </c>
      <c r="K1464" t="n">
        <v>0.3699805904032434</v>
      </c>
      <c r="L1464" t="b">
        <v>0</v>
      </c>
      <c r="M1464" t="b">
        <v>0</v>
      </c>
      <c r="N1464" t="inlineStr">
        <is>
          <t>ref</t>
        </is>
      </c>
      <c r="O1464" t="n">
        <v>10</v>
      </c>
      <c r="P1464" t="n">
        <v>0.0002975</v>
      </c>
      <c r="Q1464" t="n">
        <v>0</v>
      </c>
      <c r="R1464" t="n">
        <v>0</v>
      </c>
      <c r="S1464">
        <f>IMAGE("https://mitra.stanford.edu/kundaje/oak/projects/neuro-variants/variant_position/credible/roussos_2024/variant_figures/roussos_2024.childhood.GABA/rs16957058_count_position.png",4,220,900)</f>
        <v/>
      </c>
      <c r="T1464">
        <f>IMAGE("https://mitra.stanford.edu/kundaje/oak/projects/neuro-variants/variant_position/credible/roussos_2024/variant_figures/roussos_2024.childhood.GABA/rs16957058_profile_position.png",4,220,900)</f>
        <v/>
      </c>
    </row>
    <row r="1465">
      <c r="A1465" t="inlineStr">
        <is>
          <t>chr16</t>
        </is>
      </c>
      <c r="B1465" t="n">
        <v>66860753</v>
      </c>
      <c r="C1465" t="inlineStr">
        <is>
          <t>T</t>
        </is>
      </c>
      <c r="D1465" t="inlineStr">
        <is>
          <t>C</t>
        </is>
      </c>
      <c r="E1465" t="inlineStr">
        <is>
          <t>rs3026093</t>
        </is>
      </c>
      <c r="F1465" t="n">
        <v>0.01102986468</v>
      </c>
      <c r="G1465" t="n">
        <v>0.5859170277856736</v>
      </c>
      <c r="H1465" t="n">
        <v>0.007423810861232</v>
      </c>
      <c r="I1465" t="n">
        <v>0.9083516453251068</v>
      </c>
      <c r="J1465" t="n">
        <v>0.0176237146866033</v>
      </c>
      <c r="K1465" t="n">
        <v>0.7056962475244217</v>
      </c>
      <c r="L1465" t="b">
        <v>0</v>
      </c>
      <c r="M1465" t="b">
        <v>0</v>
      </c>
      <c r="N1465" t="inlineStr">
        <is>
          <t>alt</t>
        </is>
      </c>
      <c r="O1465" t="n">
        <v>100</v>
      </c>
      <c r="P1465" t="n">
        <v>0.0295</v>
      </c>
      <c r="Q1465" t="n">
        <v>70</v>
      </c>
      <c r="R1465" t="n">
        <v>0.03592</v>
      </c>
      <c r="S1465">
        <f>IMAGE("https://mitra.stanford.edu/kundaje/oak/projects/neuro-variants/variant_position/credible/roussos_2024/variant_figures/roussos_2024.childhood.GABA/rs3026093_count_position.png",4,220,900)</f>
        <v/>
      </c>
      <c r="T1465">
        <f>IMAGE("https://mitra.stanford.edu/kundaje/oak/projects/neuro-variants/variant_position/credible/roussos_2024/variant_figures/roussos_2024.childhood.GABA/rs3026093_profile_position.png",4,220,900)</f>
        <v/>
      </c>
    </row>
    <row r="1466">
      <c r="A1466" t="inlineStr">
        <is>
          <t>chr16</t>
        </is>
      </c>
      <c r="B1466" t="n">
        <v>66871267</v>
      </c>
      <c r="C1466" t="inlineStr">
        <is>
          <t>A</t>
        </is>
      </c>
      <c r="D1466" t="inlineStr">
        <is>
          <t>G</t>
        </is>
      </c>
      <c r="E1466" t="inlineStr">
        <is>
          <t>rs9932517</t>
        </is>
      </c>
      <c r="F1466" t="n">
        <v>-0.0051012445399999</v>
      </c>
      <c r="G1466" t="n">
        <v>0.7693842674148667</v>
      </c>
      <c r="H1466" t="n">
        <v>0.0322870736447723</v>
      </c>
      <c r="I1466" t="n">
        <v>0.009247079012543799</v>
      </c>
      <c r="J1466" t="n">
        <v>0.0439812778789972</v>
      </c>
      <c r="K1466" t="n">
        <v>0.5241176481068717</v>
      </c>
      <c r="L1466" t="b">
        <v>1</v>
      </c>
      <c r="M1466" t="b">
        <v>0</v>
      </c>
      <c r="N1466" t="inlineStr">
        <is>
          <t>ref</t>
        </is>
      </c>
      <c r="O1466" t="n">
        <v>-95</v>
      </c>
      <c r="P1466" t="n">
        <v>0.0423</v>
      </c>
      <c r="Q1466" t="n">
        <v>-45</v>
      </c>
      <c r="R1466" t="n">
        <v>0.0509</v>
      </c>
      <c r="S1466">
        <f>IMAGE("https://mitra.stanford.edu/kundaje/oak/projects/neuro-variants/variant_position/credible/roussos_2024/variant_figures/roussos_2024.childhood.GABA/rs9932517_count_position.png",4,220,900)</f>
        <v/>
      </c>
      <c r="T1466">
        <f>IMAGE("https://mitra.stanford.edu/kundaje/oak/projects/neuro-variants/variant_position/credible/roussos_2024/variant_figures/roussos_2024.childhood.GABA/rs9932517_profile_position.png",4,220,900)</f>
        <v/>
      </c>
    </row>
    <row r="1467">
      <c r="A1467" t="inlineStr">
        <is>
          <t>chr16</t>
        </is>
      </c>
      <c r="B1467" t="n">
        <v>66886549</v>
      </c>
      <c r="C1467" t="inlineStr">
        <is>
          <t>G</t>
        </is>
      </c>
      <c r="D1467" t="inlineStr">
        <is>
          <t>A</t>
        </is>
      </c>
      <c r="E1467" t="inlineStr">
        <is>
          <t>rs11861556</t>
        </is>
      </c>
      <c r="F1467" t="n">
        <v>-0.049806099</v>
      </c>
      <c r="G1467" t="n">
        <v>0.1518874011306272</v>
      </c>
      <c r="H1467" t="n">
        <v>0.0134043520042853</v>
      </c>
      <c r="I1467" t="n">
        <v>0.3247072521688341</v>
      </c>
      <c r="J1467" t="n">
        <v>0.055711922263408</v>
      </c>
      <c r="K1467" t="n">
        <v>0.4692230953167061</v>
      </c>
      <c r="L1467" t="b">
        <v>0</v>
      </c>
      <c r="M1467" t="b">
        <v>0</v>
      </c>
      <c r="N1467" t="inlineStr">
        <is>
          <t>ref</t>
        </is>
      </c>
      <c r="O1467" t="n">
        <v>-10</v>
      </c>
      <c r="P1467" t="n">
        <v>0.00421</v>
      </c>
      <c r="Q1467" t="n">
        <v>45</v>
      </c>
      <c r="R1467" t="n">
        <v>0.04105</v>
      </c>
      <c r="S1467">
        <f>IMAGE("https://mitra.stanford.edu/kundaje/oak/projects/neuro-variants/variant_position/credible/roussos_2024/variant_figures/roussos_2024.childhood.GABA/rs11861556_count_position.png",4,220,900)</f>
        <v/>
      </c>
      <c r="T1467">
        <f>IMAGE("https://mitra.stanford.edu/kundaje/oak/projects/neuro-variants/variant_position/credible/roussos_2024/variant_figures/roussos_2024.childhood.GABA/rs11861556_profile_position.png",4,220,900)</f>
        <v/>
      </c>
    </row>
    <row r="1468">
      <c r="A1468" t="inlineStr">
        <is>
          <t>chr16</t>
        </is>
      </c>
      <c r="B1468" t="n">
        <v>66902190</v>
      </c>
      <c r="C1468" t="inlineStr">
        <is>
          <t>C</t>
        </is>
      </c>
      <c r="D1468" t="inlineStr">
        <is>
          <t>T</t>
        </is>
      </c>
      <c r="E1468" t="inlineStr">
        <is>
          <t>rs28442574</t>
        </is>
      </c>
      <c r="F1468" t="n">
        <v>-0.0481902682</v>
      </c>
      <c r="G1468" t="n">
        <v>0.1553375729699719</v>
      </c>
      <c r="H1468" t="n">
        <v>0.0129019421638626</v>
      </c>
      <c r="I1468" t="n">
        <v>0.3585068603056408</v>
      </c>
      <c r="J1468" t="n">
        <v>0.403416682373144</v>
      </c>
      <c r="K1468" t="n">
        <v>0.0847369197015809</v>
      </c>
      <c r="L1468" t="b">
        <v>0</v>
      </c>
      <c r="M1468" t="b">
        <v>0</v>
      </c>
      <c r="N1468" t="inlineStr">
        <is>
          <t>ref</t>
        </is>
      </c>
      <c r="O1468" t="n">
        <v>95</v>
      </c>
      <c r="P1468" t="n">
        <v>0.003216</v>
      </c>
      <c r="Q1468" t="n">
        <v>-90</v>
      </c>
      <c r="R1468" t="n">
        <v>0.07290000000000001</v>
      </c>
      <c r="S1468">
        <f>IMAGE("https://mitra.stanford.edu/kundaje/oak/projects/neuro-variants/variant_position/credible/roussos_2024/variant_figures/roussos_2024.childhood.GABA/rs28442574_count_position.png",4,220,900)</f>
        <v/>
      </c>
      <c r="T1468">
        <f>IMAGE("https://mitra.stanford.edu/kundaje/oak/projects/neuro-variants/variant_position/credible/roussos_2024/variant_figures/roussos_2024.childhood.GABA/rs28442574_profile_position.png",4,220,900)</f>
        <v/>
      </c>
    </row>
    <row r="1469">
      <c r="A1469" t="inlineStr">
        <is>
          <t>chr16</t>
        </is>
      </c>
      <c r="B1469" t="n">
        <v>66920342</v>
      </c>
      <c r="C1469" t="inlineStr">
        <is>
          <t>C</t>
        </is>
      </c>
      <c r="D1469" t="inlineStr">
        <is>
          <t>T</t>
        </is>
      </c>
      <c r="E1469" t="inlineStr">
        <is>
          <t>rs73586830</t>
        </is>
      </c>
      <c r="F1469" t="n">
        <v>-0.0126364971</v>
      </c>
      <c r="G1469" t="n">
        <v>0.5651802841823913</v>
      </c>
      <c r="H1469" t="n">
        <v>0.0089055065206583</v>
      </c>
      <c r="I1469" t="n">
        <v>0.7654214716623051</v>
      </c>
      <c r="J1469" t="n">
        <v>0.2451969592259847</v>
      </c>
      <c r="K1469" t="n">
        <v>0.1783900761679152</v>
      </c>
      <c r="L1469" t="b">
        <v>0</v>
      </c>
      <c r="M1469" t="b">
        <v>0</v>
      </c>
      <c r="N1469" t="inlineStr">
        <is>
          <t>ref</t>
        </is>
      </c>
      <c r="O1469" t="n">
        <v>45</v>
      </c>
      <c r="P1469" t="n">
        <v>0.002571</v>
      </c>
      <c r="Q1469" t="n">
        <v>-10</v>
      </c>
      <c r="R1469" t="n">
        <v>0.0065</v>
      </c>
      <c r="S1469">
        <f>IMAGE("https://mitra.stanford.edu/kundaje/oak/projects/neuro-variants/variant_position/credible/roussos_2024/variant_figures/roussos_2024.childhood.GABA/rs73586830_count_position.png",4,220,900)</f>
        <v/>
      </c>
      <c r="T1469">
        <f>IMAGE("https://mitra.stanford.edu/kundaje/oak/projects/neuro-variants/variant_position/credible/roussos_2024/variant_figures/roussos_2024.childhood.GABA/rs73586830_profile_position.png",4,220,900)</f>
        <v/>
      </c>
    </row>
    <row r="1470">
      <c r="A1470" t="inlineStr">
        <is>
          <t>chr16</t>
        </is>
      </c>
      <c r="B1470" t="n">
        <v>66920898</v>
      </c>
      <c r="C1470" t="inlineStr">
        <is>
          <t>A</t>
        </is>
      </c>
      <c r="D1470" t="inlineStr">
        <is>
          <t>G</t>
        </is>
      </c>
      <c r="E1470" t="inlineStr">
        <is>
          <t>rs59454517</t>
        </is>
      </c>
      <c r="F1470" t="n">
        <v>-0.0146183255999999</v>
      </c>
      <c r="G1470" t="n">
        <v>0.5185521510536758</v>
      </c>
      <c r="H1470" t="n">
        <v>0.0138165436296179</v>
      </c>
      <c r="I1470" t="n">
        <v>0.2956686145625009</v>
      </c>
      <c r="J1470" t="n">
        <v>0.3048365479256978</v>
      </c>
      <c r="K1470" t="n">
        <v>0.1341401246937713</v>
      </c>
      <c r="L1470" t="b">
        <v>0</v>
      </c>
      <c r="M1470" t="b">
        <v>0</v>
      </c>
      <c r="N1470" t="inlineStr">
        <is>
          <t>ref</t>
        </is>
      </c>
      <c r="O1470" t="n">
        <v>60</v>
      </c>
      <c r="P1470" t="n">
        <v>0.01756</v>
      </c>
      <c r="Q1470" t="n">
        <v>55</v>
      </c>
      <c r="R1470" t="n">
        <v>0.1388</v>
      </c>
      <c r="S1470">
        <f>IMAGE("https://mitra.stanford.edu/kundaje/oak/projects/neuro-variants/variant_position/credible/roussos_2024/variant_figures/roussos_2024.childhood.GABA/rs59454517_count_position.png",4,220,900)</f>
        <v/>
      </c>
      <c r="T1470">
        <f>IMAGE("https://mitra.stanford.edu/kundaje/oak/projects/neuro-variants/variant_position/credible/roussos_2024/variant_figures/roussos_2024.childhood.GABA/rs59454517_profile_position.png",4,220,900)</f>
        <v/>
      </c>
    </row>
    <row r="1471">
      <c r="A1471" t="inlineStr">
        <is>
          <t>chr16</t>
        </is>
      </c>
      <c r="B1471" t="n">
        <v>66930288</v>
      </c>
      <c r="C1471" t="inlineStr">
        <is>
          <t>G</t>
        </is>
      </c>
      <c r="D1471" t="inlineStr">
        <is>
          <t>A</t>
        </is>
      </c>
      <c r="E1471" t="inlineStr">
        <is>
          <t>rs17767961</t>
        </is>
      </c>
      <c r="F1471" t="n">
        <v>-0.0013585881399999</v>
      </c>
      <c r="G1471" t="n">
        <v>0.6823717713803272</v>
      </c>
      <c r="H1471" t="n">
        <v>0.0100187481247127</v>
      </c>
      <c r="I1471" t="n">
        <v>0.6346454988565149</v>
      </c>
      <c r="J1471" t="n">
        <v>0.1048972796381227</v>
      </c>
      <c r="K1471" t="n">
        <v>0.3529742492835213</v>
      </c>
      <c r="L1471" t="b">
        <v>0</v>
      </c>
      <c r="M1471" t="b">
        <v>0</v>
      </c>
      <c r="N1471" t="inlineStr">
        <is>
          <t>ref</t>
        </is>
      </c>
      <c r="O1471" t="n">
        <v>55</v>
      </c>
      <c r="P1471" t="n">
        <v>0.004913</v>
      </c>
      <c r="Q1471" t="n">
        <v>100</v>
      </c>
      <c r="R1471" t="n">
        <v>0.043</v>
      </c>
      <c r="S1471">
        <f>IMAGE("https://mitra.stanford.edu/kundaje/oak/projects/neuro-variants/variant_position/credible/roussos_2024/variant_figures/roussos_2024.childhood.GABA/rs17767961_count_position.png",4,220,900)</f>
        <v/>
      </c>
      <c r="T1471">
        <f>IMAGE("https://mitra.stanford.edu/kundaje/oak/projects/neuro-variants/variant_position/credible/roussos_2024/variant_figures/roussos_2024.childhood.GABA/rs17767961_profile_position.png",4,220,900)</f>
        <v/>
      </c>
    </row>
    <row r="1472">
      <c r="A1472" t="inlineStr">
        <is>
          <t>chr16</t>
        </is>
      </c>
      <c r="B1472" t="n">
        <v>67045166</v>
      </c>
      <c r="C1472" t="inlineStr">
        <is>
          <t>T</t>
        </is>
      </c>
      <c r="D1472" t="inlineStr">
        <is>
          <t>G</t>
        </is>
      </c>
      <c r="E1472" t="inlineStr">
        <is>
          <t>rs150710353</t>
        </is>
      </c>
      <c r="F1472" t="n">
        <v>-0.00439624014</v>
      </c>
      <c r="G1472" t="n">
        <v>0.7949898513690127</v>
      </c>
      <c r="H1472" t="n">
        <v>0.0256188910561516</v>
      </c>
      <c r="I1472" t="n">
        <v>0.0254032251763614</v>
      </c>
      <c r="J1472" t="n">
        <v>0.0046187514397603</v>
      </c>
      <c r="K1472" t="n">
        <v>0.8168285818992997</v>
      </c>
      <c r="L1472" t="b">
        <v>0</v>
      </c>
      <c r="M1472" t="b">
        <v>0</v>
      </c>
      <c r="N1472" t="inlineStr">
        <is>
          <t>ref</t>
        </is>
      </c>
      <c r="O1472" t="n">
        <v>95</v>
      </c>
      <c r="P1472" t="n">
        <v>0.005035</v>
      </c>
      <c r="Q1472" t="n">
        <v>-80</v>
      </c>
      <c r="R1472" t="n">
        <v>0.08110000000000001</v>
      </c>
      <c r="S1472">
        <f>IMAGE("https://mitra.stanford.edu/kundaje/oak/projects/neuro-variants/variant_position/credible/roussos_2024/variant_figures/roussos_2024.childhood.GABA/rs150710353_count_position.png",4,220,900)</f>
        <v/>
      </c>
      <c r="T1472">
        <f>IMAGE("https://mitra.stanford.edu/kundaje/oak/projects/neuro-variants/variant_position/credible/roussos_2024/variant_figures/roussos_2024.childhood.GABA/rs150710353_profile_position.png",4,220,900)</f>
        <v/>
      </c>
    </row>
    <row r="1473">
      <c r="A1473" t="inlineStr">
        <is>
          <t>chr16</t>
        </is>
      </c>
      <c r="B1473" t="n">
        <v>67087027</v>
      </c>
      <c r="C1473" t="inlineStr">
        <is>
          <t>A</t>
        </is>
      </c>
      <c r="D1473" t="inlineStr">
        <is>
          <t>G</t>
        </is>
      </c>
      <c r="E1473" t="inlineStr">
        <is>
          <t>rs77801206</t>
        </is>
      </c>
      <c r="F1473" t="n">
        <v>-0.0293004712</v>
      </c>
      <c r="G1473" t="n">
        <v>0.3150174608113769</v>
      </c>
      <c r="H1473" t="n">
        <v>0.0071278137418719</v>
      </c>
      <c r="I1473" t="n">
        <v>0.9238468020661698</v>
      </c>
      <c r="J1473" t="n">
        <v>0.0401038721702162</v>
      </c>
      <c r="K1473" t="n">
        <v>0.5243327884185219</v>
      </c>
      <c r="L1473" t="b">
        <v>0</v>
      </c>
      <c r="M1473" t="b">
        <v>0</v>
      </c>
      <c r="N1473" t="inlineStr">
        <is>
          <t>ref</t>
        </is>
      </c>
      <c r="O1473" t="n">
        <v>85</v>
      </c>
      <c r="P1473" t="n">
        <v>0.0027</v>
      </c>
      <c r="Q1473" t="n">
        <v>-95</v>
      </c>
      <c r="R1473" t="n">
        <v>0.03955</v>
      </c>
      <c r="S1473">
        <f>IMAGE("https://mitra.stanford.edu/kundaje/oak/projects/neuro-variants/variant_position/credible/roussos_2024/variant_figures/roussos_2024.childhood.GABA/rs77801206_count_position.png",4,220,900)</f>
        <v/>
      </c>
      <c r="T1473">
        <f>IMAGE("https://mitra.stanford.edu/kundaje/oak/projects/neuro-variants/variant_position/credible/roussos_2024/variant_figures/roussos_2024.childhood.GABA/rs77801206_profile_position.png",4,220,900)</f>
        <v/>
      </c>
    </row>
    <row r="1474">
      <c r="A1474" t="inlineStr">
        <is>
          <t>chr16</t>
        </is>
      </c>
      <c r="B1474" t="n">
        <v>67096883</v>
      </c>
      <c r="C1474" t="inlineStr">
        <is>
          <t>G</t>
        </is>
      </c>
      <c r="D1474" t="inlineStr">
        <is>
          <t>A</t>
        </is>
      </c>
      <c r="E1474" t="inlineStr">
        <is>
          <t>rs148571332</t>
        </is>
      </c>
      <c r="F1474" t="n">
        <v>-0.108614476</v>
      </c>
      <c r="G1474" t="n">
        <v>0.0251032989009524</v>
      </c>
      <c r="H1474" t="n">
        <v>0.0160260517656734</v>
      </c>
      <c r="I1474" t="n">
        <v>0.1814906784665763</v>
      </c>
      <c r="J1474" t="n">
        <v>0.0749408389353102</v>
      </c>
      <c r="K1474" t="n">
        <v>0.4332649891310403</v>
      </c>
      <c r="L1474" t="b">
        <v>0</v>
      </c>
      <c r="M1474" t="b">
        <v>0</v>
      </c>
      <c r="N1474" t="inlineStr">
        <is>
          <t>ref</t>
        </is>
      </c>
      <c r="O1474" t="n">
        <v>-65</v>
      </c>
      <c r="P1474" t="n">
        <v>0.002502</v>
      </c>
      <c r="Q1474" t="n">
        <v>-60</v>
      </c>
      <c r="R1474" t="n">
        <v>0.08935999999999999</v>
      </c>
      <c r="S1474">
        <f>IMAGE("https://mitra.stanford.edu/kundaje/oak/projects/neuro-variants/variant_position/credible/roussos_2024/variant_figures/roussos_2024.childhood.GABA/rs148571332_count_position.png",4,220,900)</f>
        <v/>
      </c>
      <c r="T1474">
        <f>IMAGE("https://mitra.stanford.edu/kundaje/oak/projects/neuro-variants/variant_position/credible/roussos_2024/variant_figures/roussos_2024.childhood.GABA/rs148571332_profile_position.png",4,220,900)</f>
        <v/>
      </c>
    </row>
    <row r="1475">
      <c r="A1475" t="inlineStr">
        <is>
          <t>chr16</t>
        </is>
      </c>
      <c r="B1475" t="n">
        <v>67140459</v>
      </c>
      <c r="C1475" t="inlineStr">
        <is>
          <t>A</t>
        </is>
      </c>
      <c r="D1475" t="inlineStr">
        <is>
          <t>G</t>
        </is>
      </c>
      <c r="E1475" t="inlineStr">
        <is>
          <t>rs8047207</t>
        </is>
      </c>
      <c r="F1475" t="n">
        <v>0.16924376</v>
      </c>
      <c r="G1475" t="n">
        <v>0.0075859555912789</v>
      </c>
      <c r="H1475" t="n">
        <v>0.0227364459448409</v>
      </c>
      <c r="I1475" t="n">
        <v>0.0468778814618454</v>
      </c>
      <c r="J1475" t="n">
        <v>0.1589244204309857</v>
      </c>
      <c r="K1475" t="n">
        <v>0.261403662897642</v>
      </c>
      <c r="L1475" t="b">
        <v>1</v>
      </c>
      <c r="M1475" t="b">
        <v>1</v>
      </c>
      <c r="N1475" t="inlineStr">
        <is>
          <t>alt</t>
        </is>
      </c>
      <c r="O1475" t="n">
        <v>-20</v>
      </c>
      <c r="P1475" t="n">
        <v>0.001572</v>
      </c>
      <c r="Q1475" t="n">
        <v>-40</v>
      </c>
      <c r="R1475" t="n">
        <v>0.01782</v>
      </c>
      <c r="S1475">
        <f>IMAGE("https://mitra.stanford.edu/kundaje/oak/projects/neuro-variants/variant_position/credible/roussos_2024/variant_figures/roussos_2024.childhood.GABA/rs8047207_count_position.png",4,220,900)</f>
        <v/>
      </c>
      <c r="T1475">
        <f>IMAGE("https://mitra.stanford.edu/kundaje/oak/projects/neuro-variants/variant_position/credible/roussos_2024/variant_figures/roussos_2024.childhood.GABA/rs8047207_profile_position.png",4,220,900)</f>
        <v/>
      </c>
    </row>
    <row r="1476">
      <c r="A1476" t="inlineStr">
        <is>
          <t>chr16</t>
        </is>
      </c>
      <c r="B1476" t="n">
        <v>67146210</v>
      </c>
      <c r="C1476" t="inlineStr">
        <is>
          <t>G</t>
        </is>
      </c>
      <c r="D1476" t="inlineStr">
        <is>
          <t>C</t>
        </is>
      </c>
      <c r="E1476" t="inlineStr">
        <is>
          <t>rs76171566</t>
        </is>
      </c>
      <c r="F1476" t="n">
        <v>-0.0029327723612</v>
      </c>
      <c r="G1476" t="n">
        <v>0.8699622855057801</v>
      </c>
      <c r="H1476" t="n">
        <v>0.0071359125135721</v>
      </c>
      <c r="I1476" t="n">
        <v>0.9255024924206832</v>
      </c>
      <c r="J1476" t="n">
        <v>0.2001539234780423</v>
      </c>
      <c r="K1476" t="n">
        <v>0.221625248812901</v>
      </c>
      <c r="L1476" t="b">
        <v>0</v>
      </c>
      <c r="M1476" t="b">
        <v>0</v>
      </c>
      <c r="N1476" t="inlineStr">
        <is>
          <t>ref</t>
        </is>
      </c>
      <c r="O1476" t="n">
        <v>-95</v>
      </c>
      <c r="P1476" t="n">
        <v>0.00702</v>
      </c>
      <c r="Q1476" t="n">
        <v>-100</v>
      </c>
      <c r="R1476" t="n">
        <v>0.17</v>
      </c>
      <c r="S1476">
        <f>IMAGE("https://mitra.stanford.edu/kundaje/oak/projects/neuro-variants/variant_position/credible/roussos_2024/variant_figures/roussos_2024.childhood.GABA/rs76171566_count_position.png",4,220,900)</f>
        <v/>
      </c>
      <c r="T1476">
        <f>IMAGE("https://mitra.stanford.edu/kundaje/oak/projects/neuro-variants/variant_position/credible/roussos_2024/variant_figures/roussos_2024.childhood.GABA/rs76171566_profile_position.png",4,220,900)</f>
        <v/>
      </c>
    </row>
    <row r="1477">
      <c r="A1477" t="inlineStr">
        <is>
          <t>chr16</t>
        </is>
      </c>
      <c r="B1477" t="n">
        <v>68182836</v>
      </c>
      <c r="C1477" t="inlineStr">
        <is>
          <t>G</t>
        </is>
      </c>
      <c r="D1477" t="inlineStr">
        <is>
          <t>T</t>
        </is>
      </c>
      <c r="E1477" t="inlineStr">
        <is>
          <t>rs78587942</t>
        </is>
      </c>
      <c r="F1477" t="n">
        <v>0.0151154741</v>
      </c>
      <c r="G1477" t="n">
        <v>0.4843185486393174</v>
      </c>
      <c r="H1477" t="n">
        <v>0.0247482634427599</v>
      </c>
      <c r="I1477" t="n">
        <v>0.0302790214363085</v>
      </c>
      <c r="J1477" t="n">
        <v>0.008333856882578299</v>
      </c>
      <c r="K1477" t="n">
        <v>0.761277006558716</v>
      </c>
      <c r="L1477" t="b">
        <v>0</v>
      </c>
      <c r="M1477" t="b">
        <v>0</v>
      </c>
      <c r="N1477" t="inlineStr">
        <is>
          <t>alt</t>
        </is>
      </c>
      <c r="O1477" t="n">
        <v>95</v>
      </c>
      <c r="P1477" t="n">
        <v>0.00522</v>
      </c>
      <c r="Q1477" t="n">
        <v>-100</v>
      </c>
      <c r="R1477" t="n">
        <v>0.098</v>
      </c>
      <c r="S1477">
        <f>IMAGE("https://mitra.stanford.edu/kundaje/oak/projects/neuro-variants/variant_position/credible/roussos_2024/variant_figures/roussos_2024.childhood.GABA/rs78587942_count_position.png",4,220,900)</f>
        <v/>
      </c>
      <c r="T1477">
        <f>IMAGE("https://mitra.stanford.edu/kundaje/oak/projects/neuro-variants/variant_position/credible/roussos_2024/variant_figures/roussos_2024.childhood.GABA/rs78587942_profile_position.png",4,220,900)</f>
        <v/>
      </c>
    </row>
    <row r="1478">
      <c r="A1478" t="inlineStr">
        <is>
          <t>chr16</t>
        </is>
      </c>
      <c r="B1478" t="n">
        <v>68255156</v>
      </c>
      <c r="C1478" t="inlineStr">
        <is>
          <t>C</t>
        </is>
      </c>
      <c r="D1478" t="inlineStr">
        <is>
          <t>T</t>
        </is>
      </c>
      <c r="E1478" t="inlineStr">
        <is>
          <t>rs2290699</t>
        </is>
      </c>
      <c r="F1478" t="n">
        <v>-0.0645515348</v>
      </c>
      <c r="G1478" t="n">
        <v>0.0873920165790377</v>
      </c>
      <c r="H1478" t="n">
        <v>0.0165476321742569</v>
      </c>
      <c r="I1478" t="n">
        <v>0.16446913560838</v>
      </c>
      <c r="J1478" t="n">
        <v>0.3235890347846118</v>
      </c>
      <c r="K1478" t="n">
        <v>0.1233302672860191</v>
      </c>
      <c r="L1478" t="b">
        <v>0</v>
      </c>
      <c r="M1478" t="b">
        <v>0</v>
      </c>
      <c r="N1478" t="inlineStr">
        <is>
          <t>ref</t>
        </is>
      </c>
      <c r="O1478" t="n">
        <v>-100</v>
      </c>
      <c r="P1478" t="n">
        <v>0.001759</v>
      </c>
      <c r="Q1478" t="n">
        <v>-50</v>
      </c>
      <c r="R1478" t="n">
        <v>0.007507</v>
      </c>
      <c r="S1478">
        <f>IMAGE("https://mitra.stanford.edu/kundaje/oak/projects/neuro-variants/variant_position/credible/roussos_2024/variant_figures/roussos_2024.childhood.GABA/rs2290699_count_position.png",4,220,900)</f>
        <v/>
      </c>
      <c r="T1478">
        <f>IMAGE("https://mitra.stanford.edu/kundaje/oak/projects/neuro-variants/variant_position/credible/roussos_2024/variant_figures/roussos_2024.childhood.GABA/rs2290699_profile_position.png",4,220,900)</f>
        <v/>
      </c>
    </row>
    <row r="1479">
      <c r="A1479" t="inlineStr">
        <is>
          <t>chr16</t>
        </is>
      </c>
      <c r="B1479" t="n">
        <v>68265599</v>
      </c>
      <c r="C1479" t="inlineStr">
        <is>
          <t>G</t>
        </is>
      </c>
      <c r="D1479" t="inlineStr">
        <is>
          <t>A</t>
        </is>
      </c>
      <c r="E1479" t="inlineStr">
        <is>
          <t>rs116580887</t>
        </is>
      </c>
      <c r="F1479" t="n">
        <v>0.0021799348799999</v>
      </c>
      <c r="G1479" t="n">
        <v>0.6314259196380871</v>
      </c>
      <c r="H1479" t="n">
        <v>0.0082828627658851</v>
      </c>
      <c r="I1479" t="n">
        <v>0.8275186237929245</v>
      </c>
      <c r="J1479" t="n">
        <v>0.508005067956692</v>
      </c>
      <c r="K1479" t="n">
        <v>0.0497968265172407</v>
      </c>
      <c r="L1479" t="b">
        <v>0</v>
      </c>
      <c r="M1479" t="b">
        <v>0</v>
      </c>
      <c r="N1479" t="inlineStr">
        <is>
          <t>alt</t>
        </is>
      </c>
      <c r="O1479" t="n">
        <v>80</v>
      </c>
      <c r="P1479" t="n">
        <v>0.003206</v>
      </c>
      <c r="Q1479" t="n">
        <v>15</v>
      </c>
      <c r="R1479" t="n">
        <v>0.01624</v>
      </c>
      <c r="S1479">
        <f>IMAGE("https://mitra.stanford.edu/kundaje/oak/projects/neuro-variants/variant_position/credible/roussos_2024/variant_figures/roussos_2024.childhood.GABA/rs116580887_count_position.png",4,220,900)</f>
        <v/>
      </c>
      <c r="T1479">
        <f>IMAGE("https://mitra.stanford.edu/kundaje/oak/projects/neuro-variants/variant_position/credible/roussos_2024/variant_figures/roussos_2024.childhood.GABA/rs116580887_profile_position.png",4,220,900)</f>
        <v/>
      </c>
    </row>
    <row r="1480">
      <c r="A1480" t="inlineStr">
        <is>
          <t>chr16</t>
        </is>
      </c>
      <c r="B1480" t="n">
        <v>68286641</v>
      </c>
      <c r="C1480" t="inlineStr">
        <is>
          <t>T</t>
        </is>
      </c>
      <c r="D1480" t="inlineStr">
        <is>
          <t>G</t>
        </is>
      </c>
      <c r="E1480" t="inlineStr">
        <is>
          <t>rs78805615</t>
        </is>
      </c>
      <c r="F1480" t="n">
        <v>0.009578826044</v>
      </c>
      <c r="G1480" t="n">
        <v>0.6359733213367688</v>
      </c>
      <c r="H1480" t="n">
        <v>0.0104779923027013</v>
      </c>
      <c r="I1480" t="n">
        <v>0.5875662854057179</v>
      </c>
      <c r="J1480" t="n">
        <v>0.0732120793281815</v>
      </c>
      <c r="K1480" t="n">
        <v>0.4516414797677059</v>
      </c>
      <c r="L1480" t="b">
        <v>0</v>
      </c>
      <c r="M1480" t="b">
        <v>0</v>
      </c>
      <c r="N1480" t="inlineStr">
        <is>
          <t>alt</t>
        </is>
      </c>
      <c r="O1480" t="n">
        <v>-15</v>
      </c>
      <c r="P1480" t="n">
        <v>0.0001974</v>
      </c>
      <c r="Q1480" t="n">
        <v>55</v>
      </c>
      <c r="R1480" t="n">
        <v>0.05048</v>
      </c>
      <c r="S1480">
        <f>IMAGE("https://mitra.stanford.edu/kundaje/oak/projects/neuro-variants/variant_position/credible/roussos_2024/variant_figures/roussos_2024.childhood.GABA/rs78805615_count_position.png",4,220,900)</f>
        <v/>
      </c>
      <c r="T1480">
        <f>IMAGE("https://mitra.stanford.edu/kundaje/oak/projects/neuro-variants/variant_position/credible/roussos_2024/variant_figures/roussos_2024.childhood.GABA/rs78805615_profile_position.png",4,220,900)</f>
        <v/>
      </c>
    </row>
    <row r="1481">
      <c r="A1481" t="inlineStr">
        <is>
          <t>chr16</t>
        </is>
      </c>
      <c r="B1481" t="n">
        <v>68338869</v>
      </c>
      <c r="C1481" t="inlineStr">
        <is>
          <t>C</t>
        </is>
      </c>
      <c r="D1481" t="inlineStr">
        <is>
          <t>T</t>
        </is>
      </c>
      <c r="E1481" t="inlineStr">
        <is>
          <t>rs12925938</t>
        </is>
      </c>
      <c r="F1481" t="n">
        <v>-0.07731001799999999</v>
      </c>
      <c r="G1481" t="n">
        <v>0.0579764394589843</v>
      </c>
      <c r="H1481" t="n">
        <v>0.0110056115526697</v>
      </c>
      <c r="I1481" t="n">
        <v>0.539554577293394</v>
      </c>
      <c r="J1481" t="n">
        <v>0.3702027182676802</v>
      </c>
      <c r="K1481" t="n">
        <v>0.0989429364223626</v>
      </c>
      <c r="L1481" t="b">
        <v>0</v>
      </c>
      <c r="M1481" t="b">
        <v>0</v>
      </c>
      <c r="N1481" t="inlineStr">
        <is>
          <t>ref</t>
        </is>
      </c>
      <c r="O1481" t="n">
        <v>-45</v>
      </c>
      <c r="P1481" t="n">
        <v>0.001774</v>
      </c>
      <c r="Q1481" t="n">
        <v>30</v>
      </c>
      <c r="R1481" t="n">
        <v>0.0426</v>
      </c>
      <c r="S1481">
        <f>IMAGE("https://mitra.stanford.edu/kundaje/oak/projects/neuro-variants/variant_position/credible/roussos_2024/variant_figures/roussos_2024.childhood.GABA/rs12925938_count_position.png",4,220,900)</f>
        <v/>
      </c>
      <c r="T1481">
        <f>IMAGE("https://mitra.stanford.edu/kundaje/oak/projects/neuro-variants/variant_position/credible/roussos_2024/variant_figures/roussos_2024.childhood.GABA/rs12925938_profile_position.png",4,220,900)</f>
        <v/>
      </c>
    </row>
    <row r="1482">
      <c r="A1482" t="inlineStr">
        <is>
          <t>chr16</t>
        </is>
      </c>
      <c r="B1482" t="n">
        <v>68361619</v>
      </c>
      <c r="C1482" t="inlineStr">
        <is>
          <t>C</t>
        </is>
      </c>
      <c r="D1482" t="inlineStr">
        <is>
          <t>T</t>
        </is>
      </c>
      <c r="E1482" t="inlineStr">
        <is>
          <t>rs71395853</t>
        </is>
      </c>
      <c r="F1482" t="n">
        <v>-0.0082850384</v>
      </c>
      <c r="G1482" t="n">
        <v>0.5413956364583273</v>
      </c>
      <c r="H1482" t="n">
        <v>0.0127063823603756</v>
      </c>
      <c r="I1482" t="n">
        <v>0.3638441459828804</v>
      </c>
      <c r="J1482" t="n">
        <v>0.639726916713786</v>
      </c>
      <c r="K1482" t="n">
        <v>0.0223324197339585</v>
      </c>
      <c r="L1482" t="b">
        <v>0</v>
      </c>
      <c r="M1482" t="b">
        <v>0</v>
      </c>
      <c r="N1482" t="inlineStr">
        <is>
          <t>ref</t>
        </is>
      </c>
      <c r="O1482" t="n">
        <v>100</v>
      </c>
      <c r="P1482" t="n">
        <v>0.001825</v>
      </c>
      <c r="Q1482" t="n">
        <v>-50</v>
      </c>
      <c r="R1482" t="n">
        <v>0.02032</v>
      </c>
      <c r="S1482">
        <f>IMAGE("https://mitra.stanford.edu/kundaje/oak/projects/neuro-variants/variant_position/credible/roussos_2024/variant_figures/roussos_2024.childhood.GABA/rs71395853_count_position.png",4,220,900)</f>
        <v/>
      </c>
      <c r="T1482">
        <f>IMAGE("https://mitra.stanford.edu/kundaje/oak/projects/neuro-variants/variant_position/credible/roussos_2024/variant_figures/roussos_2024.childhood.GABA/rs71395853_profile_position.png",4,220,900)</f>
        <v/>
      </c>
    </row>
    <row r="1483">
      <c r="A1483" t="inlineStr">
        <is>
          <t>chr16</t>
        </is>
      </c>
      <c r="B1483" t="n">
        <v>68381072</v>
      </c>
      <c r="C1483" t="inlineStr">
        <is>
          <t>C</t>
        </is>
      </c>
      <c r="D1483" t="inlineStr">
        <is>
          <t>G</t>
        </is>
      </c>
      <c r="E1483" t="inlineStr">
        <is>
          <t>rs11862968</t>
        </is>
      </c>
      <c r="F1483" t="n">
        <v>0.1092245848</v>
      </c>
      <c r="G1483" t="n">
        <v>0.0235082398486138</v>
      </c>
      <c r="H1483" t="n">
        <v>0.0334271597811727</v>
      </c>
      <c r="I1483" t="n">
        <v>0.008432086405634901</v>
      </c>
      <c r="J1483" t="n">
        <v>0.5149672258172604</v>
      </c>
      <c r="K1483" t="n">
        <v>0.0473179725927378</v>
      </c>
      <c r="L1483" t="b">
        <v>1</v>
      </c>
      <c r="M1483" t="b">
        <v>1</v>
      </c>
      <c r="N1483" t="inlineStr">
        <is>
          <t>alt</t>
        </is>
      </c>
      <c r="O1483" t="n">
        <v>35</v>
      </c>
      <c r="P1483" t="n">
        <v>0.002213</v>
      </c>
      <c r="Q1483" t="n">
        <v>-100</v>
      </c>
      <c r="R1483" t="n">
        <v>0.1312</v>
      </c>
      <c r="S1483">
        <f>IMAGE("https://mitra.stanford.edu/kundaje/oak/projects/neuro-variants/variant_position/credible/roussos_2024/variant_figures/roussos_2024.childhood.GABA/rs11862968_count_position.png",4,220,900)</f>
        <v/>
      </c>
      <c r="T1483">
        <f>IMAGE("https://mitra.stanford.edu/kundaje/oak/projects/neuro-variants/variant_position/credible/roussos_2024/variant_figures/roussos_2024.childhood.GABA/rs11862968_profile_position.png",4,220,900)</f>
        <v/>
      </c>
    </row>
    <row r="1484">
      <c r="A1484" t="inlineStr">
        <is>
          <t>chr16</t>
        </is>
      </c>
      <c r="B1484" t="n">
        <v>69246420</v>
      </c>
      <c r="C1484" t="inlineStr">
        <is>
          <t>T</t>
        </is>
      </c>
      <c r="D1484" t="inlineStr">
        <is>
          <t>C</t>
        </is>
      </c>
      <c r="E1484" t="inlineStr">
        <is>
          <t>rs34669336</t>
        </is>
      </c>
      <c r="F1484" t="n">
        <v>-0.0608699654</v>
      </c>
      <c r="G1484" t="n">
        <v>0.1075358475503279</v>
      </c>
      <c r="H1484" t="n">
        <v>0.0129324520163219</v>
      </c>
      <c r="I1484" t="n">
        <v>0.3531307714436111</v>
      </c>
      <c r="J1484" t="n">
        <v>0.0147599003162237</v>
      </c>
      <c r="K1484" t="n">
        <v>0.6901793517733528</v>
      </c>
      <c r="L1484" t="b">
        <v>0</v>
      </c>
      <c r="M1484" t="b">
        <v>0</v>
      </c>
      <c r="N1484" t="inlineStr">
        <is>
          <t>ref</t>
        </is>
      </c>
      <c r="O1484" t="n">
        <v>-25</v>
      </c>
      <c r="P1484" t="n">
        <v>0.002594</v>
      </c>
      <c r="Q1484" t="n">
        <v>5</v>
      </c>
      <c r="R1484" t="n">
        <v>0.01013</v>
      </c>
      <c r="S1484">
        <f>IMAGE("https://mitra.stanford.edu/kundaje/oak/projects/neuro-variants/variant_position/credible/roussos_2024/variant_figures/roussos_2024.childhood.GABA/rs34669336_count_position.png",4,220,900)</f>
        <v/>
      </c>
      <c r="T1484">
        <f>IMAGE("https://mitra.stanford.edu/kundaje/oak/projects/neuro-variants/variant_position/credible/roussos_2024/variant_figures/roussos_2024.childhood.GABA/rs34669336_profile_position.png",4,220,900)</f>
        <v/>
      </c>
    </row>
    <row r="1485">
      <c r="A1485" t="inlineStr">
        <is>
          <t>chr16</t>
        </is>
      </c>
      <c r="B1485" t="n">
        <v>69251934</v>
      </c>
      <c r="C1485" t="inlineStr">
        <is>
          <t>C</t>
        </is>
      </c>
      <c r="D1485" t="inlineStr">
        <is>
          <t>A</t>
        </is>
      </c>
      <c r="E1485" t="inlineStr">
        <is>
          <t>rs11641316</t>
        </is>
      </c>
      <c r="F1485" t="n">
        <v>-0.01589639574</v>
      </c>
      <c r="G1485" t="n">
        <v>0.4719594160527707</v>
      </c>
      <c r="H1485" t="n">
        <v>0.0449835674777671</v>
      </c>
      <c r="I1485" t="n">
        <v>0.0024954493124765</v>
      </c>
      <c r="J1485" t="n">
        <v>0.058193545684907</v>
      </c>
      <c r="K1485" t="n">
        <v>0.486140808201241</v>
      </c>
      <c r="L1485" t="b">
        <v>1</v>
      </c>
      <c r="M1485" t="b">
        <v>1</v>
      </c>
      <c r="N1485" t="inlineStr">
        <is>
          <t>ref</t>
        </is>
      </c>
      <c r="O1485" t="n">
        <v>100</v>
      </c>
      <c r="P1485" t="n">
        <v>0.003876</v>
      </c>
      <c r="Q1485" t="n">
        <v>-20</v>
      </c>
      <c r="R1485" t="n">
        <v>0.0626</v>
      </c>
      <c r="S1485">
        <f>IMAGE("https://mitra.stanford.edu/kundaje/oak/projects/neuro-variants/variant_position/credible/roussos_2024/variant_figures/roussos_2024.childhood.GABA/rs11641316_count_position.png",4,220,900)</f>
        <v/>
      </c>
      <c r="T1485">
        <f>IMAGE("https://mitra.stanford.edu/kundaje/oak/projects/neuro-variants/variant_position/credible/roussos_2024/variant_figures/roussos_2024.childhood.GABA/rs11641316_profile_position.png",4,220,900)</f>
        <v/>
      </c>
    </row>
    <row r="1486">
      <c r="A1486" t="inlineStr">
        <is>
          <t>chr16</t>
        </is>
      </c>
      <c r="B1486" t="n">
        <v>69255754</v>
      </c>
      <c r="C1486" t="inlineStr">
        <is>
          <t>C</t>
        </is>
      </c>
      <c r="D1486" t="inlineStr">
        <is>
          <t>G</t>
        </is>
      </c>
      <c r="E1486" t="inlineStr">
        <is>
          <t>rs13339524</t>
        </is>
      </c>
      <c r="F1486" t="n">
        <v>-0.01061541066</v>
      </c>
      <c r="G1486" t="n">
        <v>0.6138408920294557</v>
      </c>
      <c r="H1486" t="n">
        <v>0.008346876177361</v>
      </c>
      <c r="I1486" t="n">
        <v>0.8183064069962059</v>
      </c>
      <c r="J1486" t="n">
        <v>0.08664530585746889</v>
      </c>
      <c r="K1486" t="n">
        <v>0.4111372195468268</v>
      </c>
      <c r="L1486" t="b">
        <v>0</v>
      </c>
      <c r="M1486" t="b">
        <v>0</v>
      </c>
      <c r="N1486" t="inlineStr">
        <is>
          <t>ref</t>
        </is>
      </c>
      <c r="O1486" t="n">
        <v>-100</v>
      </c>
      <c r="P1486" t="n">
        <v>0.0315</v>
      </c>
      <c r="Q1486" t="n">
        <v>85</v>
      </c>
      <c r="R1486" t="n">
        <v>0.10474</v>
      </c>
      <c r="S1486">
        <f>IMAGE("https://mitra.stanford.edu/kundaje/oak/projects/neuro-variants/variant_position/credible/roussos_2024/variant_figures/roussos_2024.childhood.GABA/rs13339524_count_position.png",4,220,900)</f>
        <v/>
      </c>
      <c r="T1486">
        <f>IMAGE("https://mitra.stanford.edu/kundaje/oak/projects/neuro-variants/variant_position/credible/roussos_2024/variant_figures/roussos_2024.childhood.GABA/rs13339524_profile_position.png",4,220,900)</f>
        <v/>
      </c>
    </row>
    <row r="1487">
      <c r="A1487" t="inlineStr">
        <is>
          <t>chr16</t>
        </is>
      </c>
      <c r="B1487" t="n">
        <v>69328549</v>
      </c>
      <c r="C1487" t="inlineStr">
        <is>
          <t>C</t>
        </is>
      </c>
      <c r="D1487" t="inlineStr">
        <is>
          <t>G</t>
        </is>
      </c>
      <c r="E1487" t="inlineStr">
        <is>
          <t>rs2242413</t>
        </is>
      </c>
      <c r="F1487" t="n">
        <v>0.02260171106</v>
      </c>
      <c r="G1487" t="n">
        <v>0.3889668416478228</v>
      </c>
      <c r="H1487" t="n">
        <v>0.0078540555826162</v>
      </c>
      <c r="I1487" t="n">
        <v>0.8700184728525219</v>
      </c>
      <c r="J1487" t="n">
        <v>0.1777711461540072</v>
      </c>
      <c r="K1487" t="n">
        <v>0.2439097134917243</v>
      </c>
      <c r="L1487" t="b">
        <v>0</v>
      </c>
      <c r="M1487" t="b">
        <v>0</v>
      </c>
      <c r="N1487" t="inlineStr">
        <is>
          <t>alt</t>
        </is>
      </c>
      <c r="O1487" t="n">
        <v>100</v>
      </c>
      <c r="P1487" t="n">
        <v>0.003216</v>
      </c>
      <c r="Q1487" t="n">
        <v>-65</v>
      </c>
      <c r="R1487" t="n">
        <v>0.08416999999999999</v>
      </c>
      <c r="S1487">
        <f>IMAGE("https://mitra.stanford.edu/kundaje/oak/projects/neuro-variants/variant_position/credible/roussos_2024/variant_figures/roussos_2024.childhood.GABA/rs2242413_count_position.png",4,220,900)</f>
        <v/>
      </c>
      <c r="T1487">
        <f>IMAGE("https://mitra.stanford.edu/kundaje/oak/projects/neuro-variants/variant_position/credible/roussos_2024/variant_figures/roussos_2024.childhood.GABA/rs2242413_profile_position.png",4,220,900)</f>
        <v/>
      </c>
    </row>
    <row r="1488">
      <c r="A1488" t="inlineStr">
        <is>
          <t>chr16</t>
        </is>
      </c>
      <c r="B1488" t="n">
        <v>69362682</v>
      </c>
      <c r="C1488" t="inlineStr">
        <is>
          <t>C</t>
        </is>
      </c>
      <c r="D1488" t="inlineStr">
        <is>
          <t>T</t>
        </is>
      </c>
      <c r="E1488" t="inlineStr">
        <is>
          <t>rs9939870</t>
        </is>
      </c>
      <c r="F1488" t="n">
        <v>0.02185764874</v>
      </c>
      <c r="G1488" t="n">
        <v>0.4121958541245833</v>
      </c>
      <c r="H1488" t="n">
        <v>0.0198624696999436</v>
      </c>
      <c r="I1488" t="n">
        <v>0.07833442555662939</v>
      </c>
      <c r="J1488" t="n">
        <v>0.0468251973780653</v>
      </c>
      <c r="K1488" t="n">
        <v>0.5076514669171378</v>
      </c>
      <c r="L1488" t="b">
        <v>0</v>
      </c>
      <c r="M1488" t="b">
        <v>0</v>
      </c>
      <c r="N1488" t="inlineStr">
        <is>
          <t>alt</t>
        </is>
      </c>
      <c r="O1488" t="n">
        <v>-50</v>
      </c>
      <c r="P1488" t="n">
        <v>0.001705</v>
      </c>
      <c r="Q1488" t="n">
        <v>-55</v>
      </c>
      <c r="R1488" t="n">
        <v>0.02068</v>
      </c>
      <c r="S1488">
        <f>IMAGE("https://mitra.stanford.edu/kundaje/oak/projects/neuro-variants/variant_position/credible/roussos_2024/variant_figures/roussos_2024.childhood.GABA/rs9939870_count_position.png",4,220,900)</f>
        <v/>
      </c>
      <c r="T1488">
        <f>IMAGE("https://mitra.stanford.edu/kundaje/oak/projects/neuro-variants/variant_position/credible/roussos_2024/variant_figures/roussos_2024.childhood.GABA/rs9939870_profile_position.png",4,220,900)</f>
        <v/>
      </c>
    </row>
    <row r="1489">
      <c r="A1489" t="inlineStr">
        <is>
          <t>chr16</t>
        </is>
      </c>
      <c r="B1489" t="n">
        <v>69366304</v>
      </c>
      <c r="C1489" t="inlineStr">
        <is>
          <t>T</t>
        </is>
      </c>
      <c r="D1489" t="inlineStr">
        <is>
          <t>G</t>
        </is>
      </c>
      <c r="E1489" t="inlineStr">
        <is>
          <t>rs35124791</t>
        </is>
      </c>
      <c r="F1489" t="n">
        <v>0.1159002999999999</v>
      </c>
      <c r="G1489" t="n">
        <v>0.0249391877858431</v>
      </c>
      <c r="H1489" t="n">
        <v>0.0322176185267421</v>
      </c>
      <c r="I1489" t="n">
        <v>0.0146587849598181</v>
      </c>
      <c r="J1489" t="n">
        <v>0.149763355741241</v>
      </c>
      <c r="K1489" t="n">
        <v>0.2857285771739172</v>
      </c>
      <c r="L1489" t="b">
        <v>1</v>
      </c>
      <c r="M1489" t="b">
        <v>0</v>
      </c>
      <c r="N1489" t="inlineStr">
        <is>
          <t>alt</t>
        </is>
      </c>
      <c r="O1489" t="n">
        <v>100</v>
      </c>
      <c r="P1489" t="n">
        <v>0.00523</v>
      </c>
      <c r="Q1489" t="n">
        <v>-95</v>
      </c>
      <c r="R1489" t="n">
        <v>0.04483</v>
      </c>
      <c r="S1489">
        <f>IMAGE("https://mitra.stanford.edu/kundaje/oak/projects/neuro-variants/variant_position/credible/roussos_2024/variant_figures/roussos_2024.childhood.GABA/rs35124791_count_position.png",4,220,900)</f>
        <v/>
      </c>
      <c r="T1489">
        <f>IMAGE("https://mitra.stanford.edu/kundaje/oak/projects/neuro-variants/variant_position/credible/roussos_2024/variant_figures/roussos_2024.childhood.GABA/rs35124791_profile_position.png",4,220,900)</f>
        <v/>
      </c>
    </row>
    <row r="1490">
      <c r="A1490" t="inlineStr">
        <is>
          <t>chr16</t>
        </is>
      </c>
      <c r="B1490" t="n">
        <v>69373083</v>
      </c>
      <c r="C1490" t="inlineStr">
        <is>
          <t>A</t>
        </is>
      </c>
      <c r="D1490" t="inlineStr">
        <is>
          <t>G</t>
        </is>
      </c>
      <c r="E1490" t="inlineStr">
        <is>
          <t>rs3785074</t>
        </is>
      </c>
      <c r="F1490" t="n">
        <v>0.02035863676</v>
      </c>
      <c r="G1490" t="n">
        <v>0.4084691727458779</v>
      </c>
      <c r="H1490" t="n">
        <v>0.006775884472665</v>
      </c>
      <c r="I1490" t="n">
        <v>0.9477473835791944</v>
      </c>
      <c r="J1490" t="n">
        <v>0.0252246026261229</v>
      </c>
      <c r="K1490" t="n">
        <v>0.6241578394829677</v>
      </c>
      <c r="L1490" t="b">
        <v>0</v>
      </c>
      <c r="M1490" t="b">
        <v>0</v>
      </c>
      <c r="N1490" t="inlineStr">
        <is>
          <t>alt</t>
        </is>
      </c>
      <c r="O1490" t="n">
        <v>100</v>
      </c>
      <c r="P1490" t="n">
        <v>0.003168</v>
      </c>
      <c r="Q1490" t="n">
        <v>15</v>
      </c>
      <c r="R1490" t="n">
        <v>0.00708</v>
      </c>
      <c r="S1490">
        <f>IMAGE("https://mitra.stanford.edu/kundaje/oak/projects/neuro-variants/variant_position/credible/roussos_2024/variant_figures/roussos_2024.childhood.GABA/rs3785074_count_position.png",4,220,900)</f>
        <v/>
      </c>
      <c r="T1490">
        <f>IMAGE("https://mitra.stanford.edu/kundaje/oak/projects/neuro-variants/variant_position/credible/roussos_2024/variant_figures/roussos_2024.childhood.GABA/rs3785074_profile_position.png",4,220,900)</f>
        <v/>
      </c>
    </row>
    <row r="1491">
      <c r="A1491" t="inlineStr">
        <is>
          <t>chr16</t>
        </is>
      </c>
      <c r="B1491" t="n">
        <v>82418914</v>
      </c>
      <c r="C1491" t="inlineStr">
        <is>
          <t>C</t>
        </is>
      </c>
      <c r="D1491" t="inlineStr">
        <is>
          <t>A</t>
        </is>
      </c>
      <c r="E1491" t="inlineStr">
        <is>
          <t>rs11150463</t>
        </is>
      </c>
      <c r="F1491" t="n">
        <v>-0.095133518</v>
      </c>
      <c r="G1491" t="n">
        <v>0.0355440901670651</v>
      </c>
      <c r="H1491" t="n">
        <v>0.0168744068421373</v>
      </c>
      <c r="I1491" t="n">
        <v>0.1477809005276947</v>
      </c>
      <c r="J1491" t="n">
        <v>0.1070176540805428</v>
      </c>
      <c r="K1491" t="n">
        <v>0.35902035659186</v>
      </c>
      <c r="L1491" t="b">
        <v>0</v>
      </c>
      <c r="M1491" t="b">
        <v>0</v>
      </c>
      <c r="N1491" t="inlineStr">
        <is>
          <t>ref</t>
        </is>
      </c>
      <c r="O1491" t="n">
        <v>-100</v>
      </c>
      <c r="P1491" t="n">
        <v>0.00254</v>
      </c>
      <c r="Q1491" t="n">
        <v>-100</v>
      </c>
      <c r="R1491" t="n">
        <v>0.0772</v>
      </c>
      <c r="S1491">
        <f>IMAGE("https://mitra.stanford.edu/kundaje/oak/projects/neuro-variants/variant_position/credible/roussos_2024/variant_figures/roussos_2024.childhood.GABA/rs11150463_count_position.png",4,220,900)</f>
        <v/>
      </c>
      <c r="T1491">
        <f>IMAGE("https://mitra.stanford.edu/kundaje/oak/projects/neuro-variants/variant_position/credible/roussos_2024/variant_figures/roussos_2024.childhood.GABA/rs11150463_profile_position.png",4,220,900)</f>
        <v/>
      </c>
    </row>
    <row r="1492">
      <c r="A1492" t="inlineStr">
        <is>
          <t>chr16</t>
        </is>
      </c>
      <c r="B1492" t="n">
        <v>82619943</v>
      </c>
      <c r="C1492" t="inlineStr">
        <is>
          <t>C</t>
        </is>
      </c>
      <c r="D1492" t="inlineStr">
        <is>
          <t>T</t>
        </is>
      </c>
      <c r="E1492" t="inlineStr">
        <is>
          <t>rs9940266</t>
        </is>
      </c>
      <c r="F1492" t="n">
        <v>0.131590119</v>
      </c>
      <c r="G1492" t="n">
        <v>0.0147079925939215</v>
      </c>
      <c r="H1492" t="n">
        <v>0.0178238593203249</v>
      </c>
      <c r="I1492" t="n">
        <v>0.132000570025934</v>
      </c>
      <c r="J1492" t="n">
        <v>0.141086050553915</v>
      </c>
      <c r="K1492" t="n">
        <v>0.2907235178324752</v>
      </c>
      <c r="L1492" t="b">
        <v>1</v>
      </c>
      <c r="M1492" t="b">
        <v>0</v>
      </c>
      <c r="N1492" t="inlineStr">
        <is>
          <t>alt</t>
        </is>
      </c>
      <c r="O1492" t="n">
        <v>-100</v>
      </c>
      <c r="P1492" t="n">
        <v>0.005962</v>
      </c>
      <c r="Q1492" t="n">
        <v>100</v>
      </c>
      <c r="R1492" t="n">
        <v>0.0558</v>
      </c>
      <c r="S1492">
        <f>IMAGE("https://mitra.stanford.edu/kundaje/oak/projects/neuro-variants/variant_position/credible/roussos_2024/variant_figures/roussos_2024.childhood.GABA/rs9940266_count_position.png",4,220,900)</f>
        <v/>
      </c>
      <c r="T1492">
        <f>IMAGE("https://mitra.stanford.edu/kundaje/oak/projects/neuro-variants/variant_position/credible/roussos_2024/variant_figures/roussos_2024.childhood.GABA/rs9940266_profile_position.png",4,220,900)</f>
        <v/>
      </c>
    </row>
    <row r="1493">
      <c r="A1493" t="inlineStr">
        <is>
          <t>chr16</t>
        </is>
      </c>
      <c r="B1493" t="n">
        <v>82623390</v>
      </c>
      <c r="C1493" t="inlineStr">
        <is>
          <t>C</t>
        </is>
      </c>
      <c r="D1493" t="inlineStr">
        <is>
          <t>T</t>
        </is>
      </c>
      <c r="E1493" t="inlineStr">
        <is>
          <t>rs4782721</t>
        </is>
      </c>
      <c r="F1493" t="n">
        <v>-0.0622710796</v>
      </c>
      <c r="G1493" t="n">
        <v>0.0951371587740875</v>
      </c>
      <c r="H1493" t="n">
        <v>0.0196905556868</v>
      </c>
      <c r="I1493" t="n">
        <v>0.0837540970564354</v>
      </c>
      <c r="J1493" t="n">
        <v>0.2953414588176163</v>
      </c>
      <c r="K1493" t="n">
        <v>0.14040056546699</v>
      </c>
      <c r="L1493" t="b">
        <v>0</v>
      </c>
      <c r="M1493" t="b">
        <v>0</v>
      </c>
      <c r="N1493" t="inlineStr">
        <is>
          <t>ref</t>
        </is>
      </c>
      <c r="O1493" t="n">
        <v>95</v>
      </c>
      <c r="P1493" t="n">
        <v>0.006706</v>
      </c>
      <c r="Q1493" t="n">
        <v>10</v>
      </c>
      <c r="R1493" t="n">
        <v>0.0105</v>
      </c>
      <c r="S1493">
        <f>IMAGE("https://mitra.stanford.edu/kundaje/oak/projects/neuro-variants/variant_position/credible/roussos_2024/variant_figures/roussos_2024.childhood.GABA/rs4782721_count_position.png",4,220,900)</f>
        <v/>
      </c>
      <c r="T1493">
        <f>IMAGE("https://mitra.stanford.edu/kundaje/oak/projects/neuro-variants/variant_position/credible/roussos_2024/variant_figures/roussos_2024.childhood.GABA/rs4782721_profile_position.png",4,220,900)</f>
        <v/>
      </c>
    </row>
    <row r="1494">
      <c r="A1494" t="inlineStr">
        <is>
          <t>chr16</t>
        </is>
      </c>
      <c r="B1494" t="n">
        <v>82628858</v>
      </c>
      <c r="C1494" t="inlineStr">
        <is>
          <t>C</t>
        </is>
      </c>
      <c r="D1494" t="inlineStr">
        <is>
          <t>T</t>
        </is>
      </c>
      <c r="E1494" t="inlineStr">
        <is>
          <t>rs7202931</t>
        </is>
      </c>
      <c r="F1494" t="n">
        <v>-0.100738194</v>
      </c>
      <c r="G1494" t="n">
        <v>0.0297639654454005</v>
      </c>
      <c r="H1494" t="n">
        <v>0.0243860278032011</v>
      </c>
      <c r="I1494" t="n">
        <v>0.0327313621834085</v>
      </c>
      <c r="J1494" t="n">
        <v>0.3636374107348536</v>
      </c>
      <c r="K1494" t="n">
        <v>0.1019535151024941</v>
      </c>
      <c r="L1494" t="b">
        <v>0</v>
      </c>
      <c r="M1494" t="b">
        <v>0</v>
      </c>
      <c r="N1494" t="inlineStr">
        <is>
          <t>ref</t>
        </is>
      </c>
      <c r="O1494" t="n">
        <v>-80</v>
      </c>
      <c r="P1494" t="n">
        <v>0.002224</v>
      </c>
      <c r="Q1494" t="n">
        <v>10</v>
      </c>
      <c r="R1494" t="n">
        <v>0.0211</v>
      </c>
      <c r="S1494">
        <f>IMAGE("https://mitra.stanford.edu/kundaje/oak/projects/neuro-variants/variant_position/credible/roussos_2024/variant_figures/roussos_2024.childhood.GABA/rs7202931_count_position.png",4,220,900)</f>
        <v/>
      </c>
      <c r="T1494">
        <f>IMAGE("https://mitra.stanford.edu/kundaje/oak/projects/neuro-variants/variant_position/credible/roussos_2024/variant_figures/roussos_2024.childhood.GABA/rs7202931_profile_position.png",4,220,900)</f>
        <v/>
      </c>
    </row>
    <row r="1495">
      <c r="A1495" t="inlineStr">
        <is>
          <t>chr16</t>
        </is>
      </c>
      <c r="B1495" t="n">
        <v>82637526</v>
      </c>
      <c r="C1495" t="inlineStr">
        <is>
          <t>G</t>
        </is>
      </c>
      <c r="D1495" t="inlineStr">
        <is>
          <t>A</t>
        </is>
      </c>
      <c r="E1495" t="inlineStr">
        <is>
          <t>rs12930379</t>
        </is>
      </c>
      <c r="F1495" t="n">
        <v>0.08429572199999991</v>
      </c>
      <c r="G1495" t="n">
        <v>0.0463401820152742</v>
      </c>
      <c r="H1495" t="n">
        <v>0.0132155848480612</v>
      </c>
      <c r="I1495" t="n">
        <v>0.3352778556359734</v>
      </c>
      <c r="J1495" t="n">
        <v>0.208816569286507</v>
      </c>
      <c r="K1495" t="n">
        <v>0.2089675116036356</v>
      </c>
      <c r="L1495" t="b">
        <v>0</v>
      </c>
      <c r="M1495" t="b">
        <v>0</v>
      </c>
      <c r="N1495" t="inlineStr">
        <is>
          <t>alt</t>
        </is>
      </c>
      <c r="O1495" t="n">
        <v>30</v>
      </c>
      <c r="P1495" t="n">
        <v>0.003601</v>
      </c>
      <c r="Q1495" t="n">
        <v>95</v>
      </c>
      <c r="R1495" t="n">
        <v>0.0249</v>
      </c>
      <c r="S1495">
        <f>IMAGE("https://mitra.stanford.edu/kundaje/oak/projects/neuro-variants/variant_position/credible/roussos_2024/variant_figures/roussos_2024.childhood.GABA/rs12930379_count_position.png",4,220,900)</f>
        <v/>
      </c>
      <c r="T1495">
        <f>IMAGE("https://mitra.stanford.edu/kundaje/oak/projects/neuro-variants/variant_position/credible/roussos_2024/variant_figures/roussos_2024.childhood.GABA/rs12930379_profile_position.png",4,220,900)</f>
        <v/>
      </c>
    </row>
    <row r="1496">
      <c r="A1496" t="inlineStr">
        <is>
          <t>chr16</t>
        </is>
      </c>
      <c r="B1496" t="n">
        <v>89327154</v>
      </c>
      <c r="C1496" t="inlineStr">
        <is>
          <t>T</t>
        </is>
      </c>
      <c r="D1496" t="inlineStr">
        <is>
          <t>C</t>
        </is>
      </c>
      <c r="E1496" t="inlineStr">
        <is>
          <t>rs3114896</t>
        </is>
      </c>
      <c r="F1496" t="n">
        <v>0.103270962</v>
      </c>
      <c r="G1496" t="n">
        <v>0.0285421047145906</v>
      </c>
      <c r="H1496" t="n">
        <v>0.0141058478875568</v>
      </c>
      <c r="I1496" t="n">
        <v>0.2785416183571996</v>
      </c>
      <c r="J1496" t="n">
        <v>0.1192666122175451</v>
      </c>
      <c r="K1496" t="n">
        <v>0.3310058772108436</v>
      </c>
      <c r="L1496" t="b">
        <v>0</v>
      </c>
      <c r="M1496" t="b">
        <v>0</v>
      </c>
      <c r="N1496" t="inlineStr">
        <is>
          <t>alt</t>
        </is>
      </c>
      <c r="O1496" t="n">
        <v>20</v>
      </c>
      <c r="P1496" t="n">
        <v>0.003418</v>
      </c>
      <c r="Q1496" t="n">
        <v>-90</v>
      </c>
      <c r="R1496" t="n">
        <v>0.06396</v>
      </c>
      <c r="S1496">
        <f>IMAGE("https://mitra.stanford.edu/kundaje/oak/projects/neuro-variants/variant_position/credible/roussos_2024/variant_figures/roussos_2024.childhood.GABA/rs3114896_count_position.png",4,220,900)</f>
        <v/>
      </c>
      <c r="T1496">
        <f>IMAGE("https://mitra.stanford.edu/kundaje/oak/projects/neuro-variants/variant_position/credible/roussos_2024/variant_figures/roussos_2024.childhood.GABA/rs3114896_profile_position.png",4,220,900)</f>
        <v/>
      </c>
    </row>
    <row r="1497">
      <c r="A1497" t="inlineStr">
        <is>
          <t>chr16</t>
        </is>
      </c>
      <c r="B1497" t="n">
        <v>89356224</v>
      </c>
      <c r="C1497" t="inlineStr">
        <is>
          <t>T</t>
        </is>
      </c>
      <c r="D1497" t="inlineStr">
        <is>
          <t>C</t>
        </is>
      </c>
      <c r="E1497" t="inlineStr">
        <is>
          <t>rs3114881</t>
        </is>
      </c>
      <c r="F1497" t="n">
        <v>0.0373365473999999</v>
      </c>
      <c r="G1497" t="n">
        <v>0.2189461102349433</v>
      </c>
      <c r="H1497" t="n">
        <v>0.0133019008910704</v>
      </c>
      <c r="I1497" t="n">
        <v>0.3282000623000979</v>
      </c>
      <c r="J1497" t="n">
        <v>0.4330621348244016</v>
      </c>
      <c r="K1497" t="n">
        <v>0.0727188272811658</v>
      </c>
      <c r="L1497" t="b">
        <v>0</v>
      </c>
      <c r="M1497" t="b">
        <v>0</v>
      </c>
      <c r="N1497" t="inlineStr">
        <is>
          <t>alt</t>
        </is>
      </c>
      <c r="O1497" t="n">
        <v>-70</v>
      </c>
      <c r="P1497" t="n">
        <v>0.002026</v>
      </c>
      <c r="Q1497" t="n">
        <v>100</v>
      </c>
      <c r="R1497" t="n">
        <v>0.2737</v>
      </c>
      <c r="S1497">
        <f>IMAGE("https://mitra.stanford.edu/kundaje/oak/projects/neuro-variants/variant_position/credible/roussos_2024/variant_figures/roussos_2024.childhood.GABA/rs3114881_count_position.png",4,220,900)</f>
        <v/>
      </c>
      <c r="T1497">
        <f>IMAGE("https://mitra.stanford.edu/kundaje/oak/projects/neuro-variants/variant_position/credible/roussos_2024/variant_figures/roussos_2024.childhood.GABA/rs3114881_profile_position.png",4,220,900)</f>
        <v/>
      </c>
    </row>
    <row r="1498">
      <c r="A1498" t="inlineStr">
        <is>
          <t>chr16</t>
        </is>
      </c>
      <c r="B1498" t="n">
        <v>89463115</v>
      </c>
      <c r="C1498" t="inlineStr">
        <is>
          <t>C</t>
        </is>
      </c>
      <c r="D1498" t="inlineStr">
        <is>
          <t>T</t>
        </is>
      </c>
      <c r="E1498" t="inlineStr">
        <is>
          <t>rs369449674</t>
        </is>
      </c>
      <c r="F1498" t="n">
        <v>-0.01080563784</v>
      </c>
      <c r="G1498" t="n">
        <v>0.6071961907599802</v>
      </c>
      <c r="H1498" t="n">
        <v>0.0309793519447125</v>
      </c>
      <c r="I1498" t="n">
        <v>0.0136394323945243</v>
      </c>
      <c r="J1498" t="n">
        <v>0.4203849134049548</v>
      </c>
      <c r="K1498" t="n">
        <v>0.0764233121296178</v>
      </c>
      <c r="L1498" t="b">
        <v>1</v>
      </c>
      <c r="M1498" t="b">
        <v>0</v>
      </c>
      <c r="N1498" t="inlineStr">
        <is>
          <t>ref</t>
        </is>
      </c>
      <c r="O1498" t="n">
        <v>-100</v>
      </c>
      <c r="P1498" t="n">
        <v>0.1123</v>
      </c>
      <c r="Q1498" t="n">
        <v>-100</v>
      </c>
      <c r="R1498" t="n">
        <v>0.05176</v>
      </c>
      <c r="S1498">
        <f>IMAGE("https://mitra.stanford.edu/kundaje/oak/projects/neuro-variants/variant_position/credible/roussos_2024/variant_figures/roussos_2024.childhood.GABA/rs369449674_count_position.png",4,220,900)</f>
        <v/>
      </c>
      <c r="T1498">
        <f>IMAGE("https://mitra.stanford.edu/kundaje/oak/projects/neuro-variants/variant_position/credible/roussos_2024/variant_figures/roussos_2024.childhood.GABA/rs369449674_profile_position.png",4,220,900)</f>
        <v/>
      </c>
    </row>
    <row r="1499">
      <c r="A1499" t="inlineStr">
        <is>
          <t>chr16</t>
        </is>
      </c>
      <c r="B1499" t="n">
        <v>89498995</v>
      </c>
      <c r="C1499" t="inlineStr">
        <is>
          <t>A</t>
        </is>
      </c>
      <c r="D1499" t="inlineStr">
        <is>
          <t>G</t>
        </is>
      </c>
      <c r="E1499" t="inlineStr">
        <is>
          <t>rs4785573</t>
        </is>
      </c>
      <c r="F1499" t="n">
        <v>0.102880808</v>
      </c>
      <c r="G1499" t="n">
        <v>0.0296089014525951</v>
      </c>
      <c r="H1499" t="n">
        <v>0.0220002125737999</v>
      </c>
      <c r="I1499" t="n">
        <v>0.053534637139081</v>
      </c>
      <c r="J1499" t="n">
        <v>0.4848579087348955</v>
      </c>
      <c r="K1499" t="n">
        <v>0.0567191179365601</v>
      </c>
      <c r="L1499" t="b">
        <v>0</v>
      </c>
      <c r="M1499" t="b">
        <v>0</v>
      </c>
      <c r="N1499" t="inlineStr">
        <is>
          <t>alt</t>
        </is>
      </c>
      <c r="O1499" t="n">
        <v>-100</v>
      </c>
      <c r="P1499" t="n">
        <v>0.0313</v>
      </c>
      <c r="Q1499" t="n">
        <v>15</v>
      </c>
      <c r="R1499" t="n">
        <v>0.02954</v>
      </c>
      <c r="S1499">
        <f>IMAGE("https://mitra.stanford.edu/kundaje/oak/projects/neuro-variants/variant_position/credible/roussos_2024/variant_figures/roussos_2024.childhood.GABA/rs4785573_count_position.png",4,220,900)</f>
        <v/>
      </c>
      <c r="T1499">
        <f>IMAGE("https://mitra.stanford.edu/kundaje/oak/projects/neuro-variants/variant_position/credible/roussos_2024/variant_figures/roussos_2024.childhood.GABA/rs4785573_profile_position.png",4,220,900)</f>
        <v/>
      </c>
    </row>
    <row r="1500">
      <c r="A1500" t="inlineStr">
        <is>
          <t>chr16</t>
        </is>
      </c>
      <c r="B1500" t="n">
        <v>89526790</v>
      </c>
      <c r="C1500" t="inlineStr">
        <is>
          <t>C</t>
        </is>
      </c>
      <c r="D1500" t="inlineStr">
        <is>
          <t>T</t>
        </is>
      </c>
      <c r="E1500" t="inlineStr">
        <is>
          <t>rs34607811</t>
        </is>
      </c>
      <c r="F1500" t="n">
        <v>-0.074449695</v>
      </c>
      <c r="G1500" t="n">
        <v>0.0739692160074041</v>
      </c>
      <c r="H1500" t="n">
        <v>0.0174119718281079</v>
      </c>
      <c r="I1500" t="n">
        <v>0.1366300679622834</v>
      </c>
      <c r="J1500" t="n">
        <v>0.6452409373625683</v>
      </c>
      <c r="K1500" t="n">
        <v>0.0205217518043271</v>
      </c>
      <c r="L1500" t="b">
        <v>0</v>
      </c>
      <c r="M1500" t="b">
        <v>0</v>
      </c>
      <c r="N1500" t="inlineStr">
        <is>
          <t>ref</t>
        </is>
      </c>
      <c r="O1500" t="n">
        <v>100</v>
      </c>
      <c r="P1500" t="n">
        <v>0.01602</v>
      </c>
      <c r="Q1500" t="n">
        <v>95</v>
      </c>
      <c r="R1500" t="n">
        <v>0.353</v>
      </c>
      <c r="S1500">
        <f>IMAGE("https://mitra.stanford.edu/kundaje/oak/projects/neuro-variants/variant_position/credible/roussos_2024/variant_figures/roussos_2024.childhood.GABA/rs34607811_count_position.png",4,220,900)</f>
        <v/>
      </c>
      <c r="T1500">
        <f>IMAGE("https://mitra.stanford.edu/kundaje/oak/projects/neuro-variants/variant_position/credible/roussos_2024/variant_figures/roussos_2024.childhood.GABA/rs34607811_profile_position.png",4,220,900)</f>
        <v/>
      </c>
    </row>
    <row r="1501">
      <c r="A1501" t="inlineStr">
        <is>
          <t>chr16</t>
        </is>
      </c>
      <c r="B1501" t="n">
        <v>89649256</v>
      </c>
      <c r="C1501" t="inlineStr">
        <is>
          <t>C</t>
        </is>
      </c>
      <c r="D1501" t="inlineStr">
        <is>
          <t>T</t>
        </is>
      </c>
      <c r="E1501" t="inlineStr">
        <is>
          <t>rs72805595</t>
        </is>
      </c>
      <c r="F1501" t="n">
        <v>-0.07305043460000001</v>
      </c>
      <c r="G1501" t="n">
        <v>0.0704225328581654</v>
      </c>
      <c r="H1501" t="n">
        <v>0.0158507404065173</v>
      </c>
      <c r="I1501" t="n">
        <v>0.1859354320917106</v>
      </c>
      <c r="J1501" t="n">
        <v>0.471671797449268</v>
      </c>
      <c r="K1501" t="n">
        <v>0.0588721277249187</v>
      </c>
      <c r="L1501" t="b">
        <v>0</v>
      </c>
      <c r="M1501" t="b">
        <v>0</v>
      </c>
      <c r="N1501" t="inlineStr">
        <is>
          <t>ref</t>
        </is>
      </c>
      <c r="O1501" t="n">
        <v>-100</v>
      </c>
      <c r="P1501" t="n">
        <v>0.02344</v>
      </c>
      <c r="Q1501" t="n">
        <v>85</v>
      </c>
      <c r="R1501" t="n">
        <v>0.1183</v>
      </c>
      <c r="S1501">
        <f>IMAGE("https://mitra.stanford.edu/kundaje/oak/projects/neuro-variants/variant_position/credible/roussos_2024/variant_figures/roussos_2024.childhood.GABA/rs72805595_count_position.png",4,220,900)</f>
        <v/>
      </c>
      <c r="T1501">
        <f>IMAGE("https://mitra.stanford.edu/kundaje/oak/projects/neuro-variants/variant_position/credible/roussos_2024/variant_figures/roussos_2024.childhood.GABA/rs72805595_profile_position.png",4,220,900)</f>
        <v/>
      </c>
    </row>
    <row r="1502">
      <c r="A1502" t="inlineStr">
        <is>
          <t>chr16</t>
        </is>
      </c>
      <c r="B1502" t="n">
        <v>89650989</v>
      </c>
      <c r="C1502" t="inlineStr">
        <is>
          <t>A</t>
        </is>
      </c>
      <c r="D1502" t="inlineStr">
        <is>
          <t>G</t>
        </is>
      </c>
      <c r="E1502" t="inlineStr">
        <is>
          <t>rs467357</t>
        </is>
      </c>
      <c r="F1502" t="n">
        <v>0.0637284404</v>
      </c>
      <c r="G1502" t="n">
        <v>0.09525338341046009</v>
      </c>
      <c r="H1502" t="n">
        <v>0.0116422813337633</v>
      </c>
      <c r="I1502" t="n">
        <v>0.4735163656905067</v>
      </c>
      <c r="J1502" t="n">
        <v>0.3254361165211199</v>
      </c>
      <c r="K1502" t="n">
        <v>0.1225739459101777</v>
      </c>
      <c r="L1502" t="b">
        <v>0</v>
      </c>
      <c r="M1502" t="b">
        <v>0</v>
      </c>
      <c r="N1502" t="inlineStr">
        <is>
          <t>alt</t>
        </is>
      </c>
      <c r="O1502" t="n">
        <v>-100</v>
      </c>
      <c r="P1502" t="n">
        <v>0.03516</v>
      </c>
      <c r="Q1502" t="n">
        <v>-100</v>
      </c>
      <c r="R1502" t="n">
        <v>0.0862</v>
      </c>
      <c r="S1502">
        <f>IMAGE("https://mitra.stanford.edu/kundaje/oak/projects/neuro-variants/variant_position/credible/roussos_2024/variant_figures/roussos_2024.childhood.GABA/rs467357_count_position.png",4,220,900)</f>
        <v/>
      </c>
      <c r="T1502">
        <f>IMAGE("https://mitra.stanford.edu/kundaje/oak/projects/neuro-variants/variant_position/credible/roussos_2024/variant_figures/roussos_2024.childhood.GABA/rs467357_profile_position.png",4,220,900)</f>
        <v/>
      </c>
    </row>
    <row r="1503">
      <c r="A1503" t="inlineStr">
        <is>
          <t>chr16</t>
        </is>
      </c>
      <c r="B1503" t="n">
        <v>89738447</v>
      </c>
      <c r="C1503" t="inlineStr">
        <is>
          <t>C</t>
        </is>
      </c>
      <c r="D1503" t="inlineStr">
        <is>
          <t>T</t>
        </is>
      </c>
      <c r="E1503" t="inlineStr">
        <is>
          <t>rs1230</t>
        </is>
      </c>
      <c r="F1503" t="n">
        <v>-0.0592292928</v>
      </c>
      <c r="G1503" t="n">
        <v>0.1053390962993339</v>
      </c>
      <c r="H1503" t="n">
        <v>0.0152015168527959</v>
      </c>
      <c r="I1503" t="n">
        <v>0.2136835795433724</v>
      </c>
      <c r="J1503" t="n">
        <v>0.5211314946283847</v>
      </c>
      <c r="K1503" t="n">
        <v>0.0451853771639268</v>
      </c>
      <c r="L1503" t="b">
        <v>0</v>
      </c>
      <c r="M1503" t="b">
        <v>0</v>
      </c>
      <c r="N1503" t="inlineStr">
        <is>
          <t>ref</t>
        </is>
      </c>
      <c r="O1503" t="n">
        <v>-10</v>
      </c>
      <c r="P1503" t="n">
        <v>0.0001602</v>
      </c>
      <c r="Q1503" t="n">
        <v>-80</v>
      </c>
      <c r="R1503" t="n">
        <v>0.04053</v>
      </c>
      <c r="S1503">
        <f>IMAGE("https://mitra.stanford.edu/kundaje/oak/projects/neuro-variants/variant_position/credible/roussos_2024/variant_figures/roussos_2024.childhood.GABA/rs1230_count_position.png",4,220,900)</f>
        <v/>
      </c>
      <c r="T1503">
        <f>IMAGE("https://mitra.stanford.edu/kundaje/oak/projects/neuro-variants/variant_position/credible/roussos_2024/variant_figures/roussos_2024.childhood.GABA/rs1230_profile_position.png",4,220,900)</f>
        <v/>
      </c>
    </row>
    <row r="1504">
      <c r="A1504" t="inlineStr">
        <is>
          <t>chr16</t>
        </is>
      </c>
      <c r="B1504" t="n">
        <v>89746354</v>
      </c>
      <c r="C1504" t="inlineStr">
        <is>
          <t>C</t>
        </is>
      </c>
      <c r="D1504" t="inlineStr">
        <is>
          <t>A</t>
        </is>
      </c>
      <c r="E1504" t="inlineStr">
        <is>
          <t>rs12102297</t>
        </is>
      </c>
      <c r="F1504" t="n">
        <v>-0.1027002173999999</v>
      </c>
      <c r="G1504" t="n">
        <v>0.0331642800594522</v>
      </c>
      <c r="H1504" t="n">
        <v>0.0221601459873809</v>
      </c>
      <c r="I1504" t="n">
        <v>0.0533777151098471</v>
      </c>
      <c r="J1504" t="n">
        <v>0.547955016648866</v>
      </c>
      <c r="K1504" t="n">
        <v>0.0383465790508079</v>
      </c>
      <c r="L1504" t="b">
        <v>0</v>
      </c>
      <c r="M1504" t="b">
        <v>0</v>
      </c>
      <c r="N1504" t="inlineStr">
        <is>
          <t>ref</t>
        </is>
      </c>
      <c r="O1504" t="n">
        <v>95</v>
      </c>
      <c r="P1504" t="n">
        <v>0.006138</v>
      </c>
      <c r="Q1504" t="n">
        <v>-95</v>
      </c>
      <c r="R1504" t="n">
        <v>0.03955</v>
      </c>
      <c r="S1504">
        <f>IMAGE("https://mitra.stanford.edu/kundaje/oak/projects/neuro-variants/variant_position/credible/roussos_2024/variant_figures/roussos_2024.childhood.GABA/rs12102297_count_position.png",4,220,900)</f>
        <v/>
      </c>
      <c r="T1504">
        <f>IMAGE("https://mitra.stanford.edu/kundaje/oak/projects/neuro-variants/variant_position/credible/roussos_2024/variant_figures/roussos_2024.childhood.GABA/rs12102297_profile_position.png",4,220,900)</f>
        <v/>
      </c>
    </row>
    <row r="1505">
      <c r="A1505" t="inlineStr">
        <is>
          <t>chr16</t>
        </is>
      </c>
      <c r="B1505" t="n">
        <v>89763487</v>
      </c>
      <c r="C1505" t="inlineStr">
        <is>
          <t>C</t>
        </is>
      </c>
      <c r="D1505" t="inlineStr">
        <is>
          <t>T</t>
        </is>
      </c>
      <c r="E1505" t="inlineStr">
        <is>
          <t>rs12447465</t>
        </is>
      </c>
      <c r="F1505" t="n">
        <v>0.010205288964</v>
      </c>
      <c r="G1505" t="n">
        <v>0.6507777902854245</v>
      </c>
      <c r="H1505" t="n">
        <v>0.0327945300787307</v>
      </c>
      <c r="I1505" t="n">
        <v>0.008447629168741101</v>
      </c>
      <c r="J1505" t="n">
        <v>0.0207220791187618</v>
      </c>
      <c r="K1505" t="n">
        <v>0.6668178000663487</v>
      </c>
      <c r="L1505" t="b">
        <v>1</v>
      </c>
      <c r="M1505" t="b">
        <v>0</v>
      </c>
      <c r="N1505" t="inlineStr">
        <is>
          <t>alt</t>
        </is>
      </c>
      <c r="O1505" t="n">
        <v>-100</v>
      </c>
      <c r="P1505" t="n">
        <v>0.08513999999999999</v>
      </c>
      <c r="Q1505" t="n">
        <v>100</v>
      </c>
      <c r="R1505" t="n">
        <v>0.07969999999999999</v>
      </c>
      <c r="S1505">
        <f>IMAGE("https://mitra.stanford.edu/kundaje/oak/projects/neuro-variants/variant_position/credible/roussos_2024/variant_figures/roussos_2024.childhood.GABA/rs12447465_count_position.png",4,220,900)</f>
        <v/>
      </c>
      <c r="T1505">
        <f>IMAGE("https://mitra.stanford.edu/kundaje/oak/projects/neuro-variants/variant_position/credible/roussos_2024/variant_figures/roussos_2024.childhood.GABA/rs12447465_profile_position.png",4,220,900)</f>
        <v/>
      </c>
    </row>
    <row r="1506">
      <c r="A1506" t="inlineStr">
        <is>
          <t>chr16</t>
        </is>
      </c>
      <c r="B1506" t="n">
        <v>89769113</v>
      </c>
      <c r="C1506" t="inlineStr">
        <is>
          <t>A</t>
        </is>
      </c>
      <c r="D1506" t="inlineStr">
        <is>
          <t>G</t>
        </is>
      </c>
      <c r="E1506" t="inlineStr">
        <is>
          <t>rs4785595</t>
        </is>
      </c>
      <c r="F1506" t="n">
        <v>-0.00373579916</v>
      </c>
      <c r="G1506" t="n">
        <v>0.8147968168958719</v>
      </c>
      <c r="H1506" t="n">
        <v>0.0103661149119667</v>
      </c>
      <c r="I1506" t="n">
        <v>0.6024961109760888</v>
      </c>
      <c r="J1506" t="n">
        <v>0.341671378609872</v>
      </c>
      <c r="K1506" t="n">
        <v>0.1127248988363819</v>
      </c>
      <c r="L1506" t="b">
        <v>0</v>
      </c>
      <c r="M1506" t="b">
        <v>0</v>
      </c>
      <c r="N1506" t="inlineStr">
        <is>
          <t>ref</t>
        </is>
      </c>
      <c r="O1506" t="n">
        <v>-30</v>
      </c>
      <c r="P1506" t="n">
        <v>0.00103</v>
      </c>
      <c r="Q1506" t="n">
        <v>100</v>
      </c>
      <c r="R1506" t="n">
        <v>0.177</v>
      </c>
      <c r="S1506">
        <f>IMAGE("https://mitra.stanford.edu/kundaje/oak/projects/neuro-variants/variant_position/credible/roussos_2024/variant_figures/roussos_2024.childhood.GABA/rs4785595_count_position.png",4,220,900)</f>
        <v/>
      </c>
      <c r="T1506">
        <f>IMAGE("https://mitra.stanford.edu/kundaje/oak/projects/neuro-variants/variant_position/credible/roussos_2024/variant_figures/roussos_2024.childhood.GABA/rs4785595_profile_position.png",4,220,900)</f>
        <v/>
      </c>
    </row>
    <row r="1507">
      <c r="A1507" t="inlineStr">
        <is>
          <t>chr16</t>
        </is>
      </c>
      <c r="B1507" t="n">
        <v>89770373</v>
      </c>
      <c r="C1507" t="inlineStr">
        <is>
          <t>G</t>
        </is>
      </c>
      <c r="D1507" t="inlineStr">
        <is>
          <t>A</t>
        </is>
      </c>
      <c r="E1507" t="inlineStr">
        <is>
          <t>rs886952</t>
        </is>
      </c>
      <c r="F1507" t="n">
        <v>-0.00723793</v>
      </c>
      <c r="G1507" t="n">
        <v>0.4896434361508995</v>
      </c>
      <c r="H1507" t="n">
        <v>0.011434239158614</v>
      </c>
      <c r="I1507" t="n">
        <v>0.4642464091237698</v>
      </c>
      <c r="J1507" t="n">
        <v>0.4601914096039873</v>
      </c>
      <c r="K1507" t="n">
        <v>0.0623649079165413</v>
      </c>
      <c r="L1507" t="b">
        <v>0</v>
      </c>
      <c r="M1507" t="b">
        <v>0</v>
      </c>
      <c r="N1507" t="inlineStr">
        <is>
          <t>ref</t>
        </is>
      </c>
      <c r="O1507" t="n">
        <v>-10</v>
      </c>
      <c r="P1507" t="n">
        <v>0.0007896</v>
      </c>
      <c r="Q1507" t="n">
        <v>80</v>
      </c>
      <c r="R1507" t="n">
        <v>0.01874</v>
      </c>
      <c r="S1507">
        <f>IMAGE("https://mitra.stanford.edu/kundaje/oak/projects/neuro-variants/variant_position/credible/roussos_2024/variant_figures/roussos_2024.childhood.GABA/rs886952_count_position.png",4,220,900)</f>
        <v/>
      </c>
      <c r="T1507">
        <f>IMAGE("https://mitra.stanford.edu/kundaje/oak/projects/neuro-variants/variant_position/credible/roussos_2024/variant_figures/roussos_2024.childhood.GABA/rs886952_profile_position.png",4,220,900)</f>
        <v/>
      </c>
    </row>
    <row r="1508">
      <c r="A1508" t="inlineStr">
        <is>
          <t>chr16</t>
        </is>
      </c>
      <c r="B1508" t="n">
        <v>89773589</v>
      </c>
      <c r="C1508" t="inlineStr">
        <is>
          <t>G</t>
        </is>
      </c>
      <c r="D1508" t="inlineStr">
        <is>
          <t>A</t>
        </is>
      </c>
      <c r="E1508" t="inlineStr">
        <is>
          <t>rs4785721</t>
        </is>
      </c>
      <c r="F1508" t="n">
        <v>-0.0386403488</v>
      </c>
      <c r="G1508" t="n">
        <v>0.225114867202272</v>
      </c>
      <c r="H1508" t="n">
        <v>0.0132233076514958</v>
      </c>
      <c r="I1508" t="n">
        <v>0.3371142877387065</v>
      </c>
      <c r="J1508" t="n">
        <v>0.376272748214697</v>
      </c>
      <c r="K1508" t="n">
        <v>0.09615447790660719</v>
      </c>
      <c r="L1508" t="b">
        <v>0</v>
      </c>
      <c r="M1508" t="b">
        <v>0</v>
      </c>
      <c r="N1508" t="inlineStr">
        <is>
          <t>ref</t>
        </is>
      </c>
      <c r="O1508" t="n">
        <v>90</v>
      </c>
      <c r="P1508" t="n">
        <v>0.015114</v>
      </c>
      <c r="Q1508" t="n">
        <v>-15</v>
      </c>
      <c r="R1508" t="n">
        <v>0.05298</v>
      </c>
      <c r="S1508">
        <f>IMAGE("https://mitra.stanford.edu/kundaje/oak/projects/neuro-variants/variant_position/credible/roussos_2024/variant_figures/roussos_2024.childhood.GABA/rs4785721_count_position.png",4,220,900)</f>
        <v/>
      </c>
      <c r="T1508">
        <f>IMAGE("https://mitra.stanford.edu/kundaje/oak/projects/neuro-variants/variant_position/credible/roussos_2024/variant_figures/roussos_2024.childhood.GABA/rs4785721_profile_position.png",4,220,900)</f>
        <v/>
      </c>
    </row>
    <row r="1509">
      <c r="A1509" t="inlineStr">
        <is>
          <t>chr16</t>
        </is>
      </c>
      <c r="B1509" t="n">
        <v>89775966</v>
      </c>
      <c r="C1509" t="inlineStr">
        <is>
          <t>T</t>
        </is>
      </c>
      <c r="D1509" t="inlineStr">
        <is>
          <t>G</t>
        </is>
      </c>
      <c r="E1509" t="inlineStr">
        <is>
          <t>rs1558184</t>
        </is>
      </c>
      <c r="F1509" t="n">
        <v>-0.007029215</v>
      </c>
      <c r="G1509" t="n">
        <v>0.7277040621685975</v>
      </c>
      <c r="H1509" t="n">
        <v>0.0197082400508801</v>
      </c>
      <c r="I1509" t="n">
        <v>0.08104866935654791</v>
      </c>
      <c r="J1509" t="n">
        <v>0.1606207199849217</v>
      </c>
      <c r="K1509" t="n">
        <v>0.2693126721752212</v>
      </c>
      <c r="L1509" t="b">
        <v>0</v>
      </c>
      <c r="M1509" t="b">
        <v>0</v>
      </c>
      <c r="N1509" t="inlineStr">
        <is>
          <t>ref</t>
        </is>
      </c>
      <c r="O1509" t="n">
        <v>85</v>
      </c>
      <c r="P1509" t="n">
        <v>0.0725</v>
      </c>
      <c r="Q1509" t="n">
        <v>-85</v>
      </c>
      <c r="R1509" t="n">
        <v>0.1501</v>
      </c>
      <c r="S1509">
        <f>IMAGE("https://mitra.stanford.edu/kundaje/oak/projects/neuro-variants/variant_position/credible/roussos_2024/variant_figures/roussos_2024.childhood.GABA/rs1558184_count_position.png",4,220,900)</f>
        <v/>
      </c>
      <c r="T1509">
        <f>IMAGE("https://mitra.stanford.edu/kundaje/oak/projects/neuro-variants/variant_position/credible/roussos_2024/variant_figures/roussos_2024.childhood.GABA/rs1558184_profile_position.png",4,220,900)</f>
        <v/>
      </c>
    </row>
    <row r="1510">
      <c r="A1510" t="inlineStr">
        <is>
          <t>chr16</t>
        </is>
      </c>
      <c r="B1510" t="n">
        <v>89783907</v>
      </c>
      <c r="C1510" t="inlineStr">
        <is>
          <t>G</t>
        </is>
      </c>
      <c r="D1510" t="inlineStr">
        <is>
          <t>A</t>
        </is>
      </c>
      <c r="E1510" t="inlineStr">
        <is>
          <t>rs17232672</t>
        </is>
      </c>
      <c r="F1510" t="n">
        <v>0.086884165</v>
      </c>
      <c r="G1510" t="n">
        <v>0.0475931616594052</v>
      </c>
      <c r="H1510" t="n">
        <v>0.0182700127804495</v>
      </c>
      <c r="I1510" t="n">
        <v>0.1085661864791679</v>
      </c>
      <c r="J1510" t="n">
        <v>0.2531203535004501</v>
      </c>
      <c r="K1510" t="n">
        <v>0.1721724801958661</v>
      </c>
      <c r="L1510" t="b">
        <v>0</v>
      </c>
      <c r="M1510" t="b">
        <v>0</v>
      </c>
      <c r="N1510" t="inlineStr">
        <is>
          <t>alt</t>
        </is>
      </c>
      <c r="O1510" t="n">
        <v>85</v>
      </c>
      <c r="P1510" t="n">
        <v>0.005486</v>
      </c>
      <c r="Q1510" t="n">
        <v>-100</v>
      </c>
      <c r="R1510" t="n">
        <v>0.2268</v>
      </c>
      <c r="S1510">
        <f>IMAGE("https://mitra.stanford.edu/kundaje/oak/projects/neuro-variants/variant_position/credible/roussos_2024/variant_figures/roussos_2024.childhood.GABA/rs17232672_count_position.png",4,220,900)</f>
        <v/>
      </c>
      <c r="T1510">
        <f>IMAGE("https://mitra.stanford.edu/kundaje/oak/projects/neuro-variants/variant_position/credible/roussos_2024/variant_figures/roussos_2024.childhood.GABA/rs17232672_profile_position.png",4,220,900)</f>
        <v/>
      </c>
    </row>
    <row r="1511">
      <c r="A1511" t="inlineStr">
        <is>
          <t>chr16</t>
        </is>
      </c>
      <c r="B1511" t="n">
        <v>89791140</v>
      </c>
      <c r="C1511" t="inlineStr">
        <is>
          <t>A</t>
        </is>
      </c>
      <c r="D1511" t="inlineStr">
        <is>
          <t>G</t>
        </is>
      </c>
      <c r="E1511" t="inlineStr">
        <is>
          <t>rs8045232</t>
        </is>
      </c>
      <c r="F1511" t="n">
        <v>0.08249550999999999</v>
      </c>
      <c r="G1511" t="n">
        <v>0.0451272738756305</v>
      </c>
      <c r="H1511" t="n">
        <v>0.0132600659694634</v>
      </c>
      <c r="I1511" t="n">
        <v>0.3314309375972242</v>
      </c>
      <c r="J1511" t="n">
        <v>0.262506544365563</v>
      </c>
      <c r="K1511" t="n">
        <v>0.1631766313553474</v>
      </c>
      <c r="L1511" t="b">
        <v>0</v>
      </c>
      <c r="M1511" t="b">
        <v>0</v>
      </c>
      <c r="N1511" t="inlineStr">
        <is>
          <t>alt</t>
        </is>
      </c>
      <c r="O1511" t="n">
        <v>-15</v>
      </c>
      <c r="P1511" t="n">
        <v>0.003906</v>
      </c>
      <c r="Q1511" t="n">
        <v>-15</v>
      </c>
      <c r="R1511" t="n">
        <v>0.01489</v>
      </c>
      <c r="S1511">
        <f>IMAGE("https://mitra.stanford.edu/kundaje/oak/projects/neuro-variants/variant_position/credible/roussos_2024/variant_figures/roussos_2024.childhood.GABA/rs8045232_count_position.png",4,220,900)</f>
        <v/>
      </c>
      <c r="T1511">
        <f>IMAGE("https://mitra.stanford.edu/kundaje/oak/projects/neuro-variants/variant_position/credible/roussos_2024/variant_figures/roussos_2024.childhood.GABA/rs8045232_profile_position.png",4,220,900)</f>
        <v/>
      </c>
    </row>
    <row r="1512">
      <c r="A1512" t="inlineStr">
        <is>
          <t>chr16</t>
        </is>
      </c>
      <c r="B1512" t="n">
        <v>89801389</v>
      </c>
      <c r="C1512" t="inlineStr">
        <is>
          <t>A</t>
        </is>
      </c>
      <c r="D1512" t="inlineStr">
        <is>
          <t>G</t>
        </is>
      </c>
      <c r="E1512" t="inlineStr">
        <is>
          <t>rs9938865</t>
        </is>
      </c>
      <c r="F1512" t="n">
        <v>0.0409188664</v>
      </c>
      <c r="G1512" t="n">
        <v>0.1939611978235201</v>
      </c>
      <c r="H1512" t="n">
        <v>0.0143493709523691</v>
      </c>
      <c r="I1512" t="n">
        <v>0.258771361331657</v>
      </c>
      <c r="J1512" t="n">
        <v>0.2098249251324579</v>
      </c>
      <c r="K1512" t="n">
        <v>0.2071811977723788</v>
      </c>
      <c r="L1512" t="b">
        <v>0</v>
      </c>
      <c r="M1512" t="b">
        <v>0</v>
      </c>
      <c r="N1512" t="inlineStr">
        <is>
          <t>alt</t>
        </is>
      </c>
      <c r="O1512" t="n">
        <v>25</v>
      </c>
      <c r="P1512" t="n">
        <v>0.000656</v>
      </c>
      <c r="Q1512" t="n">
        <v>15</v>
      </c>
      <c r="R1512" t="n">
        <v>0.01402</v>
      </c>
      <c r="S1512">
        <f>IMAGE("https://mitra.stanford.edu/kundaje/oak/projects/neuro-variants/variant_position/credible/roussos_2024/variant_figures/roussos_2024.childhood.GABA/rs9938865_count_position.png",4,220,900)</f>
        <v/>
      </c>
      <c r="T1512">
        <f>IMAGE("https://mitra.stanford.edu/kundaje/oak/projects/neuro-variants/variant_position/credible/roussos_2024/variant_figures/roussos_2024.childhood.GABA/rs9938865_profile_position.png",4,220,900)</f>
        <v/>
      </c>
    </row>
    <row r="1513">
      <c r="A1513" t="inlineStr">
        <is>
          <t>chr16</t>
        </is>
      </c>
      <c r="B1513" t="n">
        <v>89806819</v>
      </c>
      <c r="C1513" t="inlineStr">
        <is>
          <t>T</t>
        </is>
      </c>
      <c r="D1513" t="inlineStr">
        <is>
          <t>C</t>
        </is>
      </c>
      <c r="E1513" t="inlineStr">
        <is>
          <t>rs9940552</t>
        </is>
      </c>
      <c r="F1513" t="n">
        <v>-0.00692481202</v>
      </c>
      <c r="G1513" t="n">
        <v>0.7007313847217069</v>
      </c>
      <c r="H1513" t="n">
        <v>0.0086206427435754</v>
      </c>
      <c r="I1513" t="n">
        <v>0.7826508722744719</v>
      </c>
      <c r="J1513" t="n">
        <v>0.2142551988440032</v>
      </c>
      <c r="K1513" t="n">
        <v>0.2029061429754549</v>
      </c>
      <c r="L1513" t="b">
        <v>0</v>
      </c>
      <c r="M1513" t="b">
        <v>0</v>
      </c>
      <c r="N1513" t="inlineStr">
        <is>
          <t>ref</t>
        </is>
      </c>
      <c r="O1513" t="n">
        <v>60</v>
      </c>
      <c r="P1513" t="n">
        <v>0.03082</v>
      </c>
      <c r="Q1513" t="n">
        <v>65</v>
      </c>
      <c r="R1513" t="n">
        <v>0.1583</v>
      </c>
      <c r="S1513">
        <f>IMAGE("https://mitra.stanford.edu/kundaje/oak/projects/neuro-variants/variant_position/credible/roussos_2024/variant_figures/roussos_2024.childhood.GABA/rs9940552_count_position.png",4,220,900)</f>
        <v/>
      </c>
      <c r="T1513">
        <f>IMAGE("https://mitra.stanford.edu/kundaje/oak/projects/neuro-variants/variant_position/credible/roussos_2024/variant_figures/roussos_2024.childhood.GABA/rs9940552_profile_position.png",4,220,900)</f>
        <v/>
      </c>
    </row>
    <row r="1514">
      <c r="A1514" t="inlineStr">
        <is>
          <t>chr16</t>
        </is>
      </c>
      <c r="B1514" t="n">
        <v>89806969</v>
      </c>
      <c r="C1514" t="inlineStr">
        <is>
          <t>G</t>
        </is>
      </c>
      <c r="D1514" t="inlineStr">
        <is>
          <t>A</t>
        </is>
      </c>
      <c r="E1514" t="inlineStr">
        <is>
          <t>rs9927381</t>
        </is>
      </c>
      <c r="F1514" t="n">
        <v>-0.0259514722</v>
      </c>
      <c r="G1514" t="n">
        <v>0.3500586028149161</v>
      </c>
      <c r="H1514" t="n">
        <v>0.0364376378210721</v>
      </c>
      <c r="I1514" t="n">
        <v>0.0054032253434106</v>
      </c>
      <c r="J1514" t="n">
        <v>0.2347856589390797</v>
      </c>
      <c r="K1514" t="n">
        <v>0.1847725218635943</v>
      </c>
      <c r="L1514" t="b">
        <v>1</v>
      </c>
      <c r="M1514" t="b">
        <v>1</v>
      </c>
      <c r="N1514" t="inlineStr">
        <is>
          <t>ref</t>
        </is>
      </c>
      <c r="O1514" t="n">
        <v>100</v>
      </c>
      <c r="P1514" t="n">
        <v>0.007965</v>
      </c>
      <c r="Q1514" t="n">
        <v>-85</v>
      </c>
      <c r="R1514" t="n">
        <v>0.1886</v>
      </c>
      <c r="S1514">
        <f>IMAGE("https://mitra.stanford.edu/kundaje/oak/projects/neuro-variants/variant_position/credible/roussos_2024/variant_figures/roussos_2024.childhood.GABA/rs9927381_count_position.png",4,220,900)</f>
        <v/>
      </c>
      <c r="T1514">
        <f>IMAGE("https://mitra.stanford.edu/kundaje/oak/projects/neuro-variants/variant_position/credible/roussos_2024/variant_figures/roussos_2024.childhood.GABA/rs9927381_profile_position.png",4,220,900)</f>
        <v/>
      </c>
    </row>
    <row r="1515">
      <c r="A1515" t="inlineStr">
        <is>
          <t>chr17</t>
        </is>
      </c>
      <c r="B1515" t="n">
        <v>1342148</v>
      </c>
      <c r="C1515" t="inlineStr">
        <is>
          <t>T</t>
        </is>
      </c>
      <c r="D1515" t="inlineStr">
        <is>
          <t>G</t>
        </is>
      </c>
      <c r="E1515" t="inlineStr">
        <is>
          <t>rs75329315</t>
        </is>
      </c>
      <c r="F1515" t="n">
        <v>-0.0144607693999999</v>
      </c>
      <c r="G1515" t="n">
        <v>0.5226855232666282</v>
      </c>
      <c r="H1515" t="n">
        <v>0.0153283300346814</v>
      </c>
      <c r="I1515" t="n">
        <v>0.2083387219018239</v>
      </c>
      <c r="J1515" t="n">
        <v>0.3233335427530313</v>
      </c>
      <c r="K1515" t="n">
        <v>0.124108901147822</v>
      </c>
      <c r="L1515" t="b">
        <v>0</v>
      </c>
      <c r="M1515" t="b">
        <v>0</v>
      </c>
      <c r="N1515" t="inlineStr">
        <is>
          <t>ref</t>
        </is>
      </c>
      <c r="O1515" t="n">
        <v>-100</v>
      </c>
      <c r="P1515" t="n">
        <v>0.0284</v>
      </c>
      <c r="Q1515" t="n">
        <v>-100</v>
      </c>
      <c r="R1515" t="n">
        <v>0.05182</v>
      </c>
      <c r="S1515">
        <f>IMAGE("https://mitra.stanford.edu/kundaje/oak/projects/neuro-variants/variant_position/credible/roussos_2024/variant_figures/roussos_2024.childhood.GABA/rs75329315_count_position.png",4,220,900)</f>
        <v/>
      </c>
      <c r="T1515">
        <f>IMAGE("https://mitra.stanford.edu/kundaje/oak/projects/neuro-variants/variant_position/credible/roussos_2024/variant_figures/roussos_2024.childhood.GABA/rs75329315_profile_position.png",4,220,900)</f>
        <v/>
      </c>
    </row>
    <row r="1516">
      <c r="A1516" t="inlineStr">
        <is>
          <t>chr17</t>
        </is>
      </c>
      <c r="B1516" t="n">
        <v>2008591</v>
      </c>
      <c r="C1516" t="inlineStr">
        <is>
          <t>G</t>
        </is>
      </c>
      <c r="D1516" t="inlineStr">
        <is>
          <t>A</t>
        </is>
      </c>
      <c r="E1516" t="inlineStr">
        <is>
          <t>rs7225625</t>
        </is>
      </c>
      <c r="F1516" t="n">
        <v>0.0580560533999999</v>
      </c>
      <c r="G1516" t="n">
        <v>0.1114847520875329</v>
      </c>
      <c r="H1516" t="n">
        <v>0.0338434959267692</v>
      </c>
      <c r="I1516" t="n">
        <v>0.0073776797965325</v>
      </c>
      <c r="J1516" t="n">
        <v>0.2638321710540093</v>
      </c>
      <c r="K1516" t="n">
        <v>0.1623500800014064</v>
      </c>
      <c r="L1516" t="b">
        <v>1</v>
      </c>
      <c r="M1516" t="b">
        <v>1</v>
      </c>
      <c r="N1516" t="inlineStr">
        <is>
          <t>alt</t>
        </is>
      </c>
      <c r="O1516" t="n">
        <v>-55</v>
      </c>
      <c r="P1516" t="n">
        <v>0.004673</v>
      </c>
      <c r="Q1516" t="n">
        <v>100</v>
      </c>
      <c r="R1516" t="n">
        <v>0.0648</v>
      </c>
      <c r="S1516">
        <f>IMAGE("https://mitra.stanford.edu/kundaje/oak/projects/neuro-variants/variant_position/credible/roussos_2024/variant_figures/roussos_2024.childhood.GABA/rs7225625_count_position.png",4,220,900)</f>
        <v/>
      </c>
      <c r="T1516">
        <f>IMAGE("https://mitra.stanford.edu/kundaje/oak/projects/neuro-variants/variant_position/credible/roussos_2024/variant_figures/roussos_2024.childhood.GABA/rs7225625_profile_position.png",4,220,900)</f>
        <v/>
      </c>
    </row>
    <row r="1517">
      <c r="A1517" t="inlineStr">
        <is>
          <t>chr17</t>
        </is>
      </c>
      <c r="B1517" t="n">
        <v>2008698</v>
      </c>
      <c r="C1517" t="inlineStr">
        <is>
          <t>T</t>
        </is>
      </c>
      <c r="D1517" t="inlineStr">
        <is>
          <t>C</t>
        </is>
      </c>
      <c r="E1517" t="inlineStr">
        <is>
          <t>rs9906314</t>
        </is>
      </c>
      <c r="F1517" t="n">
        <v>0.09778876359999999</v>
      </c>
      <c r="G1517" t="n">
        <v>0.0297961909162453</v>
      </c>
      <c r="H1517" t="n">
        <v>0.0139192977546229</v>
      </c>
      <c r="I1517" t="n">
        <v>0.2921420500860835</v>
      </c>
      <c r="J1517" t="n">
        <v>0.2661525413080354</v>
      </c>
      <c r="K1517" t="n">
        <v>0.1612645967140113</v>
      </c>
      <c r="L1517" t="b">
        <v>0</v>
      </c>
      <c r="M1517" t="b">
        <v>0</v>
      </c>
      <c r="N1517" t="inlineStr">
        <is>
          <t>alt</t>
        </is>
      </c>
      <c r="O1517" t="n">
        <v>5</v>
      </c>
      <c r="P1517" t="n">
        <v>8.583e-05</v>
      </c>
      <c r="Q1517" t="n">
        <v>30</v>
      </c>
      <c r="R1517" t="n">
        <v>0.01453</v>
      </c>
      <c r="S1517">
        <f>IMAGE("https://mitra.stanford.edu/kundaje/oak/projects/neuro-variants/variant_position/credible/roussos_2024/variant_figures/roussos_2024.childhood.GABA/rs9906314_count_position.png",4,220,900)</f>
        <v/>
      </c>
      <c r="T1517">
        <f>IMAGE("https://mitra.stanford.edu/kundaje/oak/projects/neuro-variants/variant_position/credible/roussos_2024/variant_figures/roussos_2024.childhood.GABA/rs9906314_profile_position.png",4,220,900)</f>
        <v/>
      </c>
    </row>
    <row r="1518">
      <c r="A1518" t="inlineStr">
        <is>
          <t>chr17</t>
        </is>
      </c>
      <c r="B1518" t="n">
        <v>2008993</v>
      </c>
      <c r="C1518" t="inlineStr">
        <is>
          <t>C</t>
        </is>
      </c>
      <c r="D1518" t="inlineStr">
        <is>
          <t>T</t>
        </is>
      </c>
      <c r="E1518" t="inlineStr">
        <is>
          <t>rs59539549</t>
        </is>
      </c>
      <c r="F1518" t="n">
        <v>-0.0170359857999999</v>
      </c>
      <c r="G1518" t="n">
        <v>0.4697396791167541</v>
      </c>
      <c r="H1518" t="n">
        <v>0.0090374433778304</v>
      </c>
      <c r="I1518" t="n">
        <v>0.7397172263963465</v>
      </c>
      <c r="J1518" t="n">
        <v>0.1675137693451446</v>
      </c>
      <c r="K1518" t="n">
        <v>0.260889946753394</v>
      </c>
      <c r="L1518" t="b">
        <v>0</v>
      </c>
      <c r="M1518" t="b">
        <v>0</v>
      </c>
      <c r="N1518" t="inlineStr">
        <is>
          <t>ref</t>
        </is>
      </c>
      <c r="O1518" t="n">
        <v>-80</v>
      </c>
      <c r="P1518" t="n">
        <v>0.003048</v>
      </c>
      <c r="Q1518" t="n">
        <v>65</v>
      </c>
      <c r="R1518" t="n">
        <v>0.03955</v>
      </c>
      <c r="S1518">
        <f>IMAGE("https://mitra.stanford.edu/kundaje/oak/projects/neuro-variants/variant_position/credible/roussos_2024/variant_figures/roussos_2024.childhood.GABA/rs59539549_count_position.png",4,220,900)</f>
        <v/>
      </c>
      <c r="T1518">
        <f>IMAGE("https://mitra.stanford.edu/kundaje/oak/projects/neuro-variants/variant_position/credible/roussos_2024/variant_figures/roussos_2024.childhood.GABA/rs59539549_profile_position.png",4,220,900)</f>
        <v/>
      </c>
    </row>
    <row r="1519">
      <c r="A1519" t="inlineStr">
        <is>
          <t>chr17</t>
        </is>
      </c>
      <c r="B1519" t="n">
        <v>2011265</v>
      </c>
      <c r="C1519" t="inlineStr">
        <is>
          <t>G</t>
        </is>
      </c>
      <c r="D1519" t="inlineStr">
        <is>
          <t>A</t>
        </is>
      </c>
      <c r="E1519" t="inlineStr">
        <is>
          <t>rs73292184</t>
        </is>
      </c>
      <c r="F1519" t="n">
        <v>0.0032748596599999</v>
      </c>
      <c r="G1519" t="n">
        <v>0.7493517678067269</v>
      </c>
      <c r="H1519" t="n">
        <v>0.019037766457313</v>
      </c>
      <c r="I1519" t="n">
        <v>0.0975358121054082</v>
      </c>
      <c r="J1519" t="n">
        <v>0.2534397185399258</v>
      </c>
      <c r="K1519" t="n">
        <v>0.1725909461000152</v>
      </c>
      <c r="L1519" t="b">
        <v>0</v>
      </c>
      <c r="M1519" t="b">
        <v>0</v>
      </c>
      <c r="N1519" t="inlineStr">
        <is>
          <t>alt</t>
        </is>
      </c>
      <c r="O1519" t="n">
        <v>-95</v>
      </c>
      <c r="P1519" t="n">
        <v>0.01074</v>
      </c>
      <c r="Q1519" t="n">
        <v>-55</v>
      </c>
      <c r="R1519" t="n">
        <v>0.0872</v>
      </c>
      <c r="S1519">
        <f>IMAGE("https://mitra.stanford.edu/kundaje/oak/projects/neuro-variants/variant_position/credible/roussos_2024/variant_figures/roussos_2024.childhood.GABA/rs73292184_count_position.png",4,220,900)</f>
        <v/>
      </c>
      <c r="T1519">
        <f>IMAGE("https://mitra.stanford.edu/kundaje/oak/projects/neuro-variants/variant_position/credible/roussos_2024/variant_figures/roussos_2024.childhood.GABA/rs73292184_profile_position.png",4,220,900)</f>
        <v/>
      </c>
    </row>
    <row r="1520">
      <c r="A1520" t="inlineStr">
        <is>
          <t>chr17</t>
        </is>
      </c>
      <c r="B1520" t="n">
        <v>2011464</v>
      </c>
      <c r="C1520" t="inlineStr">
        <is>
          <t>C</t>
        </is>
      </c>
      <c r="D1520" t="inlineStr">
        <is>
          <t>T</t>
        </is>
      </c>
      <c r="E1520" t="inlineStr">
        <is>
          <t>rs12449566</t>
        </is>
      </c>
      <c r="F1520" t="n">
        <v>0.0295227082</v>
      </c>
      <c r="G1520" t="n">
        <v>0.2923933639447314</v>
      </c>
      <c r="H1520" t="n">
        <v>0.0093820939862266</v>
      </c>
      <c r="I1520" t="n">
        <v>0.7020611127730259</v>
      </c>
      <c r="J1520" t="n">
        <v>0.3749481686247408</v>
      </c>
      <c r="K1520" t="n">
        <v>0.0968499630946294</v>
      </c>
      <c r="L1520" t="b">
        <v>0</v>
      </c>
      <c r="M1520" t="b">
        <v>0</v>
      </c>
      <c r="N1520" t="inlineStr">
        <is>
          <t>alt</t>
        </is>
      </c>
      <c r="O1520" t="n">
        <v>-90</v>
      </c>
      <c r="P1520" t="n">
        <v>0.02933</v>
      </c>
      <c r="Q1520" t="n">
        <v>40</v>
      </c>
      <c r="R1520" t="n">
        <v>0.0427</v>
      </c>
      <c r="S1520">
        <f>IMAGE("https://mitra.stanford.edu/kundaje/oak/projects/neuro-variants/variant_position/credible/roussos_2024/variant_figures/roussos_2024.childhood.GABA/rs12449566_count_position.png",4,220,900)</f>
        <v/>
      </c>
      <c r="T1520">
        <f>IMAGE("https://mitra.stanford.edu/kundaje/oak/projects/neuro-variants/variant_position/credible/roussos_2024/variant_figures/roussos_2024.childhood.GABA/rs12449566_profile_position.png",4,220,900)</f>
        <v/>
      </c>
    </row>
    <row r="1521">
      <c r="A1521" t="inlineStr">
        <is>
          <t>chr17</t>
        </is>
      </c>
      <c r="B1521" t="n">
        <v>2011483</v>
      </c>
      <c r="C1521" t="inlineStr">
        <is>
          <t>A</t>
        </is>
      </c>
      <c r="D1521" t="inlineStr">
        <is>
          <t>G</t>
        </is>
      </c>
      <c r="E1521" t="inlineStr">
        <is>
          <t>rs12450430</t>
        </is>
      </c>
      <c r="F1521" t="n">
        <v>-0.0744244246</v>
      </c>
      <c r="G1521" t="n">
        <v>0.0623913555902822</v>
      </c>
      <c r="H1521" t="n">
        <v>0.019359727737191</v>
      </c>
      <c r="I1521" t="n">
        <v>0.0850859707081487</v>
      </c>
      <c r="J1521" t="n">
        <v>0.3763753638667252</v>
      </c>
      <c r="K1521" t="n">
        <v>0.0961985867776893</v>
      </c>
      <c r="L1521" t="b">
        <v>0</v>
      </c>
      <c r="M1521" t="b">
        <v>0</v>
      </c>
      <c r="N1521" t="inlineStr">
        <is>
          <t>ref</t>
        </is>
      </c>
      <c r="O1521" t="n">
        <v>-100</v>
      </c>
      <c r="P1521" t="n">
        <v>0.02481</v>
      </c>
      <c r="Q1521" t="n">
        <v>30</v>
      </c>
      <c r="R1521" t="n">
        <v>0.03238</v>
      </c>
      <c r="S1521">
        <f>IMAGE("https://mitra.stanford.edu/kundaje/oak/projects/neuro-variants/variant_position/credible/roussos_2024/variant_figures/roussos_2024.childhood.GABA/rs12450430_count_position.png",4,220,900)</f>
        <v/>
      </c>
      <c r="T1521">
        <f>IMAGE("https://mitra.stanford.edu/kundaje/oak/projects/neuro-variants/variant_position/credible/roussos_2024/variant_figures/roussos_2024.childhood.GABA/rs12450430_profile_position.png",4,220,900)</f>
        <v/>
      </c>
    </row>
    <row r="1522">
      <c r="A1522" t="inlineStr">
        <is>
          <t>chr17</t>
        </is>
      </c>
      <c r="B1522" t="n">
        <v>2011813</v>
      </c>
      <c r="C1522" t="inlineStr">
        <is>
          <t>C</t>
        </is>
      </c>
      <c r="D1522" t="inlineStr">
        <is>
          <t>T</t>
        </is>
      </c>
      <c r="E1522" t="inlineStr">
        <is>
          <t>rs11078769</t>
        </is>
      </c>
      <c r="F1522" t="n">
        <v>-0.0024141579599999</v>
      </c>
      <c r="G1522" t="n">
        <v>0.6922744304189857</v>
      </c>
      <c r="H1522" t="n">
        <v>0.009323309784942301</v>
      </c>
      <c r="I1522" t="n">
        <v>0.7188343576899863</v>
      </c>
      <c r="J1522" t="n">
        <v>0.513142133149044</v>
      </c>
      <c r="K1522" t="n">
        <v>0.0482608407303922</v>
      </c>
      <c r="L1522" t="b">
        <v>0</v>
      </c>
      <c r="M1522" t="b">
        <v>0</v>
      </c>
      <c r="N1522" t="inlineStr">
        <is>
          <t>ref</t>
        </is>
      </c>
      <c r="O1522" t="n">
        <v>5</v>
      </c>
      <c r="P1522" t="n">
        <v>3.815e-05</v>
      </c>
      <c r="Q1522" t="n">
        <v>100</v>
      </c>
      <c r="R1522" t="n">
        <v>0.0968</v>
      </c>
      <c r="S1522">
        <f>IMAGE("https://mitra.stanford.edu/kundaje/oak/projects/neuro-variants/variant_position/credible/roussos_2024/variant_figures/roussos_2024.childhood.GABA/rs11078769_count_position.png",4,220,900)</f>
        <v/>
      </c>
      <c r="T1522">
        <f>IMAGE("https://mitra.stanford.edu/kundaje/oak/projects/neuro-variants/variant_position/credible/roussos_2024/variant_figures/roussos_2024.childhood.GABA/rs11078769_profile_position.png",4,220,900)</f>
        <v/>
      </c>
    </row>
    <row r="1523">
      <c r="A1523" t="inlineStr">
        <is>
          <t>chr17</t>
        </is>
      </c>
      <c r="B1523" t="n">
        <v>2014316</v>
      </c>
      <c r="C1523" t="inlineStr">
        <is>
          <t>A</t>
        </is>
      </c>
      <c r="D1523" t="inlineStr">
        <is>
          <t>G</t>
        </is>
      </c>
      <c r="E1523" t="inlineStr">
        <is>
          <t>rs4239070</t>
        </is>
      </c>
      <c r="F1523" t="n">
        <v>0.0406181964</v>
      </c>
      <c r="G1523" t="n">
        <v>0.1926903660718546</v>
      </c>
      <c r="H1523" t="n">
        <v>0.0118143269267698</v>
      </c>
      <c r="I1523" t="n">
        <v>0.4504071699637121</v>
      </c>
      <c r="J1523" t="n">
        <v>0.1810433289355196</v>
      </c>
      <c r="K1523" t="n">
        <v>0.2427040529999542</v>
      </c>
      <c r="L1523" t="b">
        <v>0</v>
      </c>
      <c r="M1523" t="b">
        <v>0</v>
      </c>
      <c r="N1523" t="inlineStr">
        <is>
          <t>alt</t>
        </is>
      </c>
      <c r="O1523" t="n">
        <v>-100</v>
      </c>
      <c r="P1523" t="n">
        <v>0.00509</v>
      </c>
      <c r="Q1523" t="n">
        <v>100</v>
      </c>
      <c r="R1523" t="n">
        <v>0.0888</v>
      </c>
      <c r="S1523">
        <f>IMAGE("https://mitra.stanford.edu/kundaje/oak/projects/neuro-variants/variant_position/credible/roussos_2024/variant_figures/roussos_2024.childhood.GABA/rs4239070_count_position.png",4,220,900)</f>
        <v/>
      </c>
      <c r="T1523">
        <f>IMAGE("https://mitra.stanford.edu/kundaje/oak/projects/neuro-variants/variant_position/credible/roussos_2024/variant_figures/roussos_2024.childhood.GABA/rs4239070_profile_position.png",4,220,900)</f>
        <v/>
      </c>
    </row>
    <row r="1524">
      <c r="A1524" t="inlineStr">
        <is>
          <t>chr17</t>
        </is>
      </c>
      <c r="B1524" t="n">
        <v>2016777</v>
      </c>
      <c r="C1524" t="inlineStr">
        <is>
          <t>G</t>
        </is>
      </c>
      <c r="D1524" t="inlineStr">
        <is>
          <t>A</t>
        </is>
      </c>
      <c r="E1524" t="inlineStr">
        <is>
          <t>rs4467122</t>
        </is>
      </c>
      <c r="F1524" t="n">
        <v>0.0336213028</v>
      </c>
      <c r="G1524" t="n">
        <v>0.2538492057699552</v>
      </c>
      <c r="H1524" t="n">
        <v>0.0128675818654419</v>
      </c>
      <c r="I1524" t="n">
        <v>0.3534005196256389</v>
      </c>
      <c r="J1524" t="n">
        <v>0.5007758999811522</v>
      </c>
      <c r="K1524" t="n">
        <v>0.0506725106979245</v>
      </c>
      <c r="L1524" t="b">
        <v>0</v>
      </c>
      <c r="M1524" t="b">
        <v>0</v>
      </c>
      <c r="N1524" t="inlineStr">
        <is>
          <t>alt</t>
        </is>
      </c>
      <c r="O1524" t="n">
        <v>-25</v>
      </c>
      <c r="P1524" t="n">
        <v>0.005814</v>
      </c>
      <c r="Q1524" t="n">
        <v>-30</v>
      </c>
      <c r="R1524" t="n">
        <v>0.09229999999999999</v>
      </c>
      <c r="S1524">
        <f>IMAGE("https://mitra.stanford.edu/kundaje/oak/projects/neuro-variants/variant_position/credible/roussos_2024/variant_figures/roussos_2024.childhood.GABA/rs4467122_count_position.png",4,220,900)</f>
        <v/>
      </c>
      <c r="T1524">
        <f>IMAGE("https://mitra.stanford.edu/kundaje/oak/projects/neuro-variants/variant_position/credible/roussos_2024/variant_figures/roussos_2024.childhood.GABA/rs4467122_profile_position.png",4,220,900)</f>
        <v/>
      </c>
    </row>
    <row r="1525">
      <c r="A1525" t="inlineStr">
        <is>
          <t>chr17</t>
        </is>
      </c>
      <c r="B1525" t="n">
        <v>2023847</v>
      </c>
      <c r="C1525" t="inlineStr">
        <is>
          <t>C</t>
        </is>
      </c>
      <c r="D1525" t="inlineStr">
        <is>
          <t>T</t>
        </is>
      </c>
      <c r="E1525" t="inlineStr">
        <is>
          <t>rs4530175</t>
        </is>
      </c>
      <c r="F1525" t="n">
        <v>-0.0160952266872</v>
      </c>
      <c r="G1525" t="n">
        <v>0.5259892623669967</v>
      </c>
      <c r="H1525" t="n">
        <v>0.0187877826787787</v>
      </c>
      <c r="I1525" t="n">
        <v>0.09651396739064259</v>
      </c>
      <c r="J1525" t="n">
        <v>0.8843647253460659</v>
      </c>
      <c r="K1525" t="n">
        <v>0.0023803101923778</v>
      </c>
      <c r="L1525" t="b">
        <v>0</v>
      </c>
      <c r="M1525" t="b">
        <v>0</v>
      </c>
      <c r="N1525" t="inlineStr">
        <is>
          <t>ref</t>
        </is>
      </c>
      <c r="O1525" t="n">
        <v>55</v>
      </c>
      <c r="P1525" t="n">
        <v>0.01611</v>
      </c>
      <c r="Q1525" t="n">
        <v>40</v>
      </c>
      <c r="R1525" t="n">
        <v>0.0896</v>
      </c>
      <c r="S1525">
        <f>IMAGE("https://mitra.stanford.edu/kundaje/oak/projects/neuro-variants/variant_position/credible/roussos_2024/variant_figures/roussos_2024.childhood.GABA/rs4530175_count_position.png",4,220,900)</f>
        <v/>
      </c>
      <c r="T1525">
        <f>IMAGE("https://mitra.stanford.edu/kundaje/oak/projects/neuro-variants/variant_position/credible/roussos_2024/variant_figures/roussos_2024.childhood.GABA/rs4530175_profile_position.png",4,220,900)</f>
        <v/>
      </c>
    </row>
    <row r="1526">
      <c r="A1526" t="inlineStr">
        <is>
          <t>chr17</t>
        </is>
      </c>
      <c r="B1526" t="n">
        <v>2028408</v>
      </c>
      <c r="C1526" t="inlineStr">
        <is>
          <t>T</t>
        </is>
      </c>
      <c r="D1526" t="inlineStr">
        <is>
          <t>G</t>
        </is>
      </c>
      <c r="E1526" t="inlineStr">
        <is>
          <t>rs7207749</t>
        </is>
      </c>
      <c r="F1526" t="n">
        <v>0.0647587238</v>
      </c>
      <c r="G1526" t="n">
        <v>0.0981254049635147</v>
      </c>
      <c r="H1526" t="n">
        <v>0.0136656107461502</v>
      </c>
      <c r="I1526" t="n">
        <v>0.2993996932210298</v>
      </c>
      <c r="J1526" t="n">
        <v>0.5118772381730226</v>
      </c>
      <c r="K1526" t="n">
        <v>0.0482978946730301</v>
      </c>
      <c r="L1526" t="b">
        <v>0</v>
      </c>
      <c r="M1526" t="b">
        <v>0</v>
      </c>
      <c r="N1526" t="inlineStr">
        <is>
          <t>alt</t>
        </is>
      </c>
      <c r="O1526" t="n">
        <v>100</v>
      </c>
      <c r="P1526" t="n">
        <v>0.001278</v>
      </c>
      <c r="Q1526" t="n">
        <v>55</v>
      </c>
      <c r="R1526" t="n">
        <v>0.05505</v>
      </c>
      <c r="S1526">
        <f>IMAGE("https://mitra.stanford.edu/kundaje/oak/projects/neuro-variants/variant_position/credible/roussos_2024/variant_figures/roussos_2024.childhood.GABA/rs7207749_count_position.png",4,220,900)</f>
        <v/>
      </c>
      <c r="T1526">
        <f>IMAGE("https://mitra.stanford.edu/kundaje/oak/projects/neuro-variants/variant_position/credible/roussos_2024/variant_figures/roussos_2024.childhood.GABA/rs7207749_profile_position.png",4,220,900)</f>
        <v/>
      </c>
    </row>
    <row r="1527">
      <c r="A1527" t="inlineStr">
        <is>
          <t>chr17</t>
        </is>
      </c>
      <c r="B1527" t="n">
        <v>2028568</v>
      </c>
      <c r="C1527" t="inlineStr">
        <is>
          <t>A</t>
        </is>
      </c>
      <c r="D1527" t="inlineStr">
        <is>
          <t>G</t>
        </is>
      </c>
      <c r="E1527" t="inlineStr">
        <is>
          <t>rs7222716</t>
        </is>
      </c>
      <c r="F1527" t="n">
        <v>0.0199329484</v>
      </c>
      <c r="G1527" t="n">
        <v>0.4015140507858014</v>
      </c>
      <c r="H1527" t="n">
        <v>0.0106864815466409</v>
      </c>
      <c r="I1527" t="n">
        <v>0.5671630004469121</v>
      </c>
      <c r="J1527" t="n">
        <v>0.4910734853720341</v>
      </c>
      <c r="K1527" t="n">
        <v>0.0534640572172198</v>
      </c>
      <c r="L1527" t="b">
        <v>0</v>
      </c>
      <c r="M1527" t="b">
        <v>0</v>
      </c>
      <c r="N1527" t="inlineStr">
        <is>
          <t>alt</t>
        </is>
      </c>
      <c r="O1527" t="n">
        <v>35</v>
      </c>
      <c r="P1527" t="n">
        <v>0.00264</v>
      </c>
      <c r="Q1527" t="n">
        <v>-100</v>
      </c>
      <c r="R1527" t="n">
        <v>0.042</v>
      </c>
      <c r="S1527">
        <f>IMAGE("https://mitra.stanford.edu/kundaje/oak/projects/neuro-variants/variant_position/credible/roussos_2024/variant_figures/roussos_2024.childhood.GABA/rs7222716_count_position.png",4,220,900)</f>
        <v/>
      </c>
      <c r="T1527">
        <f>IMAGE("https://mitra.stanford.edu/kundaje/oak/projects/neuro-variants/variant_position/credible/roussos_2024/variant_figures/roussos_2024.childhood.GABA/rs7222716_profile_position.png",4,220,900)</f>
        <v/>
      </c>
    </row>
    <row r="1528">
      <c r="A1528" t="inlineStr">
        <is>
          <t>chr17</t>
        </is>
      </c>
      <c r="B1528" t="n">
        <v>2028599</v>
      </c>
      <c r="C1528" t="inlineStr">
        <is>
          <t>A</t>
        </is>
      </c>
      <c r="D1528" t="inlineStr">
        <is>
          <t>G</t>
        </is>
      </c>
      <c r="E1528" t="inlineStr">
        <is>
          <t>rs7222728</t>
        </is>
      </c>
      <c r="F1528" t="n">
        <v>0.0693597626</v>
      </c>
      <c r="G1528" t="n">
        <v>0.06748187152455069</v>
      </c>
      <c r="H1528" t="n">
        <v>0.0157041090450158</v>
      </c>
      <c r="I1528" t="n">
        <v>0.2005964483573456</v>
      </c>
      <c r="J1528" t="n">
        <v>0.5023025695796947</v>
      </c>
      <c r="K1528" t="n">
        <v>0.0502876990742472</v>
      </c>
      <c r="L1528" t="b">
        <v>0</v>
      </c>
      <c r="M1528" t="b">
        <v>0</v>
      </c>
      <c r="N1528" t="inlineStr">
        <is>
          <t>alt</t>
        </is>
      </c>
      <c r="O1528" t="n">
        <v>5</v>
      </c>
      <c r="P1528" t="n">
        <v>0.000519</v>
      </c>
      <c r="Q1528" t="n">
        <v>-60</v>
      </c>
      <c r="R1528" t="n">
        <v>0.0525</v>
      </c>
      <c r="S1528">
        <f>IMAGE("https://mitra.stanford.edu/kundaje/oak/projects/neuro-variants/variant_position/credible/roussos_2024/variant_figures/roussos_2024.childhood.GABA/rs7222728_count_position.png",4,220,900)</f>
        <v/>
      </c>
      <c r="T1528">
        <f>IMAGE("https://mitra.stanford.edu/kundaje/oak/projects/neuro-variants/variant_position/credible/roussos_2024/variant_figures/roussos_2024.childhood.GABA/rs7222728_profile_position.png",4,220,900)</f>
        <v/>
      </c>
    </row>
    <row r="1529">
      <c r="A1529" t="inlineStr">
        <is>
          <t>chr17</t>
        </is>
      </c>
      <c r="B1529" t="n">
        <v>2061791</v>
      </c>
      <c r="C1529" t="inlineStr">
        <is>
          <t>C</t>
        </is>
      </c>
      <c r="D1529" t="inlineStr">
        <is>
          <t>T</t>
        </is>
      </c>
      <c r="E1529" t="inlineStr">
        <is>
          <t>rs7214308</t>
        </is>
      </c>
      <c r="F1529" t="n">
        <v>-0.01493908434</v>
      </c>
      <c r="G1529" t="n">
        <v>0.5428697746481851</v>
      </c>
      <c r="H1529" t="n">
        <v>0.0131470136847654</v>
      </c>
      <c r="I1529" t="n">
        <v>0.3301558141491604</v>
      </c>
      <c r="J1529" t="n">
        <v>0.6073914682415028</v>
      </c>
      <c r="K1529" t="n">
        <v>0.0278801689977888</v>
      </c>
      <c r="L1529" t="b">
        <v>0</v>
      </c>
      <c r="M1529" t="b">
        <v>0</v>
      </c>
      <c r="N1529" t="inlineStr">
        <is>
          <t>ref</t>
        </is>
      </c>
      <c r="O1529" t="n">
        <v>-100</v>
      </c>
      <c r="P1529" t="n">
        <v>0.03833</v>
      </c>
      <c r="Q1529" t="n">
        <v>-100</v>
      </c>
      <c r="R1529" t="n">
        <v>0.3354</v>
      </c>
      <c r="S1529">
        <f>IMAGE("https://mitra.stanford.edu/kundaje/oak/projects/neuro-variants/variant_position/credible/roussos_2024/variant_figures/roussos_2024.childhood.GABA/rs7214308_count_position.png",4,220,900)</f>
        <v/>
      </c>
      <c r="T1529">
        <f>IMAGE("https://mitra.stanford.edu/kundaje/oak/projects/neuro-variants/variant_position/credible/roussos_2024/variant_figures/roussos_2024.childhood.GABA/rs7214308_profile_position.png",4,220,900)</f>
        <v/>
      </c>
    </row>
    <row r="1530">
      <c r="A1530" t="inlineStr">
        <is>
          <t>chr17</t>
        </is>
      </c>
      <c r="B1530" t="n">
        <v>2061802</v>
      </c>
      <c r="C1530" t="inlineStr">
        <is>
          <t>C</t>
        </is>
      </c>
      <c r="D1530" t="inlineStr">
        <is>
          <t>T</t>
        </is>
      </c>
      <c r="E1530" t="inlineStr">
        <is>
          <t>rs12939002</t>
        </is>
      </c>
      <c r="F1530" t="n">
        <v>-0.009071908</v>
      </c>
      <c r="G1530" t="n">
        <v>0.6141034735298507</v>
      </c>
      <c r="H1530" t="n">
        <v>0.0110620891928649</v>
      </c>
      <c r="I1530" t="n">
        <v>0.5141471357247034</v>
      </c>
      <c r="J1530" t="n">
        <v>0.604190488157316</v>
      </c>
      <c r="K1530" t="n">
        <v>0.0284532422280835</v>
      </c>
      <c r="L1530" t="b">
        <v>0</v>
      </c>
      <c r="M1530" t="b">
        <v>0</v>
      </c>
      <c r="N1530" t="inlineStr">
        <is>
          <t>ref</t>
        </is>
      </c>
      <c r="O1530" t="n">
        <v>-100</v>
      </c>
      <c r="P1530" t="n">
        <v>0.03378</v>
      </c>
      <c r="Q1530" t="n">
        <v>-95</v>
      </c>
      <c r="R1530" t="n">
        <v>0.3018</v>
      </c>
      <c r="S1530">
        <f>IMAGE("https://mitra.stanford.edu/kundaje/oak/projects/neuro-variants/variant_position/credible/roussos_2024/variant_figures/roussos_2024.childhood.GABA/rs12939002_count_position.png",4,220,900)</f>
        <v/>
      </c>
      <c r="T1530">
        <f>IMAGE("https://mitra.stanford.edu/kundaje/oak/projects/neuro-variants/variant_position/credible/roussos_2024/variant_figures/roussos_2024.childhood.GABA/rs12939002_profile_position.png",4,220,900)</f>
        <v/>
      </c>
    </row>
    <row r="1531">
      <c r="A1531" t="inlineStr">
        <is>
          <t>chr17</t>
        </is>
      </c>
      <c r="B1531" t="n">
        <v>2099914</v>
      </c>
      <c r="C1531" t="inlineStr">
        <is>
          <t>G</t>
        </is>
      </c>
      <c r="D1531" t="inlineStr">
        <is>
          <t>A</t>
        </is>
      </c>
      <c r="E1531" t="inlineStr">
        <is>
          <t>rs6503245</t>
        </is>
      </c>
      <c r="F1531" t="n">
        <v>0.0280338919999999</v>
      </c>
      <c r="G1531" t="n">
        <v>0.3100518745567951</v>
      </c>
      <c r="H1531" t="n">
        <v>0.0148745173821533</v>
      </c>
      <c r="I1531" t="n">
        <v>0.2289708327137194</v>
      </c>
      <c r="J1531" t="n">
        <v>0.2034596134112374</v>
      </c>
      <c r="K1531" t="n">
        <v>0.2101979340568531</v>
      </c>
      <c r="L1531" t="b">
        <v>0</v>
      </c>
      <c r="M1531" t="b">
        <v>0</v>
      </c>
      <c r="N1531" t="inlineStr">
        <is>
          <t>alt</t>
        </is>
      </c>
      <c r="O1531" t="n">
        <v>10</v>
      </c>
      <c r="P1531" t="n">
        <v>0.01288</v>
      </c>
      <c r="Q1531" t="n">
        <v>-100</v>
      </c>
      <c r="R1531" t="n">
        <v>0.3267</v>
      </c>
      <c r="S1531">
        <f>IMAGE("https://mitra.stanford.edu/kundaje/oak/projects/neuro-variants/variant_position/credible/roussos_2024/variant_figures/roussos_2024.childhood.GABA/rs6503245_count_position.png",4,220,900)</f>
        <v/>
      </c>
      <c r="T1531">
        <f>IMAGE("https://mitra.stanford.edu/kundaje/oak/projects/neuro-variants/variant_position/credible/roussos_2024/variant_figures/roussos_2024.childhood.GABA/rs6503245_profile_position.png",4,220,900)</f>
        <v/>
      </c>
    </row>
    <row r="1532">
      <c r="A1532" t="inlineStr">
        <is>
          <t>chr17</t>
        </is>
      </c>
      <c r="B1532" t="n">
        <v>2107303</v>
      </c>
      <c r="C1532" t="inlineStr">
        <is>
          <t>T</t>
        </is>
      </c>
      <c r="D1532" t="inlineStr">
        <is>
          <t>C</t>
        </is>
      </c>
      <c r="E1532" t="inlineStr">
        <is>
          <t>rs8082647</t>
        </is>
      </c>
      <c r="F1532" t="n">
        <v>0.0566868398</v>
      </c>
      <c r="G1532" t="n">
        <v>0.1117044790963992</v>
      </c>
      <c r="H1532" t="n">
        <v>0.0113130677000502</v>
      </c>
      <c r="I1532" t="n">
        <v>0.4900175813589513</v>
      </c>
      <c r="J1532" t="n">
        <v>0.1671598500554961</v>
      </c>
      <c r="K1532" t="n">
        <v>0.253459071314098</v>
      </c>
      <c r="L1532" t="b">
        <v>0</v>
      </c>
      <c r="M1532" t="b">
        <v>0</v>
      </c>
      <c r="N1532" t="inlineStr">
        <is>
          <t>alt</t>
        </is>
      </c>
      <c r="O1532" t="n">
        <v>60</v>
      </c>
      <c r="P1532" t="n">
        <v>0.003937</v>
      </c>
      <c r="Q1532" t="n">
        <v>40</v>
      </c>
      <c r="R1532" t="n">
        <v>0.00525</v>
      </c>
      <c r="S1532">
        <f>IMAGE("https://mitra.stanford.edu/kundaje/oak/projects/neuro-variants/variant_position/credible/roussos_2024/variant_figures/roussos_2024.childhood.GABA/rs8082647_count_position.png",4,220,900)</f>
        <v/>
      </c>
      <c r="T1532">
        <f>IMAGE("https://mitra.stanford.edu/kundaje/oak/projects/neuro-variants/variant_position/credible/roussos_2024/variant_figures/roussos_2024.childhood.GABA/rs8082647_profile_position.png",4,220,900)</f>
        <v/>
      </c>
    </row>
    <row r="1533">
      <c r="A1533" t="inlineStr">
        <is>
          <t>chr17</t>
        </is>
      </c>
      <c r="B1533" t="n">
        <v>2115743</v>
      </c>
      <c r="C1533" t="inlineStr">
        <is>
          <t>A</t>
        </is>
      </c>
      <c r="D1533" t="inlineStr">
        <is>
          <t>G</t>
        </is>
      </c>
      <c r="E1533" t="inlineStr">
        <is>
          <t>rs2760742</t>
        </is>
      </c>
      <c r="F1533" t="n">
        <v>-0.0068843364399999</v>
      </c>
      <c r="G1533" t="n">
        <v>0.632264639240177</v>
      </c>
      <c r="H1533" t="n">
        <v>0.0110033726553559</v>
      </c>
      <c r="I1533" t="n">
        <v>0.5356523309216301</v>
      </c>
      <c r="J1533" t="n">
        <v>0.0066679231848547</v>
      </c>
      <c r="K1533" t="n">
        <v>0.7854690316066146</v>
      </c>
      <c r="L1533" t="b">
        <v>0</v>
      </c>
      <c r="M1533" t="b">
        <v>0</v>
      </c>
      <c r="N1533" t="inlineStr">
        <is>
          <t>ref</t>
        </is>
      </c>
      <c r="O1533" t="n">
        <v>-95</v>
      </c>
      <c r="P1533" t="n">
        <v>0.003456</v>
      </c>
      <c r="Q1533" t="n">
        <v>95</v>
      </c>
      <c r="R1533" t="n">
        <v>0.04398</v>
      </c>
      <c r="S1533">
        <f>IMAGE("https://mitra.stanford.edu/kundaje/oak/projects/neuro-variants/variant_position/credible/roussos_2024/variant_figures/roussos_2024.childhood.GABA/rs2760742_count_position.png",4,220,900)</f>
        <v/>
      </c>
      <c r="T1533">
        <f>IMAGE("https://mitra.stanford.edu/kundaje/oak/projects/neuro-variants/variant_position/credible/roussos_2024/variant_figures/roussos_2024.childhood.GABA/rs2760742_profile_position.png",4,220,900)</f>
        <v/>
      </c>
    </row>
    <row r="1534">
      <c r="A1534" t="inlineStr">
        <is>
          <t>chr17</t>
        </is>
      </c>
      <c r="B1534" t="n">
        <v>2124812</v>
      </c>
      <c r="C1534" t="inlineStr">
        <is>
          <t>A</t>
        </is>
      </c>
      <c r="D1534" t="inlineStr">
        <is>
          <t>G</t>
        </is>
      </c>
      <c r="E1534" t="inlineStr">
        <is>
          <t>rs2760751</t>
        </is>
      </c>
      <c r="F1534" t="n">
        <v>0.0391031212</v>
      </c>
      <c r="G1534" t="n">
        <v>0.2051152822106442</v>
      </c>
      <c r="H1534" t="n">
        <v>0.0110383054832086</v>
      </c>
      <c r="I1534" t="n">
        <v>0.5193766389423846</v>
      </c>
      <c r="J1534" t="n">
        <v>0.3396232539632677</v>
      </c>
      <c r="K1534" t="n">
        <v>0.1160444304845591</v>
      </c>
      <c r="L1534" t="b">
        <v>0</v>
      </c>
      <c r="M1534" t="b">
        <v>0</v>
      </c>
      <c r="N1534" t="inlineStr">
        <is>
          <t>alt</t>
        </is>
      </c>
      <c r="O1534" t="n">
        <v>90</v>
      </c>
      <c r="P1534" t="n">
        <v>0.0163</v>
      </c>
      <c r="Q1534" t="n">
        <v>-5</v>
      </c>
      <c r="R1534" t="n">
        <v>0.003052</v>
      </c>
      <c r="S1534">
        <f>IMAGE("https://mitra.stanford.edu/kundaje/oak/projects/neuro-variants/variant_position/credible/roussos_2024/variant_figures/roussos_2024.childhood.GABA/rs2760751_count_position.png",4,220,900)</f>
        <v/>
      </c>
      <c r="T1534">
        <f>IMAGE("https://mitra.stanford.edu/kundaje/oak/projects/neuro-variants/variant_position/credible/roussos_2024/variant_figures/roussos_2024.childhood.GABA/rs2760751_profile_position.png",4,220,900)</f>
        <v/>
      </c>
    </row>
    <row r="1535">
      <c r="A1535" t="inlineStr">
        <is>
          <t>chr17</t>
        </is>
      </c>
      <c r="B1535" t="n">
        <v>2126940</v>
      </c>
      <c r="C1535" t="inlineStr">
        <is>
          <t>G</t>
        </is>
      </c>
      <c r="D1535" t="inlineStr">
        <is>
          <t>A</t>
        </is>
      </c>
      <c r="E1535" t="inlineStr">
        <is>
          <t>rs8067895</t>
        </is>
      </c>
      <c r="F1535" t="n">
        <v>-0.1218215404</v>
      </c>
      <c r="G1535" t="n">
        <v>0.0252281031912923</v>
      </c>
      <c r="H1535" t="n">
        <v>0.0198246876239041</v>
      </c>
      <c r="I1535" t="n">
        <v>0.0804306711844653</v>
      </c>
      <c r="J1535" t="n">
        <v>0.1261816506460597</v>
      </c>
      <c r="K1535" t="n">
        <v>0.3284883381139468</v>
      </c>
      <c r="L1535" t="b">
        <v>0</v>
      </c>
      <c r="M1535" t="b">
        <v>0</v>
      </c>
      <c r="N1535" t="inlineStr">
        <is>
          <t>ref</t>
        </is>
      </c>
      <c r="O1535" t="n">
        <v>100</v>
      </c>
      <c r="P1535" t="n">
        <v>0.10455</v>
      </c>
      <c r="Q1535" t="n">
        <v>80</v>
      </c>
      <c r="R1535" t="n">
        <v>0.05505</v>
      </c>
      <c r="S1535">
        <f>IMAGE("https://mitra.stanford.edu/kundaje/oak/projects/neuro-variants/variant_position/credible/roussos_2024/variant_figures/roussos_2024.childhood.GABA/rs8067895_count_position.png",4,220,900)</f>
        <v/>
      </c>
      <c r="T1535">
        <f>IMAGE("https://mitra.stanford.edu/kundaje/oak/projects/neuro-variants/variant_position/credible/roussos_2024/variant_figures/roussos_2024.childhood.GABA/rs8067895_profile_position.png",4,220,900)</f>
        <v/>
      </c>
    </row>
    <row r="1536">
      <c r="A1536" t="inlineStr">
        <is>
          <t>chr17</t>
        </is>
      </c>
      <c r="B1536" t="n">
        <v>2133359</v>
      </c>
      <c r="C1536" t="inlineStr">
        <is>
          <t>A</t>
        </is>
      </c>
      <c r="D1536" t="inlineStr">
        <is>
          <t>G</t>
        </is>
      </c>
      <c r="E1536" t="inlineStr">
        <is>
          <t>rs2760736</t>
        </is>
      </c>
      <c r="F1536" t="n">
        <v>0.0341642934</v>
      </c>
      <c r="G1536" t="n">
        <v>0.2490866934604139</v>
      </c>
      <c r="H1536" t="n">
        <v>0.0111919975182437</v>
      </c>
      <c r="I1536" t="n">
        <v>0.5184524943458844</v>
      </c>
      <c r="J1536" t="n">
        <v>0.1186362589265145</v>
      </c>
      <c r="K1536" t="n">
        <v>0.3330809741721703</v>
      </c>
      <c r="L1536" t="b">
        <v>0</v>
      </c>
      <c r="M1536" t="b">
        <v>0</v>
      </c>
      <c r="N1536" t="inlineStr">
        <is>
          <t>alt</t>
        </is>
      </c>
      <c r="O1536" t="n">
        <v>-95</v>
      </c>
      <c r="P1536" t="n">
        <v>0.0254</v>
      </c>
      <c r="Q1536" t="n">
        <v>-65</v>
      </c>
      <c r="R1536" t="n">
        <v>0.2493</v>
      </c>
      <c r="S1536">
        <f>IMAGE("https://mitra.stanford.edu/kundaje/oak/projects/neuro-variants/variant_position/credible/roussos_2024/variant_figures/roussos_2024.childhood.GABA/rs2760736_count_position.png",4,220,900)</f>
        <v/>
      </c>
      <c r="T1536">
        <f>IMAGE("https://mitra.stanford.edu/kundaje/oak/projects/neuro-variants/variant_position/credible/roussos_2024/variant_figures/roussos_2024.childhood.GABA/rs2760736_profile_position.png",4,220,900)</f>
        <v/>
      </c>
    </row>
    <row r="1537">
      <c r="A1537" t="inlineStr">
        <is>
          <t>chr17</t>
        </is>
      </c>
      <c r="B1537" t="n">
        <v>2149410</v>
      </c>
      <c r="C1537" t="inlineStr">
        <is>
          <t>C</t>
        </is>
      </c>
      <c r="D1537" t="inlineStr">
        <is>
          <t>T</t>
        </is>
      </c>
      <c r="E1537" t="inlineStr">
        <is>
          <t>rs6503302</t>
        </is>
      </c>
      <c r="F1537" t="n">
        <v>0.00731357358</v>
      </c>
      <c r="G1537" t="n">
        <v>0.6975361910923246</v>
      </c>
      <c r="H1537" t="n">
        <v>0.0160803781906766</v>
      </c>
      <c r="I1537" t="n">
        <v>0.175418529562757</v>
      </c>
      <c r="J1537" t="n">
        <v>0.0497047182257962</v>
      </c>
      <c r="K1537" t="n">
        <v>0.5038956465761326</v>
      </c>
      <c r="L1537" t="b">
        <v>0</v>
      </c>
      <c r="M1537" t="b">
        <v>0</v>
      </c>
      <c r="N1537" t="inlineStr">
        <is>
          <t>alt</t>
        </is>
      </c>
      <c r="O1537" t="n">
        <v>-100</v>
      </c>
      <c r="P1537" t="n">
        <v>0.01746</v>
      </c>
      <c r="Q1537" t="n">
        <v>-100</v>
      </c>
      <c r="R1537" t="n">
        <v>0.02856</v>
      </c>
      <c r="S1537">
        <f>IMAGE("https://mitra.stanford.edu/kundaje/oak/projects/neuro-variants/variant_position/credible/roussos_2024/variant_figures/roussos_2024.childhood.GABA/rs6503302_count_position.png",4,220,900)</f>
        <v/>
      </c>
      <c r="T1537">
        <f>IMAGE("https://mitra.stanford.edu/kundaje/oak/projects/neuro-variants/variant_position/credible/roussos_2024/variant_figures/roussos_2024.childhood.GABA/rs6503302_profile_position.png",4,220,900)</f>
        <v/>
      </c>
    </row>
    <row r="1538">
      <c r="A1538" t="inlineStr">
        <is>
          <t>chr17</t>
        </is>
      </c>
      <c r="B1538" t="n">
        <v>2178125</v>
      </c>
      <c r="C1538" t="inlineStr">
        <is>
          <t>G</t>
        </is>
      </c>
      <c r="D1538" t="inlineStr">
        <is>
          <t>A</t>
        </is>
      </c>
      <c r="E1538" t="inlineStr">
        <is>
          <t>rs9910413</t>
        </is>
      </c>
      <c r="F1538" t="n">
        <v>0.0135894682</v>
      </c>
      <c r="G1538" t="n">
        <v>0.5389523846547087</v>
      </c>
      <c r="H1538" t="n">
        <v>0.008939372179123</v>
      </c>
      <c r="I1538" t="n">
        <v>0.7424483096352971</v>
      </c>
      <c r="J1538" t="n">
        <v>0.2463812276182697</v>
      </c>
      <c r="K1538" t="n">
        <v>0.1747884575807338</v>
      </c>
      <c r="L1538" t="b">
        <v>0</v>
      </c>
      <c r="M1538" t="b">
        <v>0</v>
      </c>
      <c r="N1538" t="inlineStr">
        <is>
          <t>alt</t>
        </is>
      </c>
      <c r="O1538" t="n">
        <v>-100</v>
      </c>
      <c r="P1538" t="n">
        <v>0.009209999999999999</v>
      </c>
      <c r="Q1538" t="n">
        <v>-10</v>
      </c>
      <c r="R1538" t="n">
        <v>0.00653</v>
      </c>
      <c r="S1538">
        <f>IMAGE("https://mitra.stanford.edu/kundaje/oak/projects/neuro-variants/variant_position/credible/roussos_2024/variant_figures/roussos_2024.childhood.GABA/rs9910413_count_position.png",4,220,900)</f>
        <v/>
      </c>
      <c r="T1538">
        <f>IMAGE("https://mitra.stanford.edu/kundaje/oak/projects/neuro-variants/variant_position/credible/roussos_2024/variant_figures/roussos_2024.childhood.GABA/rs9910413_profile_position.png",4,220,900)</f>
        <v/>
      </c>
    </row>
    <row r="1539">
      <c r="A1539" t="inlineStr">
        <is>
          <t>chr17</t>
        </is>
      </c>
      <c r="B1539" t="n">
        <v>2182304</v>
      </c>
      <c r="C1539" t="inlineStr">
        <is>
          <t>G</t>
        </is>
      </c>
      <c r="D1539" t="inlineStr">
        <is>
          <t>A</t>
        </is>
      </c>
      <c r="E1539" t="inlineStr">
        <is>
          <t>rs7214741</t>
        </is>
      </c>
      <c r="F1539" t="n">
        <v>-0.06871933700000001</v>
      </c>
      <c r="G1539" t="n">
        <v>0.0753524174186903</v>
      </c>
      <c r="H1539" t="n">
        <v>0.009375363840369799</v>
      </c>
      <c r="I1539" t="n">
        <v>0.7069068922497</v>
      </c>
      <c r="J1539" t="n">
        <v>0.4833699817804863</v>
      </c>
      <c r="K1539" t="n">
        <v>0.0567386645171615</v>
      </c>
      <c r="L1539" t="b">
        <v>0</v>
      </c>
      <c r="M1539" t="b">
        <v>0</v>
      </c>
      <c r="N1539" t="inlineStr">
        <is>
          <t>ref</t>
        </is>
      </c>
      <c r="O1539" t="n">
        <v>-50</v>
      </c>
      <c r="P1539" t="n">
        <v>0.00751</v>
      </c>
      <c r="Q1539" t="n">
        <v>10</v>
      </c>
      <c r="R1539" t="n">
        <v>0.01807</v>
      </c>
      <c r="S1539">
        <f>IMAGE("https://mitra.stanford.edu/kundaje/oak/projects/neuro-variants/variant_position/credible/roussos_2024/variant_figures/roussos_2024.childhood.GABA/rs7214741_count_position.png",4,220,900)</f>
        <v/>
      </c>
      <c r="T1539">
        <f>IMAGE("https://mitra.stanford.edu/kundaje/oak/projects/neuro-variants/variant_position/credible/roussos_2024/variant_figures/roussos_2024.childhood.GABA/rs7214741_profile_position.png",4,220,900)</f>
        <v/>
      </c>
    </row>
    <row r="1540">
      <c r="A1540" t="inlineStr">
        <is>
          <t>chr17</t>
        </is>
      </c>
      <c r="B1540" t="n">
        <v>2182359</v>
      </c>
      <c r="C1540" t="inlineStr">
        <is>
          <t>T</t>
        </is>
      </c>
      <c r="D1540" t="inlineStr">
        <is>
          <t>C</t>
        </is>
      </c>
      <c r="E1540" t="inlineStr">
        <is>
          <t>rs7223390</t>
        </is>
      </c>
      <c r="F1540" t="n">
        <v>0.0639554738</v>
      </c>
      <c r="G1540" t="n">
        <v>0.0850333912055883</v>
      </c>
      <c r="H1540" t="n">
        <v>0.0119749018427779</v>
      </c>
      <c r="I1540" t="n">
        <v>0.4408546427030909</v>
      </c>
      <c r="J1540" t="n">
        <v>0.4685996104793616</v>
      </c>
      <c r="K1540" t="n">
        <v>0.061093537716151</v>
      </c>
      <c r="L1540" t="b">
        <v>0</v>
      </c>
      <c r="M1540" t="b">
        <v>0</v>
      </c>
      <c r="N1540" t="inlineStr">
        <is>
          <t>alt</t>
        </is>
      </c>
      <c r="O1540" t="n">
        <v>-100</v>
      </c>
      <c r="P1540" t="n">
        <v>0.01646</v>
      </c>
      <c r="Q1540" t="n">
        <v>-45</v>
      </c>
      <c r="R1540" t="n">
        <v>0.02258</v>
      </c>
      <c r="S1540">
        <f>IMAGE("https://mitra.stanford.edu/kundaje/oak/projects/neuro-variants/variant_position/credible/roussos_2024/variant_figures/roussos_2024.childhood.GABA/rs7223390_count_position.png",4,220,900)</f>
        <v/>
      </c>
      <c r="T1540">
        <f>IMAGE("https://mitra.stanford.edu/kundaje/oak/projects/neuro-variants/variant_position/credible/roussos_2024/variant_figures/roussos_2024.childhood.GABA/rs7223390_profile_position.png",4,220,900)</f>
        <v/>
      </c>
    </row>
    <row r="1541">
      <c r="A1541" t="inlineStr">
        <is>
          <t>chr17</t>
        </is>
      </c>
      <c r="B1541" t="n">
        <v>2185741</v>
      </c>
      <c r="C1541" t="inlineStr">
        <is>
          <t>A</t>
        </is>
      </c>
      <c r="D1541" t="inlineStr">
        <is>
          <t>G</t>
        </is>
      </c>
      <c r="E1541" t="inlineStr">
        <is>
          <t>rs57130712</t>
        </is>
      </c>
      <c r="F1541" t="n">
        <v>0.127037266</v>
      </c>
      <c r="G1541" t="n">
        <v>0.0164615761016121</v>
      </c>
      <c r="H1541" t="n">
        <v>0.0176084596452534</v>
      </c>
      <c r="I1541" t="n">
        <v>0.1275751062295472</v>
      </c>
      <c r="J1541" t="n">
        <v>0.2922064459383049</v>
      </c>
      <c r="K1541" t="n">
        <v>0.1431387146134763</v>
      </c>
      <c r="L1541" t="b">
        <v>1</v>
      </c>
      <c r="M1541" t="b">
        <v>0</v>
      </c>
      <c r="N1541" t="inlineStr">
        <is>
          <t>alt</t>
        </is>
      </c>
      <c r="O1541" t="n">
        <v>100</v>
      </c>
      <c r="P1541" t="n">
        <v>0.004852</v>
      </c>
      <c r="Q1541" t="n">
        <v>75</v>
      </c>
      <c r="R1541" t="n">
        <v>0.0814</v>
      </c>
      <c r="S1541">
        <f>IMAGE("https://mitra.stanford.edu/kundaje/oak/projects/neuro-variants/variant_position/credible/roussos_2024/variant_figures/roussos_2024.childhood.GABA/rs57130712_count_position.png",4,220,900)</f>
        <v/>
      </c>
      <c r="T1541">
        <f>IMAGE("https://mitra.stanford.edu/kundaje/oak/projects/neuro-variants/variant_position/credible/roussos_2024/variant_figures/roussos_2024.childhood.GABA/rs57130712_profile_position.png",4,220,900)</f>
        <v/>
      </c>
    </row>
    <row r="1542">
      <c r="A1542" t="inlineStr">
        <is>
          <t>chr17</t>
        </is>
      </c>
      <c r="B1542" t="n">
        <v>2186554</v>
      </c>
      <c r="C1542" t="inlineStr">
        <is>
          <t>G</t>
        </is>
      </c>
      <c r="D1542" t="inlineStr">
        <is>
          <t>A</t>
        </is>
      </c>
      <c r="E1542" t="inlineStr">
        <is>
          <t>rs2270478</t>
        </is>
      </c>
      <c r="F1542" t="n">
        <v>-0.00122681058</v>
      </c>
      <c r="G1542" t="n">
        <v>0.714443244835848</v>
      </c>
      <c r="H1542" t="n">
        <v>0.008251636034184899</v>
      </c>
      <c r="I1542" t="n">
        <v>0.8090113847471844</v>
      </c>
      <c r="J1542" t="n">
        <v>0.2385279889426398</v>
      </c>
      <c r="K1542" t="n">
        <v>0.1830543055428665</v>
      </c>
      <c r="L1542" t="b">
        <v>0</v>
      </c>
      <c r="M1542" t="b">
        <v>0</v>
      </c>
      <c r="N1542" t="inlineStr">
        <is>
          <t>ref</t>
        </is>
      </c>
      <c r="O1542" t="n">
        <v>-100</v>
      </c>
      <c r="P1542" t="n">
        <v>0.02618</v>
      </c>
      <c r="Q1542" t="n">
        <v>-85</v>
      </c>
      <c r="R1542" t="n">
        <v>0.1372</v>
      </c>
      <c r="S1542">
        <f>IMAGE("https://mitra.stanford.edu/kundaje/oak/projects/neuro-variants/variant_position/credible/roussos_2024/variant_figures/roussos_2024.childhood.GABA/rs2270478_count_position.png",4,220,900)</f>
        <v/>
      </c>
      <c r="T1542">
        <f>IMAGE("https://mitra.stanford.edu/kundaje/oak/projects/neuro-variants/variant_position/credible/roussos_2024/variant_figures/roussos_2024.childhood.GABA/rs2270478_profile_position.png",4,220,900)</f>
        <v/>
      </c>
    </row>
    <row r="1543">
      <c r="A1543" t="inlineStr">
        <is>
          <t>chr17</t>
        </is>
      </c>
      <c r="B1543" t="n">
        <v>2187213</v>
      </c>
      <c r="C1543" t="inlineStr">
        <is>
          <t>T</t>
        </is>
      </c>
      <c r="D1543" t="inlineStr">
        <is>
          <t>G</t>
        </is>
      </c>
      <c r="E1543" t="inlineStr">
        <is>
          <t>rs11867782</t>
        </is>
      </c>
      <c r="F1543" t="n">
        <v>0.00554276427</v>
      </c>
      <c r="G1543" t="n">
        <v>0.6607151043014369</v>
      </c>
      <c r="H1543" t="n">
        <v>0.0129186510502836</v>
      </c>
      <c r="I1543" t="n">
        <v>0.3624807284137673</v>
      </c>
      <c r="J1543" t="n">
        <v>0.1305082616070867</v>
      </c>
      <c r="K1543" t="n">
        <v>0.3086250484307767</v>
      </c>
      <c r="L1543" t="b">
        <v>0</v>
      </c>
      <c r="M1543" t="b">
        <v>0</v>
      </c>
      <c r="N1543" t="inlineStr">
        <is>
          <t>alt</t>
        </is>
      </c>
      <c r="O1543" t="n">
        <v>45</v>
      </c>
      <c r="P1543" t="n">
        <v>0.003029</v>
      </c>
      <c r="Q1543" t="n">
        <v>-100</v>
      </c>
      <c r="R1543" t="n">
        <v>0.03119</v>
      </c>
      <c r="S1543">
        <f>IMAGE("https://mitra.stanford.edu/kundaje/oak/projects/neuro-variants/variant_position/credible/roussos_2024/variant_figures/roussos_2024.childhood.GABA/rs11867782_count_position.png",4,220,900)</f>
        <v/>
      </c>
      <c r="T1543">
        <f>IMAGE("https://mitra.stanford.edu/kundaje/oak/projects/neuro-variants/variant_position/credible/roussos_2024/variant_figures/roussos_2024.childhood.GABA/rs11867782_profile_position.png",4,220,900)</f>
        <v/>
      </c>
    </row>
    <row r="1544">
      <c r="A1544" t="inlineStr">
        <is>
          <t>chr17</t>
        </is>
      </c>
      <c r="B1544" t="n">
        <v>2192418</v>
      </c>
      <c r="C1544" t="inlineStr">
        <is>
          <t>C</t>
        </is>
      </c>
      <c r="D1544" t="inlineStr">
        <is>
          <t>A</t>
        </is>
      </c>
      <c r="E1544" t="inlineStr">
        <is>
          <t>rs2126202</t>
        </is>
      </c>
      <c r="F1544" t="n">
        <v>0.0126204737599999</v>
      </c>
      <c r="G1544" t="n">
        <v>0.5641240729996809</v>
      </c>
      <c r="H1544" t="n">
        <v>0.0135157752138193</v>
      </c>
      <c r="I1544" t="n">
        <v>0.3133961183315595</v>
      </c>
      <c r="J1544" t="n">
        <v>0.6219000649201064</v>
      </c>
      <c r="K1544" t="n">
        <v>0.0257864959599669</v>
      </c>
      <c r="L1544" t="b">
        <v>0</v>
      </c>
      <c r="M1544" t="b">
        <v>0</v>
      </c>
      <c r="N1544" t="inlineStr">
        <is>
          <t>alt</t>
        </is>
      </c>
      <c r="O1544" t="n">
        <v>-20</v>
      </c>
      <c r="P1544" t="n">
        <v>0.002098</v>
      </c>
      <c r="Q1544" t="n">
        <v>25</v>
      </c>
      <c r="R1544" t="n">
        <v>0.01883</v>
      </c>
      <c r="S1544">
        <f>IMAGE("https://mitra.stanford.edu/kundaje/oak/projects/neuro-variants/variant_position/credible/roussos_2024/variant_figures/roussos_2024.childhood.GABA/rs2126202_count_position.png",4,220,900)</f>
        <v/>
      </c>
      <c r="T1544">
        <f>IMAGE("https://mitra.stanford.edu/kundaje/oak/projects/neuro-variants/variant_position/credible/roussos_2024/variant_figures/roussos_2024.childhood.GABA/rs2126202_profile_position.png",4,220,900)</f>
        <v/>
      </c>
    </row>
    <row r="1545">
      <c r="A1545" t="inlineStr">
        <is>
          <t>chr17</t>
        </is>
      </c>
      <c r="B1545" t="n">
        <v>2229030</v>
      </c>
      <c r="C1545" t="inlineStr">
        <is>
          <t>T</t>
        </is>
      </c>
      <c r="D1545" t="inlineStr">
        <is>
          <t>C</t>
        </is>
      </c>
      <c r="E1545" t="inlineStr">
        <is>
          <t>rs143499</t>
        </is>
      </c>
      <c r="F1545" t="n">
        <v>-0.00638515202</v>
      </c>
      <c r="G1545" t="n">
        <v>0.7383285212090719</v>
      </c>
      <c r="H1545" t="n">
        <v>0.0100986153417563</v>
      </c>
      <c r="I1545" t="n">
        <v>0.6300057954279913</v>
      </c>
      <c r="J1545" t="n">
        <v>0.0203336055789407</v>
      </c>
      <c r="K1545" t="n">
        <v>0.6680836370060113</v>
      </c>
      <c r="L1545" t="b">
        <v>0</v>
      </c>
      <c r="M1545" t="b">
        <v>0</v>
      </c>
      <c r="N1545" t="inlineStr">
        <is>
          <t>ref</t>
        </is>
      </c>
      <c r="O1545" t="n">
        <v>90</v>
      </c>
      <c r="P1545" t="n">
        <v>0.00203</v>
      </c>
      <c r="Q1545" t="n">
        <v>25</v>
      </c>
      <c r="R1545" t="n">
        <v>0.004017</v>
      </c>
      <c r="S1545">
        <f>IMAGE("https://mitra.stanford.edu/kundaje/oak/projects/neuro-variants/variant_position/credible/roussos_2024/variant_figures/roussos_2024.childhood.GABA/rs143499_count_position.png",4,220,900)</f>
        <v/>
      </c>
      <c r="T1545">
        <f>IMAGE("https://mitra.stanford.edu/kundaje/oak/projects/neuro-variants/variant_position/credible/roussos_2024/variant_figures/roussos_2024.childhood.GABA/rs143499_profile_position.png",4,220,900)</f>
        <v/>
      </c>
    </row>
    <row r="1546">
      <c r="A1546" t="inlineStr">
        <is>
          <t>chr17</t>
        </is>
      </c>
      <c r="B1546" t="n">
        <v>2232686</v>
      </c>
      <c r="C1546" t="inlineStr">
        <is>
          <t>A</t>
        </is>
      </c>
      <c r="D1546" t="inlineStr">
        <is>
          <t>T</t>
        </is>
      </c>
      <c r="E1546" t="inlineStr">
        <is>
          <t>rs7212249</t>
        </is>
      </c>
      <c r="F1546" t="n">
        <v>-0.00242969178</v>
      </c>
      <c r="G1546" t="n">
        <v>0.7699271602562315</v>
      </c>
      <c r="H1546" t="n">
        <v>0.0075495110871397</v>
      </c>
      <c r="I1546" t="n">
        <v>0.8936312849737003</v>
      </c>
      <c r="J1546" t="n">
        <v>0.3278486314422734</v>
      </c>
      <c r="K1546" t="n">
        <v>0.120268152261815</v>
      </c>
      <c r="L1546" t="b">
        <v>0</v>
      </c>
      <c r="M1546" t="b">
        <v>0</v>
      </c>
      <c r="N1546" t="inlineStr">
        <is>
          <t>ref</t>
        </is>
      </c>
      <c r="O1546" t="n">
        <v>-10</v>
      </c>
      <c r="P1546" t="n">
        <v>0.000847</v>
      </c>
      <c r="Q1546" t="n">
        <v>-90</v>
      </c>
      <c r="R1546" t="n">
        <v>0.06726</v>
      </c>
      <c r="S1546">
        <f>IMAGE("https://mitra.stanford.edu/kundaje/oak/projects/neuro-variants/variant_position/credible/roussos_2024/variant_figures/roussos_2024.childhood.GABA/rs7212249_count_position.png",4,220,900)</f>
        <v/>
      </c>
      <c r="T1546">
        <f>IMAGE("https://mitra.stanford.edu/kundaje/oak/projects/neuro-variants/variant_position/credible/roussos_2024/variant_figures/roussos_2024.childhood.GABA/rs7212249_profile_position.png",4,220,900)</f>
        <v/>
      </c>
    </row>
    <row r="1547">
      <c r="A1547" t="inlineStr">
        <is>
          <t>chr17</t>
        </is>
      </c>
      <c r="B1547" t="n">
        <v>2234722</v>
      </c>
      <c r="C1547" t="inlineStr">
        <is>
          <t>A</t>
        </is>
      </c>
      <c r="D1547" t="inlineStr">
        <is>
          <t>T</t>
        </is>
      </c>
      <c r="E1547" t="inlineStr">
        <is>
          <t>rs2169356</t>
        </is>
      </c>
      <c r="F1547" t="n">
        <v>0.00734886318</v>
      </c>
      <c r="G1547" t="n">
        <v>0.7048916075424647</v>
      </c>
      <c r="H1547" t="n">
        <v>0.0218908027954721</v>
      </c>
      <c r="I1547" t="n">
        <v>0.0511664914554979</v>
      </c>
      <c r="J1547" t="n">
        <v>0.0540805428158572</v>
      </c>
      <c r="K1547" t="n">
        <v>0.485422676688126</v>
      </c>
      <c r="L1547" t="b">
        <v>0</v>
      </c>
      <c r="M1547" t="b">
        <v>0</v>
      </c>
      <c r="N1547" t="inlineStr">
        <is>
          <t>alt</t>
        </is>
      </c>
      <c r="O1547" t="n">
        <v>95</v>
      </c>
      <c r="P1547" t="n">
        <v>0.00251</v>
      </c>
      <c r="Q1547" t="n">
        <v>-70</v>
      </c>
      <c r="R1547" t="n">
        <v>0.1086</v>
      </c>
      <c r="S1547">
        <f>IMAGE("https://mitra.stanford.edu/kundaje/oak/projects/neuro-variants/variant_position/credible/roussos_2024/variant_figures/roussos_2024.childhood.GABA/rs2169356_count_position.png",4,220,900)</f>
        <v/>
      </c>
      <c r="T1547">
        <f>IMAGE("https://mitra.stanford.edu/kundaje/oak/projects/neuro-variants/variant_position/credible/roussos_2024/variant_figures/roussos_2024.childhood.GABA/rs2169356_profile_position.png",4,220,900)</f>
        <v/>
      </c>
    </row>
    <row r="1548">
      <c r="A1548" t="inlineStr">
        <is>
          <t>chr17</t>
        </is>
      </c>
      <c r="B1548" t="n">
        <v>2242035</v>
      </c>
      <c r="C1548" t="inlineStr">
        <is>
          <t>A</t>
        </is>
      </c>
      <c r="D1548" t="inlineStr">
        <is>
          <t>G</t>
        </is>
      </c>
      <c r="E1548" t="inlineStr">
        <is>
          <t>rs216218</t>
        </is>
      </c>
      <c r="F1548" t="n">
        <v>0.076552077</v>
      </c>
      <c r="G1548" t="n">
        <v>0.0611127390184769</v>
      </c>
      <c r="H1548" t="n">
        <v>0.0113556208562972</v>
      </c>
      <c r="I1548" t="n">
        <v>0.4837587220814455</v>
      </c>
      <c r="J1548" t="n">
        <v>0.1562899206299344</v>
      </c>
      <c r="K1548" t="n">
        <v>0.2740722626564429</v>
      </c>
      <c r="L1548" t="b">
        <v>0</v>
      </c>
      <c r="M1548" t="b">
        <v>0</v>
      </c>
      <c r="N1548" t="inlineStr">
        <is>
          <t>alt</t>
        </is>
      </c>
      <c r="O1548" t="n">
        <v>100</v>
      </c>
      <c r="P1548" t="n">
        <v>0.009339999999999999</v>
      </c>
      <c r="Q1548" t="n">
        <v>30</v>
      </c>
      <c r="R1548" t="n">
        <v>0.01831</v>
      </c>
      <c r="S1548">
        <f>IMAGE("https://mitra.stanford.edu/kundaje/oak/projects/neuro-variants/variant_position/credible/roussos_2024/variant_figures/roussos_2024.childhood.GABA/rs216218_count_position.png",4,220,900)</f>
        <v/>
      </c>
      <c r="T1548">
        <f>IMAGE("https://mitra.stanford.edu/kundaje/oak/projects/neuro-variants/variant_position/credible/roussos_2024/variant_figures/roussos_2024.childhood.GABA/rs216218_profile_position.png",4,220,900)</f>
        <v/>
      </c>
    </row>
    <row r="1549">
      <c r="A1549" t="inlineStr">
        <is>
          <t>chr17</t>
        </is>
      </c>
      <c r="B1549" t="n">
        <v>2252991</v>
      </c>
      <c r="C1549" t="inlineStr">
        <is>
          <t>T</t>
        </is>
      </c>
      <c r="D1549" t="inlineStr">
        <is>
          <t>C</t>
        </is>
      </c>
      <c r="E1549" t="inlineStr">
        <is>
          <t>rs216224</t>
        </is>
      </c>
      <c r="F1549" t="n">
        <v>-0.128415762</v>
      </c>
      <c r="G1549" t="n">
        <v>0.0180677796922582</v>
      </c>
      <c r="H1549" t="n">
        <v>0.0256612152557497</v>
      </c>
      <c r="I1549" t="n">
        <v>0.0263179688564962</v>
      </c>
      <c r="J1549" t="n">
        <v>0.1428483173127264</v>
      </c>
      <c r="K1549" t="n">
        <v>0.2847399937459708</v>
      </c>
      <c r="L1549" t="b">
        <v>1</v>
      </c>
      <c r="M1549" t="b">
        <v>0</v>
      </c>
      <c r="N1549" t="inlineStr">
        <is>
          <t>ref</t>
        </is>
      </c>
      <c r="O1549" t="n">
        <v>50</v>
      </c>
      <c r="P1549" t="n">
        <v>0.03003</v>
      </c>
      <c r="Q1549" t="n">
        <v>100</v>
      </c>
      <c r="R1549" t="n">
        <v>0.0999</v>
      </c>
      <c r="S1549">
        <f>IMAGE("https://mitra.stanford.edu/kundaje/oak/projects/neuro-variants/variant_position/credible/roussos_2024/variant_figures/roussos_2024.childhood.GABA/rs216224_count_position.png",4,220,900)</f>
        <v/>
      </c>
      <c r="T1549">
        <f>IMAGE("https://mitra.stanford.edu/kundaje/oak/projects/neuro-variants/variant_position/credible/roussos_2024/variant_figures/roussos_2024.childhood.GABA/rs216224_profile_position.png",4,220,900)</f>
        <v/>
      </c>
    </row>
    <row r="1550">
      <c r="A1550" t="inlineStr">
        <is>
          <t>chr17</t>
        </is>
      </c>
      <c r="B1550" t="n">
        <v>2253616</v>
      </c>
      <c r="C1550" t="inlineStr">
        <is>
          <t>C</t>
        </is>
      </c>
      <c r="D1550" t="inlineStr">
        <is>
          <t>G</t>
        </is>
      </c>
      <c r="E1550" t="inlineStr">
        <is>
          <t>rs12950555</t>
        </is>
      </c>
      <c r="F1550" t="n">
        <v>0.0548425468</v>
      </c>
      <c r="G1550" t="n">
        <v>0.118729118180698</v>
      </c>
      <c r="H1550" t="n">
        <v>0.0131871922583991</v>
      </c>
      <c r="I1550" t="n">
        <v>0.3381373468116637</v>
      </c>
      <c r="J1550" t="n">
        <v>0.161921216309606</v>
      </c>
      <c r="K1550" t="n">
        <v>0.2619498417251165</v>
      </c>
      <c r="L1550" t="b">
        <v>0</v>
      </c>
      <c r="M1550" t="b">
        <v>0</v>
      </c>
      <c r="N1550" t="inlineStr">
        <is>
          <t>alt</t>
        </is>
      </c>
      <c r="O1550" t="n">
        <v>-100</v>
      </c>
      <c r="P1550" t="n">
        <v>0.0048</v>
      </c>
      <c r="Q1550" t="n">
        <v>-100</v>
      </c>
      <c r="R1550" t="n">
        <v>0.0526</v>
      </c>
      <c r="S1550">
        <f>IMAGE("https://mitra.stanford.edu/kundaje/oak/projects/neuro-variants/variant_position/credible/roussos_2024/variant_figures/roussos_2024.childhood.GABA/rs12950555_count_position.png",4,220,900)</f>
        <v/>
      </c>
      <c r="T1550">
        <f>IMAGE("https://mitra.stanford.edu/kundaje/oak/projects/neuro-variants/variant_position/credible/roussos_2024/variant_figures/roussos_2024.childhood.GABA/rs12950555_profile_position.png",4,220,900)</f>
        <v/>
      </c>
    </row>
    <row r="1551">
      <c r="A1551" t="inlineStr">
        <is>
          <t>chr17</t>
        </is>
      </c>
      <c r="B1551" t="n">
        <v>2261017</v>
      </c>
      <c r="C1551" t="inlineStr">
        <is>
          <t>G</t>
        </is>
      </c>
      <c r="D1551" t="inlineStr">
        <is>
          <t>A</t>
        </is>
      </c>
      <c r="E1551" t="inlineStr">
        <is>
          <t>rs9891227</t>
        </is>
      </c>
      <c r="F1551" t="n">
        <v>0.01300621898</v>
      </c>
      <c r="G1551" t="n">
        <v>0.5408629675690481</v>
      </c>
      <c r="H1551" t="n">
        <v>0.035902544302271</v>
      </c>
      <c r="I1551" t="n">
        <v>0.0057597789282469</v>
      </c>
      <c r="J1551" t="n">
        <v>0.0408504533936461</v>
      </c>
      <c r="K1551" t="n">
        <v>0.5457052483742221</v>
      </c>
      <c r="L1551" t="b">
        <v>1</v>
      </c>
      <c r="M1551" t="b">
        <v>0</v>
      </c>
      <c r="N1551" t="inlineStr">
        <is>
          <t>alt</t>
        </is>
      </c>
      <c r="O1551" t="n">
        <v>100</v>
      </c>
      <c r="P1551" t="n">
        <v>0.02225</v>
      </c>
      <c r="Q1551" t="n">
        <v>-80</v>
      </c>
      <c r="R1551" t="n">
        <v>0.0537</v>
      </c>
      <c r="S1551">
        <f>IMAGE("https://mitra.stanford.edu/kundaje/oak/projects/neuro-variants/variant_position/credible/roussos_2024/variant_figures/roussos_2024.childhood.GABA/rs9891227_count_position.png",4,220,900)</f>
        <v/>
      </c>
      <c r="T1551">
        <f>IMAGE("https://mitra.stanford.edu/kundaje/oak/projects/neuro-variants/variant_position/credible/roussos_2024/variant_figures/roussos_2024.childhood.GABA/rs9891227_profile_position.png",4,220,900)</f>
        <v/>
      </c>
    </row>
    <row r="1552">
      <c r="A1552" t="inlineStr">
        <is>
          <t>chr17</t>
        </is>
      </c>
      <c r="B1552" t="n">
        <v>2265215</v>
      </c>
      <c r="C1552" t="inlineStr">
        <is>
          <t>G</t>
        </is>
      </c>
      <c r="D1552" t="inlineStr">
        <is>
          <t>C</t>
        </is>
      </c>
      <c r="E1552" t="inlineStr">
        <is>
          <t>rs216176</t>
        </is>
      </c>
      <c r="F1552" t="n">
        <v>-0.0152252724</v>
      </c>
      <c r="G1552" t="n">
        <v>0.5177449443557528</v>
      </c>
      <c r="H1552" t="n">
        <v>0.009373870503018199</v>
      </c>
      <c r="I1552" t="n">
        <v>0.7142133621683333</v>
      </c>
      <c r="J1552" t="n">
        <v>0.0711335888253648</v>
      </c>
      <c r="K1552" t="n">
        <v>0.4379956845314223</v>
      </c>
      <c r="L1552" t="b">
        <v>0</v>
      </c>
      <c r="M1552" t="b">
        <v>0</v>
      </c>
      <c r="N1552" t="inlineStr">
        <is>
          <t>ref</t>
        </is>
      </c>
      <c r="O1552" t="n">
        <v>95</v>
      </c>
      <c r="P1552" t="n">
        <v>0.0044</v>
      </c>
      <c r="Q1552" t="n">
        <v>35</v>
      </c>
      <c r="R1552" t="n">
        <v>0.0574</v>
      </c>
      <c r="S1552">
        <f>IMAGE("https://mitra.stanford.edu/kundaje/oak/projects/neuro-variants/variant_position/credible/roussos_2024/variant_figures/roussos_2024.childhood.GABA/rs216176_count_position.png",4,220,900)</f>
        <v/>
      </c>
      <c r="T1552">
        <f>IMAGE("https://mitra.stanford.edu/kundaje/oak/projects/neuro-variants/variant_position/credible/roussos_2024/variant_figures/roussos_2024.childhood.GABA/rs216176_profile_position.png",4,220,900)</f>
        <v/>
      </c>
    </row>
    <row r="1553">
      <c r="A1553" t="inlineStr">
        <is>
          <t>chr17</t>
        </is>
      </c>
      <c r="B1553" t="n">
        <v>2267564</v>
      </c>
      <c r="C1553" t="inlineStr">
        <is>
          <t>A</t>
        </is>
      </c>
      <c r="D1553" t="inlineStr">
        <is>
          <t>G</t>
        </is>
      </c>
      <c r="E1553" t="inlineStr">
        <is>
          <t>rs1122645</t>
        </is>
      </c>
      <c r="F1553" t="n">
        <v>0.121706077</v>
      </c>
      <c r="G1553" t="n">
        <v>0.0185423932087241</v>
      </c>
      <c r="H1553" t="n">
        <v>0.0179185066721097</v>
      </c>
      <c r="I1553" t="n">
        <v>0.1234486857349734</v>
      </c>
      <c r="J1553" t="n">
        <v>0.1699336139557286</v>
      </c>
      <c r="K1553" t="n">
        <v>0.2491186236237733</v>
      </c>
      <c r="L1553" t="b">
        <v>1</v>
      </c>
      <c r="M1553" t="b">
        <v>0</v>
      </c>
      <c r="N1553" t="inlineStr">
        <is>
          <t>alt</t>
        </is>
      </c>
      <c r="O1553" t="n">
        <v>95</v>
      </c>
      <c r="P1553" t="n">
        <v>0.08185000000000001</v>
      </c>
      <c r="Q1553" t="n">
        <v>-100</v>
      </c>
      <c r="R1553" t="n">
        <v>0.02213</v>
      </c>
      <c r="S1553">
        <f>IMAGE("https://mitra.stanford.edu/kundaje/oak/projects/neuro-variants/variant_position/credible/roussos_2024/variant_figures/roussos_2024.childhood.GABA/rs1122645_count_position.png",4,220,900)</f>
        <v/>
      </c>
      <c r="T1553">
        <f>IMAGE("https://mitra.stanford.edu/kundaje/oak/projects/neuro-variants/variant_position/credible/roussos_2024/variant_figures/roussos_2024.childhood.GABA/rs1122645_profile_position.png",4,220,900)</f>
        <v/>
      </c>
    </row>
    <row r="1554">
      <c r="A1554" t="inlineStr">
        <is>
          <t>chr17</t>
        </is>
      </c>
      <c r="B1554" t="n">
        <v>2273238</v>
      </c>
      <c r="C1554" t="inlineStr">
        <is>
          <t>A</t>
        </is>
      </c>
      <c r="D1554" t="inlineStr">
        <is>
          <t>G</t>
        </is>
      </c>
      <c r="E1554" t="inlineStr">
        <is>
          <t>rs11869805</t>
        </is>
      </c>
      <c r="F1554" t="n">
        <v>0.0737194492</v>
      </c>
      <c r="G1554" t="n">
        <v>0.0640479144939852</v>
      </c>
      <c r="H1554" t="n">
        <v>0.0173420786296408</v>
      </c>
      <c r="I1554" t="n">
        <v>0.1319699252507437</v>
      </c>
      <c r="J1554" t="n">
        <v>0.1177797323616258</v>
      </c>
      <c r="K1554" t="n">
        <v>0.3333586533123882</v>
      </c>
      <c r="L1554" t="b">
        <v>0</v>
      </c>
      <c r="M1554" t="b">
        <v>0</v>
      </c>
      <c r="N1554" t="inlineStr">
        <is>
          <t>alt</t>
        </is>
      </c>
      <c r="O1554" t="n">
        <v>85</v>
      </c>
      <c r="P1554" t="n">
        <v>0.003105</v>
      </c>
      <c r="Q1554" t="n">
        <v>-80</v>
      </c>
      <c r="R1554" t="n">
        <v>0.03513</v>
      </c>
      <c r="S1554">
        <f>IMAGE("https://mitra.stanford.edu/kundaje/oak/projects/neuro-variants/variant_position/credible/roussos_2024/variant_figures/roussos_2024.childhood.GABA/rs11869805_count_position.png",4,220,900)</f>
        <v/>
      </c>
      <c r="T1554">
        <f>IMAGE("https://mitra.stanford.edu/kundaje/oak/projects/neuro-variants/variant_position/credible/roussos_2024/variant_figures/roussos_2024.childhood.GABA/rs11869805_profile_position.png",4,220,900)</f>
        <v/>
      </c>
    </row>
    <row r="1555">
      <c r="A1555" t="inlineStr">
        <is>
          <t>chr17</t>
        </is>
      </c>
      <c r="B1555" t="n">
        <v>2273670</v>
      </c>
      <c r="C1555" t="inlineStr">
        <is>
          <t>A</t>
        </is>
      </c>
      <c r="D1555" t="inlineStr">
        <is>
          <t>G</t>
        </is>
      </c>
      <c r="E1555" t="inlineStr">
        <is>
          <t>rs6502155</t>
        </is>
      </c>
      <c r="F1555" t="n">
        <v>0.0640146151999999</v>
      </c>
      <c r="G1555" t="n">
        <v>0.08377659028344669</v>
      </c>
      <c r="H1555" t="n">
        <v>0.0114804999077757</v>
      </c>
      <c r="I1555" t="n">
        <v>0.4871246700946315</v>
      </c>
      <c r="J1555" t="n">
        <v>0.0836024376452848</v>
      </c>
      <c r="K1555" t="n">
        <v>0.4085626635726367</v>
      </c>
      <c r="L1555" t="b">
        <v>0</v>
      </c>
      <c r="M1555" t="b">
        <v>0</v>
      </c>
      <c r="N1555" t="inlineStr">
        <is>
          <t>alt</t>
        </is>
      </c>
      <c r="O1555" t="n">
        <v>10</v>
      </c>
      <c r="P1555" t="n">
        <v>0.002335</v>
      </c>
      <c r="Q1555" t="n">
        <v>-50</v>
      </c>
      <c r="R1555" t="n">
        <v>0.02112</v>
      </c>
      <c r="S1555">
        <f>IMAGE("https://mitra.stanford.edu/kundaje/oak/projects/neuro-variants/variant_position/credible/roussos_2024/variant_figures/roussos_2024.childhood.GABA/rs6502155_count_position.png",4,220,900)</f>
        <v/>
      </c>
      <c r="T1555">
        <f>IMAGE("https://mitra.stanford.edu/kundaje/oak/projects/neuro-variants/variant_position/credible/roussos_2024/variant_figures/roussos_2024.childhood.GABA/rs6502155_profile_position.png",4,220,900)</f>
        <v/>
      </c>
    </row>
    <row r="1556">
      <c r="A1556" t="inlineStr">
        <is>
          <t>chr17</t>
        </is>
      </c>
      <c r="B1556" t="n">
        <v>2282806</v>
      </c>
      <c r="C1556" t="inlineStr">
        <is>
          <t>C</t>
        </is>
      </c>
      <c r="D1556" t="inlineStr">
        <is>
          <t>T</t>
        </is>
      </c>
      <c r="E1556" t="inlineStr">
        <is>
          <t>rs749240</t>
        </is>
      </c>
      <c r="F1556" t="n">
        <v>0.0763912476</v>
      </c>
      <c r="G1556" t="n">
        <v>0.0624688744978391</v>
      </c>
      <c r="H1556" t="n">
        <v>0.0212296867708537</v>
      </c>
      <c r="I1556" t="n">
        <v>0.0697859745340273</v>
      </c>
      <c r="J1556" t="n">
        <v>0.4614500219890683</v>
      </c>
      <c r="K1556" t="n">
        <v>0.0636243374226851</v>
      </c>
      <c r="L1556" t="b">
        <v>0</v>
      </c>
      <c r="M1556" t="b">
        <v>0</v>
      </c>
      <c r="N1556" t="inlineStr">
        <is>
          <t>alt</t>
        </is>
      </c>
      <c r="O1556" t="n">
        <v>-100</v>
      </c>
      <c r="P1556" t="n">
        <v>0.012474</v>
      </c>
      <c r="Q1556" t="n">
        <v>-100</v>
      </c>
      <c r="R1556" t="n">
        <v>0.1846</v>
      </c>
      <c r="S1556">
        <f>IMAGE("https://mitra.stanford.edu/kundaje/oak/projects/neuro-variants/variant_position/credible/roussos_2024/variant_figures/roussos_2024.childhood.GABA/rs749240_count_position.png",4,220,900)</f>
        <v/>
      </c>
      <c r="T1556">
        <f>IMAGE("https://mitra.stanford.edu/kundaje/oak/projects/neuro-variants/variant_position/credible/roussos_2024/variant_figures/roussos_2024.childhood.GABA/rs749240_profile_position.png",4,220,900)</f>
        <v/>
      </c>
    </row>
    <row r="1557">
      <c r="A1557" t="inlineStr">
        <is>
          <t>chr17</t>
        </is>
      </c>
      <c r="B1557" t="n">
        <v>2287024</v>
      </c>
      <c r="C1557" t="inlineStr">
        <is>
          <t>C</t>
        </is>
      </c>
      <c r="D1557" t="inlineStr">
        <is>
          <t>T</t>
        </is>
      </c>
      <c r="E1557" t="inlineStr">
        <is>
          <t>rs410378</t>
        </is>
      </c>
      <c r="F1557" t="n">
        <v>-0.01950015974</v>
      </c>
      <c r="G1557" t="n">
        <v>0.4164398775104588</v>
      </c>
      <c r="H1557" t="n">
        <v>0.015925871439653</v>
      </c>
      <c r="I1557" t="n">
        <v>0.1841002960992967</v>
      </c>
      <c r="J1557" t="n">
        <v>0.0757450105756946</v>
      </c>
      <c r="K1557" t="n">
        <v>0.4186998991261865</v>
      </c>
      <c r="L1557" t="b">
        <v>0</v>
      </c>
      <c r="M1557" t="b">
        <v>0</v>
      </c>
      <c r="N1557" t="inlineStr">
        <is>
          <t>ref</t>
        </is>
      </c>
      <c r="O1557" t="n">
        <v>-25</v>
      </c>
      <c r="P1557" t="n">
        <v>0.003448</v>
      </c>
      <c r="Q1557" t="n">
        <v>65</v>
      </c>
      <c r="R1557" t="n">
        <v>0.1</v>
      </c>
      <c r="S1557">
        <f>IMAGE("https://mitra.stanford.edu/kundaje/oak/projects/neuro-variants/variant_position/credible/roussos_2024/variant_figures/roussos_2024.childhood.GABA/rs410378_count_position.png",4,220,900)</f>
        <v/>
      </c>
      <c r="T1557">
        <f>IMAGE("https://mitra.stanford.edu/kundaje/oak/projects/neuro-variants/variant_position/credible/roussos_2024/variant_figures/roussos_2024.childhood.GABA/rs410378_profile_position.png",4,220,900)</f>
        <v/>
      </c>
    </row>
    <row r="1558">
      <c r="A1558" t="inlineStr">
        <is>
          <t>chr17</t>
        </is>
      </c>
      <c r="B1558" t="n">
        <v>2294093</v>
      </c>
      <c r="C1558" t="inlineStr">
        <is>
          <t>T</t>
        </is>
      </c>
      <c r="D1558" t="inlineStr">
        <is>
          <t>C</t>
        </is>
      </c>
      <c r="E1558" t="inlineStr">
        <is>
          <t>rs216202</t>
        </is>
      </c>
      <c r="F1558" t="n">
        <v>0.00723730266</v>
      </c>
      <c r="G1558" t="n">
        <v>0.6888314422269467</v>
      </c>
      <c r="H1558" t="n">
        <v>0.0089067838961506</v>
      </c>
      <c r="I1558" t="n">
        <v>0.7618973304478059</v>
      </c>
      <c r="J1558" t="n">
        <v>0.0743628405687838</v>
      </c>
      <c r="K1558" t="n">
        <v>0.440823368448953</v>
      </c>
      <c r="L1558" t="b">
        <v>0</v>
      </c>
      <c r="M1558" t="b">
        <v>0</v>
      </c>
      <c r="N1558" t="inlineStr">
        <is>
          <t>alt</t>
        </is>
      </c>
      <c r="O1558" t="n">
        <v>-55</v>
      </c>
      <c r="P1558" t="n">
        <v>0.00628</v>
      </c>
      <c r="Q1558" t="n">
        <v>-70</v>
      </c>
      <c r="R1558" t="n">
        <v>0.1812</v>
      </c>
      <c r="S1558">
        <f>IMAGE("https://mitra.stanford.edu/kundaje/oak/projects/neuro-variants/variant_position/credible/roussos_2024/variant_figures/roussos_2024.childhood.GABA/rs216202_count_position.png",4,220,900)</f>
        <v/>
      </c>
      <c r="T1558">
        <f>IMAGE("https://mitra.stanford.edu/kundaje/oak/projects/neuro-variants/variant_position/credible/roussos_2024/variant_figures/roussos_2024.childhood.GABA/rs216202_profile_position.png",4,220,900)</f>
        <v/>
      </c>
    </row>
    <row r="1559">
      <c r="A1559" t="inlineStr">
        <is>
          <t>chr17</t>
        </is>
      </c>
      <c r="B1559" t="n">
        <v>2295506</v>
      </c>
      <c r="C1559" t="inlineStr">
        <is>
          <t>C</t>
        </is>
      </c>
      <c r="D1559" t="inlineStr">
        <is>
          <t>T</t>
        </is>
      </c>
      <c r="E1559" t="inlineStr">
        <is>
          <t>rs216201</t>
        </is>
      </c>
      <c r="F1559" t="n">
        <v>-0.08505046600000001</v>
      </c>
      <c r="G1559" t="n">
        <v>0.0442039384102177</v>
      </c>
      <c r="H1559" t="n">
        <v>0.0134189882461421</v>
      </c>
      <c r="I1559" t="n">
        <v>0.3234636852831717</v>
      </c>
      <c r="J1559" t="n">
        <v>0.188555213503382</v>
      </c>
      <c r="K1559" t="n">
        <v>0.2328484294014721</v>
      </c>
      <c r="L1559" t="b">
        <v>0</v>
      </c>
      <c r="M1559" t="b">
        <v>0</v>
      </c>
      <c r="N1559" t="inlineStr">
        <is>
          <t>ref</t>
        </is>
      </c>
      <c r="O1559" t="n">
        <v>-95</v>
      </c>
      <c r="P1559" t="n">
        <v>0.013504</v>
      </c>
      <c r="Q1559" t="n">
        <v>-100</v>
      </c>
      <c r="R1559" t="n">
        <v>0.1373</v>
      </c>
      <c r="S1559">
        <f>IMAGE("https://mitra.stanford.edu/kundaje/oak/projects/neuro-variants/variant_position/credible/roussos_2024/variant_figures/roussos_2024.childhood.GABA/rs216201_count_position.png",4,220,900)</f>
        <v/>
      </c>
      <c r="T1559">
        <f>IMAGE("https://mitra.stanford.edu/kundaje/oak/projects/neuro-variants/variant_position/credible/roussos_2024/variant_figures/roussos_2024.childhood.GABA/rs216201_profile_position.png",4,220,900)</f>
        <v/>
      </c>
    </row>
    <row r="1560">
      <c r="A1560" t="inlineStr">
        <is>
          <t>chr17</t>
        </is>
      </c>
      <c r="B1560" t="n">
        <v>2296455</v>
      </c>
      <c r="C1560" t="inlineStr">
        <is>
          <t>C</t>
        </is>
      </c>
      <c r="D1560" t="inlineStr">
        <is>
          <t>A</t>
        </is>
      </c>
      <c r="E1560" t="inlineStr">
        <is>
          <t>rs394752</t>
        </is>
      </c>
      <c r="F1560" t="n">
        <v>-0.0167389176</v>
      </c>
      <c r="G1560" t="n">
        <v>0.4782599784363283</v>
      </c>
      <c r="H1560" t="n">
        <v>0.0130330244051536</v>
      </c>
      <c r="I1560" t="n">
        <v>0.3516593590281632</v>
      </c>
      <c r="J1560" t="n">
        <v>0.0993612699210487</v>
      </c>
      <c r="K1560" t="n">
        <v>0.3878866445788423</v>
      </c>
      <c r="L1560" t="b">
        <v>0</v>
      </c>
      <c r="M1560" t="b">
        <v>0</v>
      </c>
      <c r="N1560" t="inlineStr">
        <is>
          <t>ref</t>
        </is>
      </c>
      <c r="O1560" t="n">
        <v>-100</v>
      </c>
      <c r="P1560" t="n">
        <v>0.0009747</v>
      </c>
      <c r="Q1560" t="n">
        <v>35</v>
      </c>
      <c r="R1560" t="n">
        <v>0.0365</v>
      </c>
      <c r="S1560">
        <f>IMAGE("https://mitra.stanford.edu/kundaje/oak/projects/neuro-variants/variant_position/credible/roussos_2024/variant_figures/roussos_2024.childhood.GABA/rs394752_count_position.png",4,220,900)</f>
        <v/>
      </c>
      <c r="T1560">
        <f>IMAGE("https://mitra.stanford.edu/kundaje/oak/projects/neuro-variants/variant_position/credible/roussos_2024/variant_figures/roussos_2024.childhood.GABA/rs394752_profile_position.png",4,220,900)</f>
        <v/>
      </c>
    </row>
    <row r="1561">
      <c r="A1561" t="inlineStr">
        <is>
          <t>chr17</t>
        </is>
      </c>
      <c r="B1561" t="n">
        <v>2298650</v>
      </c>
      <c r="C1561" t="inlineStr">
        <is>
          <t>A</t>
        </is>
      </c>
      <c r="D1561" t="inlineStr">
        <is>
          <t>G</t>
        </is>
      </c>
      <c r="E1561" t="inlineStr">
        <is>
          <t>rs216197</t>
        </is>
      </c>
      <c r="F1561" t="n">
        <v>0.0411503164</v>
      </c>
      <c r="G1561" t="n">
        <v>0.1764650655457844</v>
      </c>
      <c r="H1561" t="n">
        <v>0.0134355876047045</v>
      </c>
      <c r="I1561" t="n">
        <v>0.3234098251115945</v>
      </c>
      <c r="J1561" t="n">
        <v>0.2610992439948901</v>
      </c>
      <c r="K1561" t="n">
        <v>0.1632959514082059</v>
      </c>
      <c r="L1561" t="b">
        <v>0</v>
      </c>
      <c r="M1561" t="b">
        <v>0</v>
      </c>
      <c r="N1561" t="inlineStr">
        <is>
          <t>alt</t>
        </is>
      </c>
      <c r="O1561" t="n">
        <v>25</v>
      </c>
      <c r="P1561" t="n">
        <v>0.0004272</v>
      </c>
      <c r="Q1561" t="n">
        <v>100</v>
      </c>
      <c r="R1561" t="n">
        <v>0.06419999999999999</v>
      </c>
      <c r="S1561">
        <f>IMAGE("https://mitra.stanford.edu/kundaje/oak/projects/neuro-variants/variant_position/credible/roussos_2024/variant_figures/roussos_2024.childhood.GABA/rs216197_count_position.png",4,220,900)</f>
        <v/>
      </c>
      <c r="T1561">
        <f>IMAGE("https://mitra.stanford.edu/kundaje/oak/projects/neuro-variants/variant_position/credible/roussos_2024/variant_figures/roussos_2024.childhood.GABA/rs216197_profile_position.png",4,220,900)</f>
        <v/>
      </c>
    </row>
    <row r="1562">
      <c r="A1562" t="inlineStr">
        <is>
          <t>chr17</t>
        </is>
      </c>
      <c r="B1562" t="n">
        <v>2299649</v>
      </c>
      <c r="C1562" t="inlineStr">
        <is>
          <t>T</t>
        </is>
      </c>
      <c r="D1562" t="inlineStr">
        <is>
          <t>C</t>
        </is>
      </c>
      <c r="E1562" t="inlineStr">
        <is>
          <t>rs216196</t>
        </is>
      </c>
      <c r="F1562" t="n">
        <v>0.0208679075999999</v>
      </c>
      <c r="G1562" t="n">
        <v>0.3894396438981913</v>
      </c>
      <c r="H1562" t="n">
        <v>0.0101163617519222</v>
      </c>
      <c r="I1562" t="n">
        <v>0.6181209992311287</v>
      </c>
      <c r="J1562" t="n">
        <v>0.6550700508889866</v>
      </c>
      <c r="K1562" t="n">
        <v>0.0205874892141952</v>
      </c>
      <c r="L1562" t="b">
        <v>0</v>
      </c>
      <c r="M1562" t="b">
        <v>0</v>
      </c>
      <c r="N1562" t="inlineStr">
        <is>
          <t>alt</t>
        </is>
      </c>
      <c r="O1562" t="n">
        <v>25</v>
      </c>
      <c r="P1562" t="n">
        <v>0.001148</v>
      </c>
      <c r="Q1562" t="n">
        <v>-65</v>
      </c>
      <c r="R1562" t="n">
        <v>0.02051</v>
      </c>
      <c r="S1562">
        <f>IMAGE("https://mitra.stanford.edu/kundaje/oak/projects/neuro-variants/variant_position/credible/roussos_2024/variant_figures/roussos_2024.childhood.GABA/rs216196_count_position.png",4,220,900)</f>
        <v/>
      </c>
      <c r="T1562">
        <f>IMAGE("https://mitra.stanford.edu/kundaje/oak/projects/neuro-variants/variant_position/credible/roussos_2024/variant_figures/roussos_2024.childhood.GABA/rs216196_profile_position.png",4,220,900)</f>
        <v/>
      </c>
    </row>
    <row r="1563">
      <c r="A1563" t="inlineStr">
        <is>
          <t>chr17</t>
        </is>
      </c>
      <c r="B1563" t="n">
        <v>2302629</v>
      </c>
      <c r="C1563" t="inlineStr">
        <is>
          <t>T</t>
        </is>
      </c>
      <c r="D1563" t="inlineStr">
        <is>
          <t>C</t>
        </is>
      </c>
      <c r="E1563" t="inlineStr">
        <is>
          <t>rs2224770</t>
        </is>
      </c>
      <c r="F1563" t="n">
        <v>0.0170675335</v>
      </c>
      <c r="G1563" t="n">
        <v>0.3635181288281834</v>
      </c>
      <c r="H1563" t="n">
        <v>0.0157152097980408</v>
      </c>
      <c r="I1563" t="n">
        <v>0.1923809024086182</v>
      </c>
      <c r="J1563" t="n">
        <v>0.3585652656488869</v>
      </c>
      <c r="K1563" t="n">
        <v>0.1044207813256097</v>
      </c>
      <c r="L1563" t="b">
        <v>0</v>
      </c>
      <c r="M1563" t="b">
        <v>0</v>
      </c>
      <c r="N1563" t="inlineStr">
        <is>
          <t>alt</t>
        </is>
      </c>
      <c r="O1563" t="n">
        <v>35</v>
      </c>
      <c r="P1563" t="n">
        <v>0.001995</v>
      </c>
      <c r="Q1563" t="n">
        <v>100</v>
      </c>
      <c r="R1563" t="n">
        <v>0.1432</v>
      </c>
      <c r="S1563">
        <f>IMAGE("https://mitra.stanford.edu/kundaje/oak/projects/neuro-variants/variant_position/credible/roussos_2024/variant_figures/roussos_2024.childhood.GABA/rs2224770_count_position.png",4,220,900)</f>
        <v/>
      </c>
      <c r="T1563">
        <f>IMAGE("https://mitra.stanford.edu/kundaje/oak/projects/neuro-variants/variant_position/credible/roussos_2024/variant_figures/roussos_2024.childhood.GABA/rs2224770_profile_position.png",4,220,900)</f>
        <v/>
      </c>
    </row>
    <row r="1564">
      <c r="A1564" t="inlineStr">
        <is>
          <t>chr17</t>
        </is>
      </c>
      <c r="B1564" t="n">
        <v>2312964</v>
      </c>
      <c r="C1564" t="inlineStr">
        <is>
          <t>T</t>
        </is>
      </c>
      <c r="D1564" t="inlineStr">
        <is>
          <t>C</t>
        </is>
      </c>
      <c r="E1564" t="inlineStr">
        <is>
          <t>rs391300</t>
        </is>
      </c>
      <c r="F1564" t="n">
        <v>0.0835699932</v>
      </c>
      <c r="G1564" t="n">
        <v>0.0438497087860213</v>
      </c>
      <c r="H1564" t="n">
        <v>0.0118351140536586</v>
      </c>
      <c r="I1564" t="n">
        <v>0.453381632285293</v>
      </c>
      <c r="J1564" t="n">
        <v>0.0834097715231094</v>
      </c>
      <c r="K1564" t="n">
        <v>0.4096806999097871</v>
      </c>
      <c r="L1564" t="b">
        <v>0</v>
      </c>
      <c r="M1564" t="b">
        <v>0</v>
      </c>
      <c r="N1564" t="inlineStr">
        <is>
          <t>alt</t>
        </is>
      </c>
      <c r="O1564" t="n">
        <v>55</v>
      </c>
      <c r="P1564" t="n">
        <v>0.003925</v>
      </c>
      <c r="Q1564" t="n">
        <v>-15</v>
      </c>
      <c r="R1564" t="n">
        <v>0.0232</v>
      </c>
      <c r="S1564">
        <f>IMAGE("https://mitra.stanford.edu/kundaje/oak/projects/neuro-variants/variant_position/credible/roussos_2024/variant_figures/roussos_2024.childhood.GABA/rs391300_count_position.png",4,220,900)</f>
        <v/>
      </c>
      <c r="T1564">
        <f>IMAGE("https://mitra.stanford.edu/kundaje/oak/projects/neuro-variants/variant_position/credible/roussos_2024/variant_figures/roussos_2024.childhood.GABA/rs391300_profile_position.png",4,220,900)</f>
        <v/>
      </c>
    </row>
    <row r="1565">
      <c r="A1565" t="inlineStr">
        <is>
          <t>chr17</t>
        </is>
      </c>
      <c r="B1565" t="n">
        <v>4273906</v>
      </c>
      <c r="C1565" t="inlineStr">
        <is>
          <t>T</t>
        </is>
      </c>
      <c r="D1565" t="inlineStr">
        <is>
          <t>C</t>
        </is>
      </c>
      <c r="E1565" t="inlineStr">
        <is>
          <t>rs28756069</t>
        </is>
      </c>
      <c r="F1565" t="n">
        <v>-0.0684668306</v>
      </c>
      <c r="G1565" t="n">
        <v>0.0785178452899558</v>
      </c>
      <c r="H1565" t="n">
        <v>0.0122619073473683</v>
      </c>
      <c r="I1565" t="n">
        <v>0.4054492085048304</v>
      </c>
      <c r="J1565" t="n">
        <v>0.1540428472702142</v>
      </c>
      <c r="K1565" t="n">
        <v>0.2688941538152357</v>
      </c>
      <c r="L1565" t="b">
        <v>0</v>
      </c>
      <c r="M1565" t="b">
        <v>0</v>
      </c>
      <c r="N1565" t="inlineStr">
        <is>
          <t>ref</t>
        </is>
      </c>
      <c r="O1565" t="n">
        <v>-15</v>
      </c>
      <c r="P1565" t="n">
        <v>0.002853</v>
      </c>
      <c r="Q1565" t="n">
        <v>35</v>
      </c>
      <c r="R1565" t="n">
        <v>0.1659</v>
      </c>
      <c r="S1565">
        <f>IMAGE("https://mitra.stanford.edu/kundaje/oak/projects/neuro-variants/variant_position/credible/roussos_2024/variant_figures/roussos_2024.childhood.GABA/rs28756069_count_position.png",4,220,900)</f>
        <v/>
      </c>
      <c r="T1565">
        <f>IMAGE("https://mitra.stanford.edu/kundaje/oak/projects/neuro-variants/variant_position/credible/roussos_2024/variant_figures/roussos_2024.childhood.GABA/rs28756069_profile_position.png",4,220,900)</f>
        <v/>
      </c>
    </row>
    <row r="1566">
      <c r="A1566" t="inlineStr">
        <is>
          <t>chr17</t>
        </is>
      </c>
      <c r="B1566" t="n">
        <v>4281346</v>
      </c>
      <c r="C1566" t="inlineStr">
        <is>
          <t>C</t>
        </is>
      </c>
      <c r="D1566" t="inlineStr">
        <is>
          <t>A</t>
        </is>
      </c>
      <c r="E1566" t="inlineStr">
        <is>
          <t>rs9913489</t>
        </is>
      </c>
      <c r="F1566" t="n">
        <v>-0.0338694098</v>
      </c>
      <c r="G1566" t="n">
        <v>0.2700237223266636</v>
      </c>
      <c r="H1566" t="n">
        <v>0.025276966494973</v>
      </c>
      <c r="I1566" t="n">
        <v>0.0279855260813648</v>
      </c>
      <c r="J1566" t="n">
        <v>0.0330820296957131</v>
      </c>
      <c r="K1566" t="n">
        <v>0.5618716972139137</v>
      </c>
      <c r="L1566" t="b">
        <v>0</v>
      </c>
      <c r="M1566" t="b">
        <v>0</v>
      </c>
      <c r="N1566" t="inlineStr">
        <is>
          <t>ref</t>
        </is>
      </c>
      <c r="O1566" t="n">
        <v>-15</v>
      </c>
      <c r="P1566" t="n">
        <v>0.000906</v>
      </c>
      <c r="Q1566" t="n">
        <v>65</v>
      </c>
      <c r="R1566" t="n">
        <v>0.1096</v>
      </c>
      <c r="S1566">
        <f>IMAGE("https://mitra.stanford.edu/kundaje/oak/projects/neuro-variants/variant_position/credible/roussos_2024/variant_figures/roussos_2024.childhood.GABA/rs9913489_count_position.png",4,220,900)</f>
        <v/>
      </c>
      <c r="T1566">
        <f>IMAGE("https://mitra.stanford.edu/kundaje/oak/projects/neuro-variants/variant_position/credible/roussos_2024/variant_figures/roussos_2024.childhood.GABA/rs9913489_profile_position.png",4,220,900)</f>
        <v/>
      </c>
    </row>
    <row r="1567">
      <c r="A1567" t="inlineStr">
        <is>
          <t>chr17</t>
        </is>
      </c>
      <c r="B1567" t="n">
        <v>4282032</v>
      </c>
      <c r="C1567" t="inlineStr">
        <is>
          <t>T</t>
        </is>
      </c>
      <c r="D1567" t="inlineStr">
        <is>
          <t>C</t>
        </is>
      </c>
      <c r="E1567" t="inlineStr">
        <is>
          <t>rs11868068</t>
        </is>
      </c>
      <c r="F1567" t="n">
        <v>0.048235744</v>
      </c>
      <c r="G1567" t="n">
        <v>0.1392394427385061</v>
      </c>
      <c r="H1567" t="n">
        <v>0.0139579651269444</v>
      </c>
      <c r="I1567" t="n">
        <v>0.2839170122895545</v>
      </c>
      <c r="J1567" t="n">
        <v>0.0351291072438272</v>
      </c>
      <c r="K1567" t="n">
        <v>0.5507011227693082</v>
      </c>
      <c r="L1567" t="b">
        <v>0</v>
      </c>
      <c r="M1567" t="b">
        <v>0</v>
      </c>
      <c r="N1567" t="inlineStr">
        <is>
          <t>alt</t>
        </is>
      </c>
      <c r="O1567" t="n">
        <v>-45</v>
      </c>
      <c r="P1567" t="n">
        <v>0.00937</v>
      </c>
      <c r="Q1567" t="n">
        <v>100</v>
      </c>
      <c r="R1567" t="n">
        <v>0.1019</v>
      </c>
      <c r="S1567">
        <f>IMAGE("https://mitra.stanford.edu/kundaje/oak/projects/neuro-variants/variant_position/credible/roussos_2024/variant_figures/roussos_2024.childhood.GABA/rs11868068_count_position.png",4,220,900)</f>
        <v/>
      </c>
      <c r="T1567">
        <f>IMAGE("https://mitra.stanford.edu/kundaje/oak/projects/neuro-variants/variant_position/credible/roussos_2024/variant_figures/roussos_2024.childhood.GABA/rs11868068_profile_position.png",4,220,900)</f>
        <v/>
      </c>
    </row>
    <row r="1568">
      <c r="A1568" t="inlineStr">
        <is>
          <t>chr17</t>
        </is>
      </c>
      <c r="B1568" t="n">
        <v>4302040</v>
      </c>
      <c r="C1568" t="inlineStr">
        <is>
          <t>C</t>
        </is>
      </c>
      <c r="D1568" t="inlineStr">
        <is>
          <t>A</t>
        </is>
      </c>
      <c r="E1568" t="inlineStr">
        <is>
          <t>rs1866175</t>
        </is>
      </c>
      <c r="F1568" t="n">
        <v>-0.0050890877599999</v>
      </c>
      <c r="G1568" t="n">
        <v>0.7849032764395563</v>
      </c>
      <c r="H1568" t="n">
        <v>0.0268553084527628</v>
      </c>
      <c r="I1568" t="n">
        <v>0.0210434242778745</v>
      </c>
      <c r="J1568" t="n">
        <v>0.09696550857573651</v>
      </c>
      <c r="K1568" t="n">
        <v>0.3771789013896259</v>
      </c>
      <c r="L1568" t="b">
        <v>0</v>
      </c>
      <c r="M1568" t="b">
        <v>0</v>
      </c>
      <c r="N1568" t="inlineStr">
        <is>
          <t>ref</t>
        </is>
      </c>
      <c r="O1568" t="n">
        <v>35</v>
      </c>
      <c r="P1568" t="n">
        <v>0.00615</v>
      </c>
      <c r="Q1568" t="n">
        <v>95</v>
      </c>
      <c r="R1568" t="n">
        <v>0.1196</v>
      </c>
      <c r="S1568">
        <f>IMAGE("https://mitra.stanford.edu/kundaje/oak/projects/neuro-variants/variant_position/credible/roussos_2024/variant_figures/roussos_2024.childhood.GABA/rs1866175_count_position.png",4,220,900)</f>
        <v/>
      </c>
      <c r="T1568">
        <f>IMAGE("https://mitra.stanford.edu/kundaje/oak/projects/neuro-variants/variant_position/credible/roussos_2024/variant_figures/roussos_2024.childhood.GABA/rs1866175_profile_position.png",4,220,900)</f>
        <v/>
      </c>
    </row>
    <row r="1569">
      <c r="A1569" t="inlineStr">
        <is>
          <t>chr17</t>
        </is>
      </c>
      <c r="B1569" t="n">
        <v>4309599</v>
      </c>
      <c r="C1569" t="inlineStr">
        <is>
          <t>A</t>
        </is>
      </c>
      <c r="D1569" t="inlineStr">
        <is>
          <t>G</t>
        </is>
      </c>
      <c r="E1569" t="inlineStr">
        <is>
          <t>rs9303185</t>
        </is>
      </c>
      <c r="F1569" t="n">
        <v>-0.08172794879999989</v>
      </c>
      <c r="G1569" t="n">
        <v>0.052680746497381</v>
      </c>
      <c r="H1569" t="n">
        <v>0.0211794782644709</v>
      </c>
      <c r="I1569" t="n">
        <v>0.0589153141738169</v>
      </c>
      <c r="J1569" t="n">
        <v>0.0189263052082678</v>
      </c>
      <c r="K1569" t="n">
        <v>0.6553199417888648</v>
      </c>
      <c r="L1569" t="b">
        <v>0</v>
      </c>
      <c r="M1569" t="b">
        <v>0</v>
      </c>
      <c r="N1569" t="inlineStr">
        <is>
          <t>ref</t>
        </is>
      </c>
      <c r="O1569" t="n">
        <v>-95</v>
      </c>
      <c r="P1569" t="n">
        <v>0.004845</v>
      </c>
      <c r="Q1569" t="n">
        <v>0</v>
      </c>
      <c r="R1569" t="n">
        <v>0</v>
      </c>
      <c r="S1569">
        <f>IMAGE("https://mitra.stanford.edu/kundaje/oak/projects/neuro-variants/variant_position/credible/roussos_2024/variant_figures/roussos_2024.childhood.GABA/rs9303185_count_position.png",4,220,900)</f>
        <v/>
      </c>
      <c r="T1569">
        <f>IMAGE("https://mitra.stanford.edu/kundaje/oak/projects/neuro-variants/variant_position/credible/roussos_2024/variant_figures/roussos_2024.childhood.GABA/rs9303185_profile_position.png",4,220,900)</f>
        <v/>
      </c>
    </row>
    <row r="1570">
      <c r="A1570" t="inlineStr">
        <is>
          <t>chr17</t>
        </is>
      </c>
      <c r="B1570" t="n">
        <v>4321545</v>
      </c>
      <c r="C1570" t="inlineStr">
        <is>
          <t>C</t>
        </is>
      </c>
      <c r="D1570" t="inlineStr">
        <is>
          <t>T</t>
        </is>
      </c>
      <c r="E1570" t="inlineStr">
        <is>
          <t>rs4456561</t>
        </is>
      </c>
      <c r="F1570" t="n">
        <v>-0.065045757</v>
      </c>
      <c r="G1570" t="n">
        <v>0.0857313789805175</v>
      </c>
      <c r="H1570" t="n">
        <v>0.012000663972575</v>
      </c>
      <c r="I1570" t="n">
        <v>0.4353880497535162</v>
      </c>
      <c r="J1570" t="n">
        <v>0.0214068815312768</v>
      </c>
      <c r="K1570" t="n">
        <v>0.6465886832699183</v>
      </c>
      <c r="L1570" t="b">
        <v>0</v>
      </c>
      <c r="M1570" t="b">
        <v>0</v>
      </c>
      <c r="N1570" t="inlineStr">
        <is>
          <t>ref</t>
        </is>
      </c>
      <c r="O1570" t="n">
        <v>-60</v>
      </c>
      <c r="P1570" t="n">
        <v>0.002632</v>
      </c>
      <c r="Q1570" t="n">
        <v>-95</v>
      </c>
      <c r="R1570" t="n">
        <v>0.1216</v>
      </c>
      <c r="S1570">
        <f>IMAGE("https://mitra.stanford.edu/kundaje/oak/projects/neuro-variants/variant_position/credible/roussos_2024/variant_figures/roussos_2024.childhood.GABA/rs4456561_count_position.png",4,220,900)</f>
        <v/>
      </c>
      <c r="T1570">
        <f>IMAGE("https://mitra.stanford.edu/kundaje/oak/projects/neuro-variants/variant_position/credible/roussos_2024/variant_figures/roussos_2024.childhood.GABA/rs4456561_profile_position.png",4,220,900)</f>
        <v/>
      </c>
    </row>
    <row r="1571">
      <c r="A1571" t="inlineStr">
        <is>
          <t>chr17</t>
        </is>
      </c>
      <c r="B1571" t="n">
        <v>4322762</v>
      </c>
      <c r="C1571" t="inlineStr">
        <is>
          <t>T</t>
        </is>
      </c>
      <c r="D1571" t="inlineStr">
        <is>
          <t>G</t>
        </is>
      </c>
      <c r="E1571" t="inlineStr">
        <is>
          <t>rs34499321</t>
        </is>
      </c>
      <c r="F1571" t="n">
        <v>0.041231435</v>
      </c>
      <c r="G1571" t="n">
        <v>0.2046936100216417</v>
      </c>
      <c r="H1571" t="n">
        <v>0.0115474551415989</v>
      </c>
      <c r="I1571" t="n">
        <v>0.4798734188168596</v>
      </c>
      <c r="J1571" t="n">
        <v>0.0613652070113714</v>
      </c>
      <c r="K1571" t="n">
        <v>0.4452953912617547</v>
      </c>
      <c r="L1571" t="b">
        <v>0</v>
      </c>
      <c r="M1571" t="b">
        <v>0</v>
      </c>
      <c r="N1571" t="inlineStr">
        <is>
          <t>alt</t>
        </is>
      </c>
      <c r="O1571" t="n">
        <v>-65</v>
      </c>
      <c r="P1571" t="n">
        <v>0.001698</v>
      </c>
      <c r="Q1571" t="n">
        <v>85</v>
      </c>
      <c r="R1571" t="n">
        <v>0.1109</v>
      </c>
      <c r="S1571">
        <f>IMAGE("https://mitra.stanford.edu/kundaje/oak/projects/neuro-variants/variant_position/credible/roussos_2024/variant_figures/roussos_2024.childhood.GABA/rs34499321_count_position.png",4,220,900)</f>
        <v/>
      </c>
      <c r="T1571">
        <f>IMAGE("https://mitra.stanford.edu/kundaje/oak/projects/neuro-variants/variant_position/credible/roussos_2024/variant_figures/roussos_2024.childhood.GABA/rs34499321_profile_position.png",4,220,900)</f>
        <v/>
      </c>
    </row>
    <row r="1572">
      <c r="A1572" t="inlineStr">
        <is>
          <t>chr17</t>
        </is>
      </c>
      <c r="B1572" t="n">
        <v>4323051</v>
      </c>
      <c r="C1572" t="inlineStr">
        <is>
          <t>T</t>
        </is>
      </c>
      <c r="D1572" t="inlineStr">
        <is>
          <t>C</t>
        </is>
      </c>
      <c r="E1572" t="inlineStr">
        <is>
          <t>rs35513053</t>
        </is>
      </c>
      <c r="F1572" t="n">
        <v>0.06411692799999991</v>
      </c>
      <c r="G1572" t="n">
        <v>0.0834549520690539</v>
      </c>
      <c r="H1572" t="n">
        <v>0.0150307163099168</v>
      </c>
      <c r="I1572" t="n">
        <v>0.2223878031381694</v>
      </c>
      <c r="J1572" t="n">
        <v>0.1111086678813008</v>
      </c>
      <c r="K1572" t="n">
        <v>0.3280569300616297</v>
      </c>
      <c r="L1572" t="b">
        <v>0</v>
      </c>
      <c r="M1572" t="b">
        <v>0</v>
      </c>
      <c r="N1572" t="inlineStr">
        <is>
          <t>alt</t>
        </is>
      </c>
      <c r="O1572" t="n">
        <v>85</v>
      </c>
      <c r="P1572" t="n">
        <v>0.02371</v>
      </c>
      <c r="Q1572" t="n">
        <v>30</v>
      </c>
      <c r="R1572" t="n">
        <v>0.05823</v>
      </c>
      <c r="S1572">
        <f>IMAGE("https://mitra.stanford.edu/kundaje/oak/projects/neuro-variants/variant_position/credible/roussos_2024/variant_figures/roussos_2024.childhood.GABA/rs35513053_count_position.png",4,220,900)</f>
        <v/>
      </c>
      <c r="T1572">
        <f>IMAGE("https://mitra.stanford.edu/kundaje/oak/projects/neuro-variants/variant_position/credible/roussos_2024/variant_figures/roussos_2024.childhood.GABA/rs35513053_profile_position.png",4,220,900)</f>
        <v/>
      </c>
    </row>
    <row r="1573">
      <c r="A1573" t="inlineStr">
        <is>
          <t>chr17</t>
        </is>
      </c>
      <c r="B1573" t="n">
        <v>4366050</v>
      </c>
      <c r="C1573" t="inlineStr">
        <is>
          <t>A</t>
        </is>
      </c>
      <c r="D1573" t="inlineStr">
        <is>
          <t>C</t>
        </is>
      </c>
      <c r="E1573" t="inlineStr">
        <is>
          <t>rs76655185</t>
        </is>
      </c>
      <c r="F1573" t="n">
        <v>0.0143862564</v>
      </c>
      <c r="G1573" t="n">
        <v>0.4938179839397174</v>
      </c>
      <c r="H1573" t="n">
        <v>0.0172671316627484</v>
      </c>
      <c r="I1573" t="n">
        <v>0.1361591460156291</v>
      </c>
      <c r="J1573" t="n">
        <v>0.9577830830767942</v>
      </c>
      <c r="K1573" t="n">
        <v>0.0002032548228781</v>
      </c>
      <c r="L1573" t="b">
        <v>0</v>
      </c>
      <c r="M1573" t="b">
        <v>0</v>
      </c>
      <c r="N1573" t="inlineStr">
        <is>
          <t>alt</t>
        </is>
      </c>
      <c r="O1573" t="n">
        <v>-50</v>
      </c>
      <c r="P1573" t="n">
        <v>0.002125</v>
      </c>
      <c r="Q1573" t="n">
        <v>-100</v>
      </c>
      <c r="R1573" t="n">
        <v>0.0384</v>
      </c>
      <c r="S1573">
        <f>IMAGE("https://mitra.stanford.edu/kundaje/oak/projects/neuro-variants/variant_position/credible/roussos_2024/variant_figures/roussos_2024.childhood.GABA/rs76655185_count_position.png",4,220,900)</f>
        <v/>
      </c>
      <c r="T1573">
        <f>IMAGE("https://mitra.stanford.edu/kundaje/oak/projects/neuro-variants/variant_position/credible/roussos_2024/variant_figures/roussos_2024.childhood.GABA/rs76655185_profile_position.png",4,220,900)</f>
        <v/>
      </c>
    </row>
    <row r="1574">
      <c r="A1574" t="inlineStr">
        <is>
          <t>chr17</t>
        </is>
      </c>
      <c r="B1574" t="n">
        <v>4382134</v>
      </c>
      <c r="C1574" t="inlineStr">
        <is>
          <t>A</t>
        </is>
      </c>
      <c r="D1574" t="inlineStr">
        <is>
          <t>G</t>
        </is>
      </c>
      <c r="E1574" t="inlineStr">
        <is>
          <t>rs9891529</t>
        </is>
      </c>
      <c r="F1574" t="n">
        <v>0.0669359678</v>
      </c>
      <c r="G1574" t="n">
        <v>0.0766964103952353</v>
      </c>
      <c r="H1574" t="n">
        <v>0.0126638412999392</v>
      </c>
      <c r="I1574" t="n">
        <v>0.379753243165619</v>
      </c>
      <c r="J1574" t="n">
        <v>0.3067558794580217</v>
      </c>
      <c r="K1574" t="n">
        <v>0.1323250645799838</v>
      </c>
      <c r="L1574" t="b">
        <v>0</v>
      </c>
      <c r="M1574" t="b">
        <v>0</v>
      </c>
      <c r="N1574" t="inlineStr">
        <is>
          <t>alt</t>
        </is>
      </c>
      <c r="O1574" t="n">
        <v>65</v>
      </c>
      <c r="P1574" t="n">
        <v>0.04834</v>
      </c>
      <c r="Q1574" t="n">
        <v>-10</v>
      </c>
      <c r="R1574" t="n">
        <v>0.00708</v>
      </c>
      <c r="S1574">
        <f>IMAGE("https://mitra.stanford.edu/kundaje/oak/projects/neuro-variants/variant_position/credible/roussos_2024/variant_figures/roussos_2024.childhood.GABA/rs9891529_count_position.png",4,220,900)</f>
        <v/>
      </c>
      <c r="T1574">
        <f>IMAGE("https://mitra.stanford.edu/kundaje/oak/projects/neuro-variants/variant_position/credible/roussos_2024/variant_figures/roussos_2024.childhood.GABA/rs9891529_profile_position.png",4,220,900)</f>
        <v/>
      </c>
    </row>
    <row r="1575">
      <c r="A1575" t="inlineStr">
        <is>
          <t>chr17</t>
        </is>
      </c>
      <c r="B1575" t="n">
        <v>5313674</v>
      </c>
      <c r="C1575" t="inlineStr">
        <is>
          <t>C</t>
        </is>
      </c>
      <c r="D1575" t="inlineStr">
        <is>
          <t>T</t>
        </is>
      </c>
      <c r="E1575" t="inlineStr">
        <is>
          <t>rs16954519</t>
        </is>
      </c>
      <c r="F1575" t="n">
        <v>-0.08436059799999999</v>
      </c>
      <c r="G1575" t="n">
        <v>0.0457294780701411</v>
      </c>
      <c r="H1575" t="n">
        <v>0.0131236837562122</v>
      </c>
      <c r="I1575" t="n">
        <v>0.3442978272833115</v>
      </c>
      <c r="J1575" t="n">
        <v>0.0395970765010156</v>
      </c>
      <c r="K1575" t="n">
        <v>0.5292376402645343</v>
      </c>
      <c r="L1575" t="b">
        <v>0</v>
      </c>
      <c r="M1575" t="b">
        <v>0</v>
      </c>
      <c r="N1575" t="inlineStr">
        <is>
          <t>ref</t>
        </is>
      </c>
      <c r="O1575" t="n">
        <v>-80</v>
      </c>
      <c r="P1575" t="n">
        <v>0.04926</v>
      </c>
      <c r="Q1575" t="n">
        <v>-35</v>
      </c>
      <c r="R1575" t="n">
        <v>0.00659</v>
      </c>
      <c r="S1575">
        <f>IMAGE("https://mitra.stanford.edu/kundaje/oak/projects/neuro-variants/variant_position/credible/roussos_2024/variant_figures/roussos_2024.childhood.GABA/rs16954519_count_position.png",4,220,900)</f>
        <v/>
      </c>
      <c r="T1575">
        <f>IMAGE("https://mitra.stanford.edu/kundaje/oak/projects/neuro-variants/variant_position/credible/roussos_2024/variant_figures/roussos_2024.childhood.GABA/rs16954519_profile_position.png",4,220,900)</f>
        <v/>
      </c>
    </row>
    <row r="1576">
      <c r="A1576" t="inlineStr">
        <is>
          <t>chr17</t>
        </is>
      </c>
      <c r="B1576" t="n">
        <v>12960072</v>
      </c>
      <c r="C1576" t="inlineStr">
        <is>
          <t>C</t>
        </is>
      </c>
      <c r="D1576" t="inlineStr">
        <is>
          <t>T</t>
        </is>
      </c>
      <c r="E1576" t="inlineStr">
        <is>
          <t>rs10445248</t>
        </is>
      </c>
      <c r="F1576" t="n">
        <v>-0.063891536</v>
      </c>
      <c r="G1576" t="n">
        <v>0.09642860471592531</v>
      </c>
      <c r="H1576" t="n">
        <v>0.010142522348002</v>
      </c>
      <c r="I1576" t="n">
        <v>0.6129434123374002</v>
      </c>
      <c r="J1576" t="n">
        <v>0.16334212896065</v>
      </c>
      <c r="K1576" t="n">
        <v>0.2683351861537142</v>
      </c>
      <c r="L1576" t="b">
        <v>0</v>
      </c>
      <c r="M1576" t="b">
        <v>0</v>
      </c>
      <c r="N1576" t="inlineStr">
        <is>
          <t>ref</t>
        </is>
      </c>
      <c r="O1576" t="n">
        <v>100</v>
      </c>
      <c r="P1576" t="n">
        <v>0.0523</v>
      </c>
      <c r="Q1576" t="n">
        <v>100</v>
      </c>
      <c r="R1576" t="n">
        <v>0.104</v>
      </c>
      <c r="S1576">
        <f>IMAGE("https://mitra.stanford.edu/kundaje/oak/projects/neuro-variants/variant_position/credible/roussos_2024/variant_figures/roussos_2024.childhood.GABA/rs10445248_count_position.png",4,220,900)</f>
        <v/>
      </c>
      <c r="T1576">
        <f>IMAGE("https://mitra.stanford.edu/kundaje/oak/projects/neuro-variants/variant_position/credible/roussos_2024/variant_figures/roussos_2024.childhood.GABA/rs10445248_profile_position.png",4,220,900)</f>
        <v/>
      </c>
    </row>
    <row r="1577">
      <c r="A1577" t="inlineStr">
        <is>
          <t>chr17</t>
        </is>
      </c>
      <c r="B1577" t="n">
        <v>12963798</v>
      </c>
      <c r="C1577" t="inlineStr">
        <is>
          <t>C</t>
        </is>
      </c>
      <c r="D1577" t="inlineStr">
        <is>
          <t>T</t>
        </is>
      </c>
      <c r="E1577" t="inlineStr">
        <is>
          <t>rs9646399</t>
        </is>
      </c>
      <c r="F1577" t="n">
        <v>-0.0260316320399999</v>
      </c>
      <c r="G1577" t="n">
        <v>0.3441909728167287</v>
      </c>
      <c r="H1577" t="n">
        <v>0.0111788634250458</v>
      </c>
      <c r="I1577" t="n">
        <v>0.5108902166166721</v>
      </c>
      <c r="J1577" t="n">
        <v>0.1985591924776444</v>
      </c>
      <c r="K1577" t="n">
        <v>0.2164527872451702</v>
      </c>
      <c r="L1577" t="b">
        <v>0</v>
      </c>
      <c r="M1577" t="b">
        <v>0</v>
      </c>
      <c r="N1577" t="inlineStr">
        <is>
          <t>ref</t>
        </is>
      </c>
      <c r="O1577" t="n">
        <v>100</v>
      </c>
      <c r="P1577" t="n">
        <v>0.01329</v>
      </c>
      <c r="Q1577" t="n">
        <v>-95</v>
      </c>
      <c r="R1577" t="n">
        <v>0.1731</v>
      </c>
      <c r="S1577">
        <f>IMAGE("https://mitra.stanford.edu/kundaje/oak/projects/neuro-variants/variant_position/credible/roussos_2024/variant_figures/roussos_2024.childhood.GABA/rs9646399_count_position.png",4,220,900)</f>
        <v/>
      </c>
      <c r="T1577">
        <f>IMAGE("https://mitra.stanford.edu/kundaje/oak/projects/neuro-variants/variant_position/credible/roussos_2024/variant_figures/roussos_2024.childhood.GABA/rs9646399_profile_position.png",4,220,900)</f>
        <v/>
      </c>
    </row>
    <row r="1578">
      <c r="A1578" t="inlineStr">
        <is>
          <t>chr17</t>
        </is>
      </c>
      <c r="B1578" t="n">
        <v>13018133</v>
      </c>
      <c r="C1578" t="inlineStr">
        <is>
          <t>T</t>
        </is>
      </c>
      <c r="D1578" t="inlineStr">
        <is>
          <t>C</t>
        </is>
      </c>
      <c r="E1578" t="inlineStr">
        <is>
          <t>rs2051975</t>
        </is>
      </c>
      <c r="F1578" t="n">
        <v>0.1130696972</v>
      </c>
      <c r="G1578" t="n">
        <v>0.0220562200823766</v>
      </c>
      <c r="H1578" t="n">
        <v>0.0155554477473481</v>
      </c>
      <c r="I1578" t="n">
        <v>0.1955407992638856</v>
      </c>
      <c r="J1578" t="n">
        <v>0.9858002973759712</v>
      </c>
      <c r="K1578" t="n">
        <v>9.510132179137239e-06</v>
      </c>
      <c r="L1578" t="b">
        <v>0</v>
      </c>
      <c r="M1578" t="b">
        <v>0</v>
      </c>
      <c r="N1578" t="inlineStr">
        <is>
          <t>alt</t>
        </is>
      </c>
      <c r="O1578" t="n">
        <v>-10</v>
      </c>
      <c r="P1578" t="n">
        <v>0.006348</v>
      </c>
      <c r="Q1578" t="n">
        <v>20</v>
      </c>
      <c r="R1578" t="n">
        <v>0.07715</v>
      </c>
      <c r="S1578">
        <f>IMAGE("https://mitra.stanford.edu/kundaje/oak/projects/neuro-variants/variant_position/credible/roussos_2024/variant_figures/roussos_2024.childhood.GABA/rs2051975_count_position.png",4,220,900)</f>
        <v/>
      </c>
      <c r="T1578">
        <f>IMAGE("https://mitra.stanford.edu/kundaje/oak/projects/neuro-variants/variant_position/credible/roussos_2024/variant_figures/roussos_2024.childhood.GABA/rs2051975_profile_position.png",4,220,900)</f>
        <v/>
      </c>
    </row>
    <row r="1579">
      <c r="A1579" t="inlineStr">
        <is>
          <t>chr17</t>
        </is>
      </c>
      <c r="B1579" t="n">
        <v>17831426</v>
      </c>
      <c r="C1579" t="inlineStr">
        <is>
          <t>G</t>
        </is>
      </c>
      <c r="D1579" t="inlineStr">
        <is>
          <t>A</t>
        </is>
      </c>
      <c r="E1579" t="inlineStr">
        <is>
          <t>rs1889018</t>
        </is>
      </c>
      <c r="F1579" t="n">
        <v>0.077643751</v>
      </c>
      <c r="G1579" t="n">
        <v>0.0576597855205251</v>
      </c>
      <c r="H1579" t="n">
        <v>0.0181320783363239</v>
      </c>
      <c r="I1579" t="n">
        <v>0.1186678773038374</v>
      </c>
      <c r="J1579" t="n">
        <v>0.3847668111662582</v>
      </c>
      <c r="K1579" t="n">
        <v>0.09084216902802569</v>
      </c>
      <c r="L1579" t="b">
        <v>0</v>
      </c>
      <c r="M1579" t="b">
        <v>0</v>
      </c>
      <c r="N1579" t="inlineStr">
        <is>
          <t>alt</t>
        </is>
      </c>
      <c r="O1579" t="n">
        <v>70</v>
      </c>
      <c r="P1579" t="n">
        <v>0.008540000000000001</v>
      </c>
      <c r="Q1579" t="n">
        <v>25</v>
      </c>
      <c r="R1579" t="n">
        <v>0.02661</v>
      </c>
      <c r="S1579">
        <f>IMAGE("https://mitra.stanford.edu/kundaje/oak/projects/neuro-variants/variant_position/credible/roussos_2024/variant_figures/roussos_2024.childhood.GABA/rs1889018_count_position.png",4,220,900)</f>
        <v/>
      </c>
      <c r="T1579">
        <f>IMAGE("https://mitra.stanford.edu/kundaje/oak/projects/neuro-variants/variant_position/credible/roussos_2024/variant_figures/roussos_2024.childhood.GABA/rs1889018_profile_position.png",4,220,900)</f>
        <v/>
      </c>
    </row>
    <row r="1580">
      <c r="A1580" t="inlineStr">
        <is>
          <t>chr17</t>
        </is>
      </c>
      <c r="B1580" t="n">
        <v>17928159</v>
      </c>
      <c r="C1580" t="inlineStr">
        <is>
          <t>C</t>
        </is>
      </c>
      <c r="D1580" t="inlineStr">
        <is>
          <t>A</t>
        </is>
      </c>
      <c r="E1580" t="inlineStr">
        <is>
          <t>rs56886154</t>
        </is>
      </c>
      <c r="F1580" t="n">
        <v>0.01191306308</v>
      </c>
      <c r="G1580" t="n">
        <v>0.5626341834169214</v>
      </c>
      <c r="H1580" t="n">
        <v>0.0411294288978691</v>
      </c>
      <c r="I1580" t="n">
        <v>0.0034367900133205</v>
      </c>
      <c r="J1580" t="n">
        <v>0.1883447467068752</v>
      </c>
      <c r="K1580" t="n">
        <v>0.2273359267426145</v>
      </c>
      <c r="L1580" t="b">
        <v>1</v>
      </c>
      <c r="M1580" t="b">
        <v>1</v>
      </c>
      <c r="N1580" t="inlineStr">
        <is>
          <t>alt</t>
        </is>
      </c>
      <c r="O1580" t="n">
        <v>95</v>
      </c>
      <c r="P1580" t="n">
        <v>0.0002136</v>
      </c>
      <c r="Q1580" t="n">
        <v>100</v>
      </c>
      <c r="R1580" t="n">
        <v>0.2144</v>
      </c>
      <c r="S1580">
        <f>IMAGE("https://mitra.stanford.edu/kundaje/oak/projects/neuro-variants/variant_position/credible/roussos_2024/variant_figures/roussos_2024.childhood.GABA/rs56886154_count_position.png",4,220,900)</f>
        <v/>
      </c>
      <c r="T1580">
        <f>IMAGE("https://mitra.stanford.edu/kundaje/oak/projects/neuro-variants/variant_position/credible/roussos_2024/variant_figures/roussos_2024.childhood.GABA/rs56886154_profile_position.png",4,220,900)</f>
        <v/>
      </c>
    </row>
    <row r="1581">
      <c r="A1581" t="inlineStr">
        <is>
          <t>chr17</t>
        </is>
      </c>
      <c r="B1581" t="n">
        <v>19250104</v>
      </c>
      <c r="C1581" t="inlineStr">
        <is>
          <t>T</t>
        </is>
      </c>
      <c r="D1581" t="inlineStr">
        <is>
          <t>C</t>
        </is>
      </c>
      <c r="E1581" t="inlineStr">
        <is>
          <t>rs4273100</t>
        </is>
      </c>
      <c r="F1581" t="n">
        <v>-0.005287064752</v>
      </c>
      <c r="G1581" t="n">
        <v>0.7173611201556497</v>
      </c>
      <c r="H1581" t="n">
        <v>0.0320606956135769</v>
      </c>
      <c r="I1581" t="n">
        <v>0.009552953516774701</v>
      </c>
      <c r="J1581" t="n">
        <v>0.3841752005193608</v>
      </c>
      <c r="K1581" t="n">
        <v>0.0922707774097684</v>
      </c>
      <c r="L1581" t="b">
        <v>1</v>
      </c>
      <c r="M1581" t="b">
        <v>1</v>
      </c>
      <c r="N1581" t="inlineStr">
        <is>
          <t>ref</t>
        </is>
      </c>
      <c r="O1581" t="n">
        <v>100</v>
      </c>
      <c r="P1581" t="n">
        <v>0.008710000000000001</v>
      </c>
      <c r="Q1581" t="n">
        <v>-50</v>
      </c>
      <c r="R1581" t="n">
        <v>0.1301</v>
      </c>
      <c r="S1581">
        <f>IMAGE("https://mitra.stanford.edu/kundaje/oak/projects/neuro-variants/variant_position/credible/roussos_2024/variant_figures/roussos_2024.childhood.GABA/rs4273100_count_position.png",4,220,900)</f>
        <v/>
      </c>
      <c r="T1581">
        <f>IMAGE("https://mitra.stanford.edu/kundaje/oak/projects/neuro-variants/variant_position/credible/roussos_2024/variant_figures/roussos_2024.childhood.GABA/rs4273100_profile_position.png",4,220,900)</f>
        <v/>
      </c>
    </row>
    <row r="1582">
      <c r="A1582" t="inlineStr">
        <is>
          <t>chr17</t>
        </is>
      </c>
      <c r="B1582" t="n">
        <v>19269192</v>
      </c>
      <c r="C1582" t="inlineStr">
        <is>
          <t>A</t>
        </is>
      </c>
      <c r="D1582" t="inlineStr">
        <is>
          <t>G</t>
        </is>
      </c>
      <c r="E1582" t="inlineStr">
        <is>
          <t>rs28760541</t>
        </is>
      </c>
      <c r="F1582" t="n">
        <v>0.0333389201</v>
      </c>
      <c r="G1582" t="n">
        <v>0.2617081442950913</v>
      </c>
      <c r="H1582" t="n">
        <v>0.0143587820838648</v>
      </c>
      <c r="I1582" t="n">
        <v>0.2533642861540058</v>
      </c>
      <c r="J1582" t="n">
        <v>0.1567359845867102</v>
      </c>
      <c r="K1582" t="n">
        <v>0.2618937212074428</v>
      </c>
      <c r="L1582" t="b">
        <v>0</v>
      </c>
      <c r="M1582" t="b">
        <v>0</v>
      </c>
      <c r="N1582" t="inlineStr">
        <is>
          <t>alt</t>
        </is>
      </c>
      <c r="O1582" t="n">
        <v>70</v>
      </c>
      <c r="P1582" t="n">
        <v>0.00554</v>
      </c>
      <c r="Q1582" t="n">
        <v>100</v>
      </c>
      <c r="R1582" t="n">
        <v>0.075</v>
      </c>
      <c r="S1582">
        <f>IMAGE("https://mitra.stanford.edu/kundaje/oak/projects/neuro-variants/variant_position/credible/roussos_2024/variant_figures/roussos_2024.childhood.GABA/rs28760541_count_position.png",4,220,900)</f>
        <v/>
      </c>
      <c r="T1582">
        <f>IMAGE("https://mitra.stanford.edu/kundaje/oak/projects/neuro-variants/variant_position/credible/roussos_2024/variant_figures/roussos_2024.childhood.GABA/rs28760541_profile_position.png",4,220,900)</f>
        <v/>
      </c>
    </row>
    <row r="1583">
      <c r="A1583" t="inlineStr">
        <is>
          <t>chr17</t>
        </is>
      </c>
      <c r="B1583" t="n">
        <v>19299719</v>
      </c>
      <c r="C1583" t="inlineStr">
        <is>
          <t>A</t>
        </is>
      </c>
      <c r="D1583" t="inlineStr">
        <is>
          <t>G</t>
        </is>
      </c>
      <c r="E1583" t="inlineStr">
        <is>
          <t>rs16960499</t>
        </is>
      </c>
      <c r="F1583" t="n">
        <v>0.0063950352599999</v>
      </c>
      <c r="G1583" t="n">
        <v>0.5961235108611005</v>
      </c>
      <c r="H1583" t="n">
        <v>0.0128814401004013</v>
      </c>
      <c r="I1583" t="n">
        <v>0.3656686274619227</v>
      </c>
      <c r="J1583" t="n">
        <v>0.1820621557663713</v>
      </c>
      <c r="K1583" t="n">
        <v>0.243510879250262</v>
      </c>
      <c r="L1583" t="b">
        <v>0</v>
      </c>
      <c r="M1583" t="b">
        <v>0</v>
      </c>
      <c r="N1583" t="inlineStr">
        <is>
          <t>alt</t>
        </is>
      </c>
      <c r="O1583" t="n">
        <v>80</v>
      </c>
      <c r="P1583" t="n">
        <v>0.0010195</v>
      </c>
      <c r="Q1583" t="n">
        <v>-60</v>
      </c>
      <c r="R1583" t="n">
        <v>0.0418</v>
      </c>
      <c r="S1583">
        <f>IMAGE("https://mitra.stanford.edu/kundaje/oak/projects/neuro-variants/variant_position/credible/roussos_2024/variant_figures/roussos_2024.childhood.GABA/rs16960499_count_position.png",4,220,900)</f>
        <v/>
      </c>
      <c r="T1583">
        <f>IMAGE("https://mitra.stanford.edu/kundaje/oak/projects/neuro-variants/variant_position/credible/roussos_2024/variant_figures/roussos_2024.childhood.GABA/rs16960499_profile_position.png",4,220,900)</f>
        <v/>
      </c>
    </row>
    <row r="1584">
      <c r="A1584" t="inlineStr">
        <is>
          <t>chr17</t>
        </is>
      </c>
      <c r="B1584" t="n">
        <v>19372886</v>
      </c>
      <c r="C1584" t="inlineStr">
        <is>
          <t>G</t>
        </is>
      </c>
      <c r="D1584" t="inlineStr">
        <is>
          <t>A</t>
        </is>
      </c>
      <c r="E1584" t="inlineStr">
        <is>
          <t>rs2048230</t>
        </is>
      </c>
      <c r="F1584" t="n">
        <v>-0.0515179839999999</v>
      </c>
      <c r="G1584" t="n">
        <v>0.1363420026280005</v>
      </c>
      <c r="H1584" t="n">
        <v>0.0105800349244056</v>
      </c>
      <c r="I1584" t="n">
        <v>0.5661506212646208</v>
      </c>
      <c r="J1584" t="n">
        <v>0.5050292140478734</v>
      </c>
      <c r="K1584" t="n">
        <v>0.0476647914693688</v>
      </c>
      <c r="L1584" t="b">
        <v>0</v>
      </c>
      <c r="M1584" t="b">
        <v>0</v>
      </c>
      <c r="N1584" t="inlineStr">
        <is>
          <t>ref</t>
        </is>
      </c>
      <c r="O1584" t="n">
        <v>100</v>
      </c>
      <c r="P1584" t="n">
        <v>0.010826</v>
      </c>
      <c r="Q1584" t="n">
        <v>100</v>
      </c>
      <c r="R1584" t="n">
        <v>0.2808</v>
      </c>
      <c r="S1584">
        <f>IMAGE("https://mitra.stanford.edu/kundaje/oak/projects/neuro-variants/variant_position/credible/roussos_2024/variant_figures/roussos_2024.childhood.GABA/rs2048230_count_position.png",4,220,900)</f>
        <v/>
      </c>
      <c r="T1584">
        <f>IMAGE("https://mitra.stanford.edu/kundaje/oak/projects/neuro-variants/variant_position/credible/roussos_2024/variant_figures/roussos_2024.childhood.GABA/rs2048230_profile_position.png",4,220,900)</f>
        <v/>
      </c>
    </row>
    <row r="1585">
      <c r="A1585" t="inlineStr">
        <is>
          <t>chr17</t>
        </is>
      </c>
      <c r="B1585" t="n">
        <v>19488817</v>
      </c>
      <c r="C1585" t="inlineStr">
        <is>
          <t>A</t>
        </is>
      </c>
      <c r="D1585" t="inlineStr">
        <is>
          <t>G</t>
        </is>
      </c>
      <c r="E1585" t="inlineStr">
        <is>
          <t>rs2428582</t>
        </is>
      </c>
      <c r="F1585" t="n">
        <v>-0.0201826305</v>
      </c>
      <c r="G1585" t="n">
        <v>0.3372701861964128</v>
      </c>
      <c r="H1585" t="n">
        <v>0.009500869798862201</v>
      </c>
      <c r="I1585" t="n">
        <v>0.6982290857933802</v>
      </c>
      <c r="J1585" t="n">
        <v>0.2906043852484764</v>
      </c>
      <c r="K1585" t="n">
        <v>0.1448349398103965</v>
      </c>
      <c r="L1585" t="b">
        <v>0</v>
      </c>
      <c r="M1585" t="b">
        <v>0</v>
      </c>
      <c r="N1585" t="inlineStr">
        <is>
          <t>ref</t>
        </is>
      </c>
      <c r="O1585" t="n">
        <v>-90</v>
      </c>
      <c r="P1585" t="n">
        <v>0.00275</v>
      </c>
      <c r="Q1585" t="n">
        <v>-80</v>
      </c>
      <c r="R1585" t="n">
        <v>0.07489999999999999</v>
      </c>
      <c r="S1585">
        <f>IMAGE("https://mitra.stanford.edu/kundaje/oak/projects/neuro-variants/variant_position/credible/roussos_2024/variant_figures/roussos_2024.childhood.GABA/rs2428582_count_position.png",4,220,900)</f>
        <v/>
      </c>
      <c r="T1585">
        <f>IMAGE("https://mitra.stanford.edu/kundaje/oak/projects/neuro-variants/variant_position/credible/roussos_2024/variant_figures/roussos_2024.childhood.GABA/rs2428582_profile_position.png",4,220,900)</f>
        <v/>
      </c>
    </row>
    <row r="1586">
      <c r="A1586" t="inlineStr">
        <is>
          <t>chr17</t>
        </is>
      </c>
      <c r="B1586" t="n">
        <v>20014143</v>
      </c>
      <c r="C1586" t="inlineStr">
        <is>
          <t>C</t>
        </is>
      </c>
      <c r="D1586" t="inlineStr">
        <is>
          <t>A</t>
        </is>
      </c>
      <c r="E1586" t="inlineStr">
        <is>
          <t>rs9915039</t>
        </is>
      </c>
      <c r="F1586" t="n">
        <v>0.0433138544</v>
      </c>
      <c r="G1586" t="n">
        <v>0.1854409924669727</v>
      </c>
      <c r="H1586" t="n">
        <v>0.0295762031253046</v>
      </c>
      <c r="I1586" t="n">
        <v>0.0133168134035977</v>
      </c>
      <c r="J1586" t="n">
        <v>0.0197503717199639</v>
      </c>
      <c r="K1586" t="n">
        <v>0.6472593585330499</v>
      </c>
      <c r="L1586" t="b">
        <v>1</v>
      </c>
      <c r="M1586" t="b">
        <v>0</v>
      </c>
      <c r="N1586" t="inlineStr">
        <is>
          <t>alt</t>
        </is>
      </c>
      <c r="O1586" t="n">
        <v>75</v>
      </c>
      <c r="P1586" t="n">
        <v>0.001392</v>
      </c>
      <c r="Q1586" t="n">
        <v>-70</v>
      </c>
      <c r="R1586" t="n">
        <v>0.10046</v>
      </c>
      <c r="S1586">
        <f>IMAGE("https://mitra.stanford.edu/kundaje/oak/projects/neuro-variants/variant_position/credible/roussos_2024/variant_figures/roussos_2024.childhood.GABA/rs9915039_count_position.png",4,220,900)</f>
        <v/>
      </c>
      <c r="T1586">
        <f>IMAGE("https://mitra.stanford.edu/kundaje/oak/projects/neuro-variants/variant_position/credible/roussos_2024/variant_figures/roussos_2024.childhood.GABA/rs9915039_profile_position.png",4,220,900)</f>
        <v/>
      </c>
    </row>
    <row r="1587">
      <c r="A1587" t="inlineStr">
        <is>
          <t>chr17</t>
        </is>
      </c>
      <c r="B1587" t="n">
        <v>20016845</v>
      </c>
      <c r="C1587" t="inlineStr">
        <is>
          <t>T</t>
        </is>
      </c>
      <c r="D1587" t="inlineStr">
        <is>
          <t>C</t>
        </is>
      </c>
      <c r="E1587" t="inlineStr">
        <is>
          <t>rs28767032</t>
        </is>
      </c>
      <c r="F1587" t="n">
        <v>0.1029636968</v>
      </c>
      <c r="G1587" t="n">
        <v>0.02743899900882</v>
      </c>
      <c r="H1587" t="n">
        <v>0.0282713551589698</v>
      </c>
      <c r="I1587" t="n">
        <v>0.0181235903468943</v>
      </c>
      <c r="J1587" t="n">
        <v>0.6699451320391197</v>
      </c>
      <c r="K1587" t="n">
        <v>0.0181954944950636</v>
      </c>
      <c r="L1587" t="b">
        <v>1</v>
      </c>
      <c r="M1587" t="b">
        <v>0</v>
      </c>
      <c r="N1587" t="inlineStr">
        <is>
          <t>alt</t>
        </is>
      </c>
      <c r="O1587" t="n">
        <v>-70</v>
      </c>
      <c r="P1587" t="n">
        <v>0.00415</v>
      </c>
      <c r="Q1587" t="n">
        <v>-95</v>
      </c>
      <c r="R1587" t="n">
        <v>0.1422</v>
      </c>
      <c r="S1587">
        <f>IMAGE("https://mitra.stanford.edu/kundaje/oak/projects/neuro-variants/variant_position/credible/roussos_2024/variant_figures/roussos_2024.childhood.GABA/rs28767032_count_position.png",4,220,900)</f>
        <v/>
      </c>
      <c r="T1587">
        <f>IMAGE("https://mitra.stanford.edu/kundaje/oak/projects/neuro-variants/variant_position/credible/roussos_2024/variant_figures/roussos_2024.childhood.GABA/rs28767032_profile_position.png",4,220,900)</f>
        <v/>
      </c>
    </row>
    <row r="1588">
      <c r="A1588" t="inlineStr">
        <is>
          <t>chr17</t>
        </is>
      </c>
      <c r="B1588" t="n">
        <v>20037695</v>
      </c>
      <c r="C1588" t="inlineStr">
        <is>
          <t>G</t>
        </is>
      </c>
      <c r="D1588" t="inlineStr">
        <is>
          <t>T</t>
        </is>
      </c>
      <c r="E1588" t="inlineStr">
        <is>
          <t>rs8082671</t>
        </is>
      </c>
      <c r="F1588" t="n">
        <v>-0.0057640858519999</v>
      </c>
      <c r="G1588" t="n">
        <v>0.5600940321280947</v>
      </c>
      <c r="H1588" t="n">
        <v>0.010918913919547</v>
      </c>
      <c r="I1588" t="n">
        <v>0.5388585166956653</v>
      </c>
      <c r="J1588" t="n">
        <v>0.0019821574417289</v>
      </c>
      <c r="K1588" t="n">
        <v>0.880564467748951</v>
      </c>
      <c r="L1588" t="b">
        <v>0</v>
      </c>
      <c r="M1588" t="b">
        <v>0</v>
      </c>
      <c r="N1588" t="inlineStr">
        <is>
          <t>ref</t>
        </is>
      </c>
      <c r="O1588" t="n">
        <v>100</v>
      </c>
      <c r="P1588" t="n">
        <v>0.002396</v>
      </c>
      <c r="Q1588" t="n">
        <v>-100</v>
      </c>
      <c r="R1588" t="n">
        <v>0.06604</v>
      </c>
      <c r="S1588">
        <f>IMAGE("https://mitra.stanford.edu/kundaje/oak/projects/neuro-variants/variant_position/credible/roussos_2024/variant_figures/roussos_2024.childhood.GABA/rs8082671_count_position.png",4,220,900)</f>
        <v/>
      </c>
      <c r="T1588">
        <f>IMAGE("https://mitra.stanford.edu/kundaje/oak/projects/neuro-variants/variant_position/credible/roussos_2024/variant_figures/roussos_2024.childhood.GABA/rs8082671_profile_position.png",4,220,900)</f>
        <v/>
      </c>
    </row>
    <row r="1589">
      <c r="A1589" t="inlineStr">
        <is>
          <t>chr17</t>
        </is>
      </c>
      <c r="B1589" t="n">
        <v>20038566</v>
      </c>
      <c r="C1589" t="inlineStr">
        <is>
          <t>C</t>
        </is>
      </c>
      <c r="D1589" t="inlineStr">
        <is>
          <t>A</t>
        </is>
      </c>
      <c r="E1589" t="inlineStr">
        <is>
          <t>rs8065337</t>
        </is>
      </c>
      <c r="F1589" t="n">
        <v>0.00519055836</v>
      </c>
      <c r="G1589" t="n">
        <v>0.7617382224289431</v>
      </c>
      <c r="H1589" t="n">
        <v>0.0175126939659922</v>
      </c>
      <c r="I1589" t="n">
        <v>0.1282559035146222</v>
      </c>
      <c r="J1589" t="n">
        <v>0.0070522083307155</v>
      </c>
      <c r="K1589" t="n">
        <v>0.7761951194426311</v>
      </c>
      <c r="L1589" t="b">
        <v>0</v>
      </c>
      <c r="M1589" t="b">
        <v>0</v>
      </c>
      <c r="N1589" t="inlineStr">
        <is>
          <t>alt</t>
        </is>
      </c>
      <c r="O1589" t="n">
        <v>-45</v>
      </c>
      <c r="P1589" t="n">
        <v>0.04633</v>
      </c>
      <c r="Q1589" t="n">
        <v>-100</v>
      </c>
      <c r="R1589" t="n">
        <v>0.02045</v>
      </c>
      <c r="S1589">
        <f>IMAGE("https://mitra.stanford.edu/kundaje/oak/projects/neuro-variants/variant_position/credible/roussos_2024/variant_figures/roussos_2024.childhood.GABA/rs8065337_count_position.png",4,220,900)</f>
        <v/>
      </c>
      <c r="T1589">
        <f>IMAGE("https://mitra.stanford.edu/kundaje/oak/projects/neuro-variants/variant_position/credible/roussos_2024/variant_figures/roussos_2024.childhood.GABA/rs8065337_profile_position.png",4,220,900)</f>
        <v/>
      </c>
    </row>
    <row r="1590">
      <c r="A1590" t="inlineStr">
        <is>
          <t>chr17</t>
        </is>
      </c>
      <c r="B1590" t="n">
        <v>20039537</v>
      </c>
      <c r="C1590" t="inlineStr">
        <is>
          <t>G</t>
        </is>
      </c>
      <c r="D1590" t="inlineStr">
        <is>
          <t>A</t>
        </is>
      </c>
      <c r="E1590" t="inlineStr">
        <is>
          <t>rs28807825</t>
        </is>
      </c>
      <c r="F1590" t="n">
        <v>-0.02507335564</v>
      </c>
      <c r="G1590" t="n">
        <v>0.3816287083028346</v>
      </c>
      <c r="H1590" t="n">
        <v>0.009526198762378301</v>
      </c>
      <c r="I1590" t="n">
        <v>0.6683442327697217</v>
      </c>
      <c r="J1590" t="n">
        <v>0.0122154509853196</v>
      </c>
      <c r="K1590" t="n">
        <v>0.7141042941917313</v>
      </c>
      <c r="L1590" t="b">
        <v>0</v>
      </c>
      <c r="M1590" t="b">
        <v>0</v>
      </c>
      <c r="N1590" t="inlineStr">
        <is>
          <t>ref</t>
        </is>
      </c>
      <c r="O1590" t="n">
        <v>-20</v>
      </c>
      <c r="P1590" t="n">
        <v>0.001175</v>
      </c>
      <c r="Q1590" t="n">
        <v>-50</v>
      </c>
      <c r="R1590" t="n">
        <v>0.04477</v>
      </c>
      <c r="S1590">
        <f>IMAGE("https://mitra.stanford.edu/kundaje/oak/projects/neuro-variants/variant_position/credible/roussos_2024/variant_figures/roussos_2024.childhood.GABA/rs28807825_count_position.png",4,220,900)</f>
        <v/>
      </c>
      <c r="T1590">
        <f>IMAGE("https://mitra.stanford.edu/kundaje/oak/projects/neuro-variants/variant_position/credible/roussos_2024/variant_figures/roussos_2024.childhood.GABA/rs28807825_profile_position.png",4,220,900)</f>
        <v/>
      </c>
    </row>
    <row r="1591">
      <c r="A1591" t="inlineStr">
        <is>
          <t>chr17</t>
        </is>
      </c>
      <c r="B1591" t="n">
        <v>20043976</v>
      </c>
      <c r="C1591" t="inlineStr">
        <is>
          <t>A</t>
        </is>
      </c>
      <c r="D1591" t="inlineStr">
        <is>
          <t>C</t>
        </is>
      </c>
      <c r="E1591" t="inlineStr">
        <is>
          <t>rs9914328</t>
        </is>
      </c>
      <c r="F1591" t="n">
        <v>0.08163553599999999</v>
      </c>
      <c r="G1591" t="n">
        <v>0.054444361414921</v>
      </c>
      <c r="H1591" t="n">
        <v>0.0159359427045605</v>
      </c>
      <c r="I1591" t="n">
        <v>0.1852692246823281</v>
      </c>
      <c r="J1591" t="n">
        <v>0.0879227660153713</v>
      </c>
      <c r="K1591" t="n">
        <v>0.3755504982454339</v>
      </c>
      <c r="L1591" t="b">
        <v>0</v>
      </c>
      <c r="M1591" t="b">
        <v>0</v>
      </c>
      <c r="N1591" t="inlineStr">
        <is>
          <t>alt</t>
        </is>
      </c>
      <c r="O1591" t="n">
        <v>100</v>
      </c>
      <c r="P1591" t="n">
        <v>0.0005875</v>
      </c>
      <c r="Q1591" t="n">
        <v>95</v>
      </c>
      <c r="R1591" t="n">
        <v>0.07227</v>
      </c>
      <c r="S1591">
        <f>IMAGE("https://mitra.stanford.edu/kundaje/oak/projects/neuro-variants/variant_position/credible/roussos_2024/variant_figures/roussos_2024.childhood.GABA/rs9914328_count_position.png",4,220,900)</f>
        <v/>
      </c>
      <c r="T1591">
        <f>IMAGE("https://mitra.stanford.edu/kundaje/oak/projects/neuro-variants/variant_position/credible/roussos_2024/variant_figures/roussos_2024.childhood.GABA/rs9914328_profile_position.png",4,220,900)</f>
        <v/>
      </c>
    </row>
    <row r="1592">
      <c r="A1592" t="inlineStr">
        <is>
          <t>chr17</t>
        </is>
      </c>
      <c r="B1592" t="n">
        <v>20044376</v>
      </c>
      <c r="C1592" t="inlineStr">
        <is>
          <t>G</t>
        </is>
      </c>
      <c r="D1592" t="inlineStr">
        <is>
          <t>A</t>
        </is>
      </c>
      <c r="E1592" t="inlineStr">
        <is>
          <t>rs7221669</t>
        </is>
      </c>
      <c r="F1592" t="n">
        <v>0.104284726</v>
      </c>
      <c r="G1592" t="n">
        <v>0.0278796244634914</v>
      </c>
      <c r="H1592" t="n">
        <v>0.0304111830700292</v>
      </c>
      <c r="I1592" t="n">
        <v>0.0131636761070484</v>
      </c>
      <c r="J1592" t="n">
        <v>0.113904420849825</v>
      </c>
      <c r="K1592" t="n">
        <v>0.322542914961359</v>
      </c>
      <c r="L1592" t="b">
        <v>1</v>
      </c>
      <c r="M1592" t="b">
        <v>0</v>
      </c>
      <c r="N1592" t="inlineStr">
        <is>
          <t>alt</t>
        </is>
      </c>
      <c r="O1592" t="n">
        <v>-100</v>
      </c>
      <c r="P1592" t="n">
        <v>0.004673</v>
      </c>
      <c r="Q1592" t="n">
        <v>-100</v>
      </c>
      <c r="R1592" t="n">
        <v>0.1315</v>
      </c>
      <c r="S1592">
        <f>IMAGE("https://mitra.stanford.edu/kundaje/oak/projects/neuro-variants/variant_position/credible/roussos_2024/variant_figures/roussos_2024.childhood.GABA/rs7221669_count_position.png",4,220,900)</f>
        <v/>
      </c>
      <c r="T1592">
        <f>IMAGE("https://mitra.stanford.edu/kundaje/oak/projects/neuro-variants/variant_position/credible/roussos_2024/variant_figures/roussos_2024.childhood.GABA/rs7221669_profile_position.png",4,220,900)</f>
        <v/>
      </c>
    </row>
    <row r="1593">
      <c r="A1593" t="inlineStr">
        <is>
          <t>chr17</t>
        </is>
      </c>
      <c r="B1593" t="n">
        <v>20044649</v>
      </c>
      <c r="C1593" t="inlineStr">
        <is>
          <t>T</t>
        </is>
      </c>
      <c r="D1593" t="inlineStr">
        <is>
          <t>C</t>
        </is>
      </c>
      <c r="E1593" t="inlineStr">
        <is>
          <t>rs3909257</t>
        </is>
      </c>
      <c r="F1593" t="n">
        <v>0.0624430069999999</v>
      </c>
      <c r="G1593" t="n">
        <v>0.0882710982317116</v>
      </c>
      <c r="H1593" t="n">
        <v>0.0114500423613698</v>
      </c>
      <c r="I1593" t="n">
        <v>0.4779288970125079</v>
      </c>
      <c r="J1593" t="n">
        <v>0.1056752738162551</v>
      </c>
      <c r="K1593" t="n">
        <v>0.3370232703362931</v>
      </c>
      <c r="L1593" t="b">
        <v>0</v>
      </c>
      <c r="M1593" t="b">
        <v>0</v>
      </c>
      <c r="N1593" t="inlineStr">
        <is>
          <t>alt</t>
        </is>
      </c>
      <c r="O1593" t="n">
        <v>-90</v>
      </c>
      <c r="P1593" t="n">
        <v>0.00851</v>
      </c>
      <c r="Q1593" t="n">
        <v>80</v>
      </c>
      <c r="R1593" t="n">
        <v>0.09014999999999999</v>
      </c>
      <c r="S1593">
        <f>IMAGE("https://mitra.stanford.edu/kundaje/oak/projects/neuro-variants/variant_position/credible/roussos_2024/variant_figures/roussos_2024.childhood.GABA/rs3909257_count_position.png",4,220,900)</f>
        <v/>
      </c>
      <c r="T1593">
        <f>IMAGE("https://mitra.stanford.edu/kundaje/oak/projects/neuro-variants/variant_position/credible/roussos_2024/variant_figures/roussos_2024.childhood.GABA/rs3909257_profile_position.png",4,220,900)</f>
        <v/>
      </c>
    </row>
    <row r="1594">
      <c r="A1594" t="inlineStr">
        <is>
          <t>chr17</t>
        </is>
      </c>
      <c r="B1594" t="n">
        <v>20078963</v>
      </c>
      <c r="C1594" t="inlineStr">
        <is>
          <t>G</t>
        </is>
      </c>
      <c r="D1594" t="inlineStr">
        <is>
          <t>A</t>
        </is>
      </c>
      <c r="E1594" t="inlineStr">
        <is>
          <t>rs4925077</t>
        </is>
      </c>
      <c r="F1594" t="n">
        <v>-0.0216380522</v>
      </c>
      <c r="G1594" t="n">
        <v>0.4116088983807715</v>
      </c>
      <c r="H1594" t="n">
        <v>0.0195887269192303</v>
      </c>
      <c r="I1594" t="n">
        <v>0.0831064553434557</v>
      </c>
      <c r="J1594" t="n">
        <v>0.0609076249712047</v>
      </c>
      <c r="K1594" t="n">
        <v>0.458207456779189</v>
      </c>
      <c r="L1594" t="b">
        <v>0</v>
      </c>
      <c r="M1594" t="b">
        <v>0</v>
      </c>
      <c r="N1594" t="inlineStr">
        <is>
          <t>ref</t>
        </is>
      </c>
      <c r="O1594" t="n">
        <v>-100</v>
      </c>
      <c r="P1594" t="n">
        <v>0.00516</v>
      </c>
      <c r="Q1594" t="n">
        <v>95</v>
      </c>
      <c r="R1594" t="n">
        <v>0.0675</v>
      </c>
      <c r="S1594">
        <f>IMAGE("https://mitra.stanford.edu/kundaje/oak/projects/neuro-variants/variant_position/credible/roussos_2024/variant_figures/roussos_2024.childhood.GABA/rs4925077_count_position.png",4,220,900)</f>
        <v/>
      </c>
      <c r="T1594">
        <f>IMAGE("https://mitra.stanford.edu/kundaje/oak/projects/neuro-variants/variant_position/credible/roussos_2024/variant_figures/roussos_2024.childhood.GABA/rs4925077_profile_position.png",4,220,900)</f>
        <v/>
      </c>
    </row>
    <row r="1595">
      <c r="A1595" t="inlineStr">
        <is>
          <t>chr17</t>
        </is>
      </c>
      <c r="B1595" t="n">
        <v>20111810</v>
      </c>
      <c r="C1595" t="inlineStr">
        <is>
          <t>G</t>
        </is>
      </c>
      <c r="D1595" t="inlineStr">
        <is>
          <t>T</t>
        </is>
      </c>
      <c r="E1595" t="inlineStr">
        <is>
          <t>rs35602968</t>
        </is>
      </c>
      <c r="F1595" t="n">
        <v>-0.168425774</v>
      </c>
      <c r="G1595" t="n">
        <v>0.008280361691144499</v>
      </c>
      <c r="H1595" t="n">
        <v>0.0262484964564978</v>
      </c>
      <c r="I1595" t="n">
        <v>0.0251887575082213</v>
      </c>
      <c r="J1595" t="n">
        <v>0.2155159054260643</v>
      </c>
      <c r="K1595" t="n">
        <v>0.2009548868024189</v>
      </c>
      <c r="L1595" t="b">
        <v>1</v>
      </c>
      <c r="M1595" t="b">
        <v>1</v>
      </c>
      <c r="N1595" t="inlineStr">
        <is>
          <t>ref</t>
        </is>
      </c>
      <c r="O1595" t="n">
        <v>-95</v>
      </c>
      <c r="P1595" t="n">
        <v>0.01215</v>
      </c>
      <c r="Q1595" t="n">
        <v>-85</v>
      </c>
      <c r="R1595" t="n">
        <v>0.1877</v>
      </c>
      <c r="S1595">
        <f>IMAGE("https://mitra.stanford.edu/kundaje/oak/projects/neuro-variants/variant_position/credible/roussos_2024/variant_figures/roussos_2024.childhood.GABA/rs35602968_count_position.png",4,220,900)</f>
        <v/>
      </c>
      <c r="T1595">
        <f>IMAGE("https://mitra.stanford.edu/kundaje/oak/projects/neuro-variants/variant_position/credible/roussos_2024/variant_figures/roussos_2024.childhood.GABA/rs35602968_profile_position.png",4,220,900)</f>
        <v/>
      </c>
    </row>
    <row r="1596">
      <c r="A1596" t="inlineStr">
        <is>
          <t>chr17</t>
        </is>
      </c>
      <c r="B1596" t="n">
        <v>20142345</v>
      </c>
      <c r="C1596" t="inlineStr">
        <is>
          <t>A</t>
        </is>
      </c>
      <c r="D1596" t="inlineStr">
        <is>
          <t>G</t>
        </is>
      </c>
      <c r="E1596" t="inlineStr">
        <is>
          <t>rs7212500</t>
        </is>
      </c>
      <c r="F1596" t="n">
        <v>0.0213252994</v>
      </c>
      <c r="G1596" t="n">
        <v>0.3910691436436884</v>
      </c>
      <c r="H1596" t="n">
        <v>0.0103924870924323</v>
      </c>
      <c r="I1596" t="n">
        <v>0.601106753086763</v>
      </c>
      <c r="J1596" t="n">
        <v>0.07868421603736039</v>
      </c>
      <c r="K1596" t="n">
        <v>0.4122719910173077</v>
      </c>
      <c r="L1596" t="b">
        <v>0</v>
      </c>
      <c r="M1596" t="b">
        <v>0</v>
      </c>
      <c r="N1596" t="inlineStr">
        <is>
          <t>alt</t>
        </is>
      </c>
      <c r="O1596" t="n">
        <v>-50</v>
      </c>
      <c r="P1596" t="n">
        <v>0.02301</v>
      </c>
      <c r="Q1596" t="n">
        <v>-85</v>
      </c>
      <c r="R1596" t="n">
        <v>0.05664</v>
      </c>
      <c r="S1596">
        <f>IMAGE("https://mitra.stanford.edu/kundaje/oak/projects/neuro-variants/variant_position/credible/roussos_2024/variant_figures/roussos_2024.childhood.GABA/rs7212500_count_position.png",4,220,900)</f>
        <v/>
      </c>
      <c r="T1596">
        <f>IMAGE("https://mitra.stanford.edu/kundaje/oak/projects/neuro-variants/variant_position/credible/roussos_2024/variant_figures/roussos_2024.childhood.GABA/rs7212500_profile_position.png",4,220,900)</f>
        <v/>
      </c>
    </row>
    <row r="1597">
      <c r="A1597" t="inlineStr">
        <is>
          <t>chr17</t>
        </is>
      </c>
      <c r="B1597" t="n">
        <v>20235578</v>
      </c>
      <c r="C1597" t="inlineStr">
        <is>
          <t>C</t>
        </is>
      </c>
      <c r="D1597" t="inlineStr">
        <is>
          <t>T</t>
        </is>
      </c>
      <c r="E1597" t="inlineStr">
        <is>
          <t>rs2703777</t>
        </is>
      </c>
      <c r="F1597" t="n">
        <v>-0.0003239876999999</v>
      </c>
      <c r="G1597" t="n">
        <v>0.4506698115184467</v>
      </c>
      <c r="H1597" t="n">
        <v>0.008992930273384899</v>
      </c>
      <c r="I1597" t="n">
        <v>0.7454294116236768</v>
      </c>
      <c r="J1597" t="n">
        <v>0.2221168143075537</v>
      </c>
      <c r="K1597" t="n">
        <v>0.1952725988354096</v>
      </c>
      <c r="L1597" t="b">
        <v>0</v>
      </c>
      <c r="M1597" t="b">
        <v>0</v>
      </c>
      <c r="N1597" t="inlineStr">
        <is>
          <t>ref</t>
        </is>
      </c>
      <c r="O1597" t="n">
        <v>-90</v>
      </c>
      <c r="P1597" t="n">
        <v>0.02695</v>
      </c>
      <c r="Q1597" t="n">
        <v>-90</v>
      </c>
      <c r="R1597" t="n">
        <v>0.1195</v>
      </c>
      <c r="S1597">
        <f>IMAGE("https://mitra.stanford.edu/kundaje/oak/projects/neuro-variants/variant_position/credible/roussos_2024/variant_figures/roussos_2024.childhood.GABA/rs2703777_count_position.png",4,220,900)</f>
        <v/>
      </c>
      <c r="T1597">
        <f>IMAGE("https://mitra.stanford.edu/kundaje/oak/projects/neuro-variants/variant_position/credible/roussos_2024/variant_figures/roussos_2024.childhood.GABA/rs2703777_profile_position.png",4,220,900)</f>
        <v/>
      </c>
    </row>
    <row r="1598">
      <c r="A1598" t="inlineStr">
        <is>
          <t>chr17</t>
        </is>
      </c>
      <c r="B1598" t="n">
        <v>20268211</v>
      </c>
      <c r="C1598" t="inlineStr">
        <is>
          <t>C</t>
        </is>
      </c>
      <c r="D1598" t="inlineStr">
        <is>
          <t>T</t>
        </is>
      </c>
      <c r="E1598" t="inlineStr">
        <is>
          <t>rs2158472</t>
        </is>
      </c>
      <c r="F1598" t="n">
        <v>0.004699894954</v>
      </c>
      <c r="G1598" t="n">
        <v>0.6330365974979534</v>
      </c>
      <c r="H1598" t="n">
        <v>0.0074184847040764</v>
      </c>
      <c r="I1598" t="n">
        <v>0.9062319591722864</v>
      </c>
      <c r="J1598" t="n">
        <v>0.136684048501602</v>
      </c>
      <c r="K1598" t="n">
        <v>0.2973057663073721</v>
      </c>
      <c r="L1598" t="b">
        <v>0</v>
      </c>
      <c r="M1598" t="b">
        <v>0</v>
      </c>
      <c r="N1598" t="inlineStr">
        <is>
          <t>alt</t>
        </is>
      </c>
      <c r="O1598" t="n">
        <v>100</v>
      </c>
      <c r="P1598" t="n">
        <v>0.004684</v>
      </c>
      <c r="Q1598" t="n">
        <v>100</v>
      </c>
      <c r="R1598" t="n">
        <v>0.2136</v>
      </c>
      <c r="S1598">
        <f>IMAGE("https://mitra.stanford.edu/kundaje/oak/projects/neuro-variants/variant_position/credible/roussos_2024/variant_figures/roussos_2024.childhood.GABA/rs2158472_count_position.png",4,220,900)</f>
        <v/>
      </c>
      <c r="T1598">
        <f>IMAGE("https://mitra.stanford.edu/kundaje/oak/projects/neuro-variants/variant_position/credible/roussos_2024/variant_figures/roussos_2024.childhood.GABA/rs2158472_profile_position.png",4,220,900)</f>
        <v/>
      </c>
    </row>
    <row r="1599">
      <c r="A1599" t="inlineStr">
        <is>
          <t>chr17</t>
        </is>
      </c>
      <c r="B1599" t="n">
        <v>38855676</v>
      </c>
      <c r="C1599" t="inlineStr">
        <is>
          <t>C</t>
        </is>
      </c>
      <c r="D1599" t="inlineStr">
        <is>
          <t>A</t>
        </is>
      </c>
      <c r="E1599" t="inlineStr">
        <is>
          <t>rs72625942</t>
        </is>
      </c>
      <c r="F1599" t="n">
        <v>-0.0053294157199999</v>
      </c>
      <c r="G1599" t="n">
        <v>0.7104636772847458</v>
      </c>
      <c r="H1599" t="n">
        <v>0.0268524517036041</v>
      </c>
      <c r="I1599" t="n">
        <v>0.0217038061914008</v>
      </c>
      <c r="J1599" t="n">
        <v>0.3924336663106532</v>
      </c>
      <c r="K1599" t="n">
        <v>0.0880380645554926</v>
      </c>
      <c r="L1599" t="b">
        <v>0</v>
      </c>
      <c r="M1599" t="b">
        <v>0</v>
      </c>
      <c r="N1599" t="inlineStr">
        <is>
          <t>ref</t>
        </is>
      </c>
      <c r="O1599" t="n">
        <v>-45</v>
      </c>
      <c r="P1599" t="n">
        <v>0.006012</v>
      </c>
      <c r="Q1599" t="n">
        <v>25</v>
      </c>
      <c r="R1599" t="n">
        <v>0.04236</v>
      </c>
      <c r="S1599">
        <f>IMAGE("https://mitra.stanford.edu/kundaje/oak/projects/neuro-variants/variant_position/credible/roussos_2024/variant_figures/roussos_2024.childhood.GABA/rs72625942_count_position.png",4,220,900)</f>
        <v/>
      </c>
      <c r="T1599">
        <f>IMAGE("https://mitra.stanford.edu/kundaje/oak/projects/neuro-variants/variant_position/credible/roussos_2024/variant_figures/roussos_2024.childhood.GABA/rs72625942_profile_position.png",4,220,900)</f>
        <v/>
      </c>
    </row>
    <row r="1600">
      <c r="A1600" t="inlineStr">
        <is>
          <t>chr17</t>
        </is>
      </c>
      <c r="B1600" t="n">
        <v>38859453</v>
      </c>
      <c r="C1600" t="inlineStr">
        <is>
          <t>C</t>
        </is>
      </c>
      <c r="D1600" t="inlineStr">
        <is>
          <t>T</t>
        </is>
      </c>
      <c r="E1600" t="inlineStr">
        <is>
          <t>rs117001874</t>
        </is>
      </c>
      <c r="F1600" t="n">
        <v>0.022937129</v>
      </c>
      <c r="G1600" t="n">
        <v>0.3725449433363422</v>
      </c>
      <c r="H1600" t="n">
        <v>0.0228186426629208</v>
      </c>
      <c r="I1600" t="n">
        <v>0.042996983118849</v>
      </c>
      <c r="J1600" t="n">
        <v>0.0099474356557977</v>
      </c>
      <c r="K1600" t="n">
        <v>0.7429838186433629</v>
      </c>
      <c r="L1600" t="b">
        <v>0</v>
      </c>
      <c r="M1600" t="b">
        <v>0</v>
      </c>
      <c r="N1600" t="inlineStr">
        <is>
          <t>alt</t>
        </is>
      </c>
      <c r="O1600" t="n">
        <v>80</v>
      </c>
      <c r="P1600" t="n">
        <v>0.01041</v>
      </c>
      <c r="Q1600" t="n">
        <v>45</v>
      </c>
      <c r="R1600" t="n">
        <v>0.06744</v>
      </c>
      <c r="S1600">
        <f>IMAGE("https://mitra.stanford.edu/kundaje/oak/projects/neuro-variants/variant_position/credible/roussos_2024/variant_figures/roussos_2024.childhood.GABA/rs117001874_count_position.png",4,220,900)</f>
        <v/>
      </c>
      <c r="T1600">
        <f>IMAGE("https://mitra.stanford.edu/kundaje/oak/projects/neuro-variants/variant_position/credible/roussos_2024/variant_figures/roussos_2024.childhood.GABA/rs117001874_profile_position.png",4,220,900)</f>
        <v/>
      </c>
    </row>
    <row r="1601">
      <c r="A1601" t="inlineStr">
        <is>
          <t>chr17</t>
        </is>
      </c>
      <c r="B1601" t="n">
        <v>38861770</v>
      </c>
      <c r="C1601" t="inlineStr">
        <is>
          <t>G</t>
        </is>
      </c>
      <c r="D1601" t="inlineStr">
        <is>
          <t>A</t>
        </is>
      </c>
      <c r="E1601" t="inlineStr">
        <is>
          <t>rs72625945</t>
        </is>
      </c>
      <c r="F1601" t="n">
        <v>0.0117016755</v>
      </c>
      <c r="G1601" t="n">
        <v>0.5434437205364876</v>
      </c>
      <c r="H1601" t="n">
        <v>0.0099591368073139</v>
      </c>
      <c r="I1601" t="n">
        <v>0.6390963402592239</v>
      </c>
      <c r="J1601" t="n">
        <v>0.3683860023873845</v>
      </c>
      <c r="K1601" t="n">
        <v>0.1006497228061342</v>
      </c>
      <c r="L1601" t="b">
        <v>0</v>
      </c>
      <c r="M1601" t="b">
        <v>0</v>
      </c>
      <c r="N1601" t="inlineStr">
        <is>
          <t>alt</t>
        </is>
      </c>
      <c r="O1601" t="n">
        <v>100</v>
      </c>
      <c r="P1601" t="n">
        <v>0.02849</v>
      </c>
      <c r="Q1601" t="n">
        <v>100</v>
      </c>
      <c r="R1601" t="n">
        <v>0.12225</v>
      </c>
      <c r="S1601">
        <f>IMAGE("https://mitra.stanford.edu/kundaje/oak/projects/neuro-variants/variant_position/credible/roussos_2024/variant_figures/roussos_2024.childhood.GABA/rs72625945_count_position.png",4,220,900)</f>
        <v/>
      </c>
      <c r="T1601">
        <f>IMAGE("https://mitra.stanford.edu/kundaje/oak/projects/neuro-variants/variant_position/credible/roussos_2024/variant_figures/roussos_2024.childhood.GABA/rs72625945_profile_position.png",4,220,900)</f>
        <v/>
      </c>
    </row>
    <row r="1602">
      <c r="A1602" t="inlineStr">
        <is>
          <t>chr17</t>
        </is>
      </c>
      <c r="B1602" t="n">
        <v>38871150</v>
      </c>
      <c r="C1602" t="inlineStr">
        <is>
          <t>G</t>
        </is>
      </c>
      <c r="D1602" t="inlineStr">
        <is>
          <t>T</t>
        </is>
      </c>
      <c r="E1602" t="inlineStr">
        <is>
          <t>rs76297940</t>
        </is>
      </c>
      <c r="F1602" t="n">
        <v>-0.0268601174</v>
      </c>
      <c r="G1602" t="n">
        <v>0.3304104997240915</v>
      </c>
      <c r="H1602" t="n">
        <v>0.0118956989575605</v>
      </c>
      <c r="I1602" t="n">
        <v>0.4342710906872246</v>
      </c>
      <c r="J1602" t="n">
        <v>0.6289103893112186</v>
      </c>
      <c r="K1602" t="n">
        <v>0.0238346999190164</v>
      </c>
      <c r="L1602" t="b">
        <v>0</v>
      </c>
      <c r="M1602" t="b">
        <v>0</v>
      </c>
      <c r="N1602" t="inlineStr">
        <is>
          <t>ref</t>
        </is>
      </c>
      <c r="O1602" t="n">
        <v>100</v>
      </c>
      <c r="P1602" t="n">
        <v>0.01253</v>
      </c>
      <c r="Q1602" t="n">
        <v>-90</v>
      </c>
      <c r="R1602" t="n">
        <v>0.10834</v>
      </c>
      <c r="S1602">
        <f>IMAGE("https://mitra.stanford.edu/kundaje/oak/projects/neuro-variants/variant_position/credible/roussos_2024/variant_figures/roussos_2024.childhood.GABA/rs76297940_count_position.png",4,220,900)</f>
        <v/>
      </c>
      <c r="T1602">
        <f>IMAGE("https://mitra.stanford.edu/kundaje/oak/projects/neuro-variants/variant_position/credible/roussos_2024/variant_figures/roussos_2024.childhood.GABA/rs76297940_profile_position.png",4,220,900)</f>
        <v/>
      </c>
    </row>
    <row r="1603">
      <c r="A1603" t="inlineStr">
        <is>
          <t>chr17</t>
        </is>
      </c>
      <c r="B1603" t="n">
        <v>45627990</v>
      </c>
      <c r="C1603" t="inlineStr">
        <is>
          <t>G</t>
        </is>
      </c>
      <c r="D1603" t="inlineStr">
        <is>
          <t>A</t>
        </is>
      </c>
      <c r="E1603" t="inlineStr">
        <is>
          <t>rs383241</t>
        </is>
      </c>
      <c r="F1603" t="n">
        <v>-0.0261944092599999</v>
      </c>
      <c r="G1603" t="n">
        <v>0.3638042158096512</v>
      </c>
      <c r="H1603" t="n">
        <v>0.0207533031106363</v>
      </c>
      <c r="I1603" t="n">
        <v>0.0647042916583068</v>
      </c>
      <c r="J1603" t="n">
        <v>0.1650070155598835</v>
      </c>
      <c r="K1603" t="n">
        <v>0.2579943773403196</v>
      </c>
      <c r="L1603" t="b">
        <v>0</v>
      </c>
      <c r="M1603" t="b">
        <v>0</v>
      </c>
      <c r="N1603" t="inlineStr">
        <is>
          <t>ref</t>
        </is>
      </c>
      <c r="O1603" t="n">
        <v>0</v>
      </c>
      <c r="P1603" t="n">
        <v>0</v>
      </c>
      <c r="Q1603" t="n">
        <v>-60</v>
      </c>
      <c r="R1603" t="n">
        <v>0.01721</v>
      </c>
      <c r="S1603">
        <f>IMAGE("https://mitra.stanford.edu/kundaje/oak/projects/neuro-variants/variant_position/credible/roussos_2024/variant_figures/roussos_2024.childhood.GABA/rs383241_count_position.png",4,220,900)</f>
        <v/>
      </c>
      <c r="T1603">
        <f>IMAGE("https://mitra.stanford.edu/kundaje/oak/projects/neuro-variants/variant_position/credible/roussos_2024/variant_figures/roussos_2024.childhood.GABA/rs383241_profile_position.png",4,220,900)</f>
        <v/>
      </c>
    </row>
    <row r="1604">
      <c r="A1604" t="inlineStr">
        <is>
          <t>chr17</t>
        </is>
      </c>
      <c r="B1604" t="n">
        <v>45632761</v>
      </c>
      <c r="C1604" t="inlineStr">
        <is>
          <t>T</t>
        </is>
      </c>
      <c r="D1604" t="inlineStr">
        <is>
          <t>A</t>
        </is>
      </c>
      <c r="E1604" t="inlineStr">
        <is>
          <t>rs81632</t>
        </is>
      </c>
      <c r="F1604" t="n">
        <v>0.0007783691500000001</v>
      </c>
      <c r="G1604" t="n">
        <v>0.9331399394182038</v>
      </c>
      <c r="H1604" t="n">
        <v>0.018098187252856</v>
      </c>
      <c r="I1604" t="n">
        <v>0.1126060203133807</v>
      </c>
      <c r="J1604" t="n">
        <v>0.0982293564532679</v>
      </c>
      <c r="K1604" t="n">
        <v>0.3576208836998297</v>
      </c>
      <c r="L1604" t="b">
        <v>0</v>
      </c>
      <c r="M1604" t="b">
        <v>0</v>
      </c>
      <c r="N1604" t="inlineStr">
        <is>
          <t>alt</t>
        </is>
      </c>
      <c r="O1604" t="n">
        <v>-55</v>
      </c>
      <c r="P1604" t="n">
        <v>0.003723</v>
      </c>
      <c r="Q1604" t="n">
        <v>70</v>
      </c>
      <c r="R1604" t="n">
        <v>0.0566</v>
      </c>
      <c r="S1604">
        <f>IMAGE("https://mitra.stanford.edu/kundaje/oak/projects/neuro-variants/variant_position/credible/roussos_2024/variant_figures/roussos_2024.childhood.GABA/rs81632_count_position.png",4,220,900)</f>
        <v/>
      </c>
      <c r="T1604">
        <f>IMAGE("https://mitra.stanford.edu/kundaje/oak/projects/neuro-variants/variant_position/credible/roussos_2024/variant_figures/roussos_2024.childhood.GABA/rs81632_profile_position.png",4,220,900)</f>
        <v/>
      </c>
    </row>
    <row r="1605">
      <c r="A1605" t="inlineStr">
        <is>
          <t>chr17</t>
        </is>
      </c>
      <c r="B1605" t="n">
        <v>45634173</v>
      </c>
      <c r="C1605" t="inlineStr">
        <is>
          <t>G</t>
        </is>
      </c>
      <c r="D1605" t="inlineStr">
        <is>
          <t>C</t>
        </is>
      </c>
      <c r="E1605" t="inlineStr">
        <is>
          <t>rs2942169</t>
        </is>
      </c>
      <c r="F1605" t="n">
        <v>0.09807091599999999</v>
      </c>
      <c r="G1605" t="n">
        <v>0.0367833869817871</v>
      </c>
      <c r="H1605" t="n">
        <v>0.0179922040900551</v>
      </c>
      <c r="I1605" t="n">
        <v>0.118910011686524</v>
      </c>
      <c r="J1605" t="n">
        <v>0.1828118782852715</v>
      </c>
      <c r="K1605" t="n">
        <v>0.2329135351780807</v>
      </c>
      <c r="L1605" t="b">
        <v>0</v>
      </c>
      <c r="M1605" t="b">
        <v>0</v>
      </c>
      <c r="N1605" t="inlineStr">
        <is>
          <t>alt</t>
        </is>
      </c>
      <c r="O1605" t="n">
        <v>50</v>
      </c>
      <c r="P1605" t="n">
        <v>0.001686</v>
      </c>
      <c r="Q1605" t="n">
        <v>20</v>
      </c>
      <c r="R1605" t="n">
        <v>0.02832</v>
      </c>
      <c r="S1605">
        <f>IMAGE("https://mitra.stanford.edu/kundaje/oak/projects/neuro-variants/variant_position/credible/roussos_2024/variant_figures/roussos_2024.childhood.GABA/rs2942169_count_position.png",4,220,900)</f>
        <v/>
      </c>
      <c r="T1605">
        <f>IMAGE("https://mitra.stanford.edu/kundaje/oak/projects/neuro-variants/variant_position/credible/roussos_2024/variant_figures/roussos_2024.childhood.GABA/rs2942169_profile_position.png",4,220,900)</f>
        <v/>
      </c>
    </row>
    <row r="1606">
      <c r="A1606" t="inlineStr">
        <is>
          <t>chr17</t>
        </is>
      </c>
      <c r="B1606" t="n">
        <v>45636559</v>
      </c>
      <c r="C1606" t="inlineStr">
        <is>
          <t>A</t>
        </is>
      </c>
      <c r="D1606" t="inlineStr">
        <is>
          <t>G</t>
        </is>
      </c>
      <c r="E1606" t="inlineStr">
        <is>
          <t>rs241041</t>
        </is>
      </c>
      <c r="F1606" t="n">
        <v>0.0605925338</v>
      </c>
      <c r="G1606" t="n">
        <v>0.09124518428624891</v>
      </c>
      <c r="H1606" t="n">
        <v>0.0153674651820067</v>
      </c>
      <c r="I1606" t="n">
        <v>0.205697211578607</v>
      </c>
      <c r="J1606" t="n">
        <v>0.3484586710225963</v>
      </c>
      <c r="K1606" t="n">
        <v>0.1096803861411421</v>
      </c>
      <c r="L1606" t="b">
        <v>0</v>
      </c>
      <c r="M1606" t="b">
        <v>0</v>
      </c>
      <c r="N1606" t="inlineStr">
        <is>
          <t>alt</t>
        </is>
      </c>
      <c r="O1606" t="n">
        <v>100</v>
      </c>
      <c r="P1606" t="n">
        <v>0.008019999999999999</v>
      </c>
      <c r="Q1606" t="n">
        <v>65</v>
      </c>
      <c r="R1606" t="n">
        <v>0.149</v>
      </c>
      <c r="S1606">
        <f>IMAGE("https://mitra.stanford.edu/kundaje/oak/projects/neuro-variants/variant_position/credible/roussos_2024/variant_figures/roussos_2024.childhood.GABA/rs241041_count_position.png",4,220,900)</f>
        <v/>
      </c>
      <c r="T1606">
        <f>IMAGE("https://mitra.stanford.edu/kundaje/oak/projects/neuro-variants/variant_position/credible/roussos_2024/variant_figures/roussos_2024.childhood.GABA/rs241041_profile_position.png",4,220,900)</f>
        <v/>
      </c>
    </row>
    <row r="1607">
      <c r="A1607" t="inlineStr">
        <is>
          <t>chr17</t>
        </is>
      </c>
      <c r="B1607" t="n">
        <v>45638558</v>
      </c>
      <c r="C1607" t="inlineStr">
        <is>
          <t>A</t>
        </is>
      </c>
      <c r="D1607" t="inlineStr">
        <is>
          <t>G</t>
        </is>
      </c>
      <c r="E1607" t="inlineStr">
        <is>
          <t>rs117368197</t>
        </is>
      </c>
      <c r="F1607" t="n">
        <v>-0.00775168758</v>
      </c>
      <c r="G1607" t="n">
        <v>0.7217209604144582</v>
      </c>
      <c r="H1607" t="n">
        <v>0.0332773250282622</v>
      </c>
      <c r="I1607" t="n">
        <v>0.008550666726587299</v>
      </c>
      <c r="J1607" t="n">
        <v>0.0057223932483088</v>
      </c>
      <c r="K1607" t="n">
        <v>0.8003700652029282</v>
      </c>
      <c r="L1607" t="b">
        <v>0</v>
      </c>
      <c r="M1607" t="b">
        <v>0</v>
      </c>
      <c r="N1607" t="inlineStr">
        <is>
          <t>ref</t>
        </is>
      </c>
      <c r="O1607" t="n">
        <v>85</v>
      </c>
      <c r="P1607" t="n">
        <v>0.00537</v>
      </c>
      <c r="Q1607" t="n">
        <v>-100</v>
      </c>
      <c r="R1607" t="n">
        <v>0.05652</v>
      </c>
      <c r="S1607">
        <f>IMAGE("https://mitra.stanford.edu/kundaje/oak/projects/neuro-variants/variant_position/credible/roussos_2024/variant_figures/roussos_2024.childhood.GABA/rs117368197_count_position.png",4,220,900)</f>
        <v/>
      </c>
      <c r="T1607">
        <f>IMAGE("https://mitra.stanford.edu/kundaje/oak/projects/neuro-variants/variant_position/credible/roussos_2024/variant_figures/roussos_2024.childhood.GABA/rs117368197_profile_position.png",4,220,900)</f>
        <v/>
      </c>
    </row>
    <row r="1608">
      <c r="A1608" t="inlineStr">
        <is>
          <t>chr17</t>
        </is>
      </c>
      <c r="B1608" t="n">
        <v>45639519</v>
      </c>
      <c r="C1608" t="inlineStr">
        <is>
          <t>A</t>
        </is>
      </c>
      <c r="D1608" t="inlineStr">
        <is>
          <t>G</t>
        </is>
      </c>
      <c r="E1608" t="inlineStr">
        <is>
          <t>rs413778</t>
        </is>
      </c>
      <c r="F1608" t="n">
        <v>0.168801612</v>
      </c>
      <c r="G1608" t="n">
        <v>0.0072409179698025</v>
      </c>
      <c r="H1608" t="n">
        <v>0.0264928430782449</v>
      </c>
      <c r="I1608" t="n">
        <v>0.0235797304562603</v>
      </c>
      <c r="J1608" t="n">
        <v>0.1348223073862327</v>
      </c>
      <c r="K1608" t="n">
        <v>0.303825667783992</v>
      </c>
      <c r="L1608" t="b">
        <v>1</v>
      </c>
      <c r="M1608" t="b">
        <v>1</v>
      </c>
      <c r="N1608" t="inlineStr">
        <is>
          <t>alt</t>
        </is>
      </c>
      <c r="O1608" t="n">
        <v>-70</v>
      </c>
      <c r="P1608" t="n">
        <v>0.00511</v>
      </c>
      <c r="Q1608" t="n">
        <v>15</v>
      </c>
      <c r="R1608" t="n">
        <v>0.02478</v>
      </c>
      <c r="S1608">
        <f>IMAGE("https://mitra.stanford.edu/kundaje/oak/projects/neuro-variants/variant_position/credible/roussos_2024/variant_figures/roussos_2024.childhood.GABA/rs413778_count_position.png",4,220,900)</f>
        <v/>
      </c>
      <c r="T1608">
        <f>IMAGE("https://mitra.stanford.edu/kundaje/oak/projects/neuro-variants/variant_position/credible/roussos_2024/variant_figures/roussos_2024.childhood.GABA/rs413778_profile_position.png",4,220,900)</f>
        <v/>
      </c>
    </row>
    <row r="1609">
      <c r="A1609" t="inlineStr">
        <is>
          <t>chr17</t>
        </is>
      </c>
      <c r="B1609" t="n">
        <v>45645823</v>
      </c>
      <c r="C1609" t="inlineStr">
        <is>
          <t>G</t>
        </is>
      </c>
      <c r="D1609" t="inlineStr">
        <is>
          <t>A</t>
        </is>
      </c>
      <c r="E1609" t="inlineStr">
        <is>
          <t>rs413917</t>
        </is>
      </c>
      <c r="F1609" t="n">
        <v>-0.110741483</v>
      </c>
      <c r="G1609" t="n">
        <v>0.0230873454412605</v>
      </c>
      <c r="H1609" t="n">
        <v>0.0176213084018967</v>
      </c>
      <c r="I1609" t="n">
        <v>0.1247491666170297</v>
      </c>
      <c r="J1609" t="n">
        <v>0.0667106448032501</v>
      </c>
      <c r="K1609" t="n">
        <v>0.4432766058905042</v>
      </c>
      <c r="L1609" t="b">
        <v>0</v>
      </c>
      <c r="M1609" t="b">
        <v>0</v>
      </c>
      <c r="N1609" t="inlineStr">
        <is>
          <t>ref</t>
        </is>
      </c>
      <c r="O1609" t="n">
        <v>100</v>
      </c>
      <c r="P1609" t="n">
        <v>0.007805</v>
      </c>
      <c r="Q1609" t="n">
        <v>-85</v>
      </c>
      <c r="R1609" t="n">
        <v>0.06775</v>
      </c>
      <c r="S1609">
        <f>IMAGE("https://mitra.stanford.edu/kundaje/oak/projects/neuro-variants/variant_position/credible/roussos_2024/variant_figures/roussos_2024.childhood.GABA/rs413917_count_position.png",4,220,900)</f>
        <v/>
      </c>
      <c r="T1609">
        <f>IMAGE("https://mitra.stanford.edu/kundaje/oak/projects/neuro-variants/variant_position/credible/roussos_2024/variant_figures/roussos_2024.childhood.GABA/rs413917_profile_position.png",4,220,900)</f>
        <v/>
      </c>
    </row>
    <row r="1610">
      <c r="A1610" t="inlineStr">
        <is>
          <t>chr17</t>
        </is>
      </c>
      <c r="B1610" t="n">
        <v>45646239</v>
      </c>
      <c r="C1610" t="inlineStr">
        <is>
          <t>T</t>
        </is>
      </c>
      <c r="D1610" t="inlineStr">
        <is>
          <t>C</t>
        </is>
      </c>
      <c r="E1610" t="inlineStr">
        <is>
          <t>rs393675</t>
        </is>
      </c>
      <c r="F1610" t="n">
        <v>-0.0183642555999999</v>
      </c>
      <c r="G1610" t="n">
        <v>0.4818515927356055</v>
      </c>
      <c r="H1610" t="n">
        <v>0.0189457808753376</v>
      </c>
      <c r="I1610" t="n">
        <v>0.09330651405122239</v>
      </c>
      <c r="J1610" t="n">
        <v>0.1553936043224225</v>
      </c>
      <c r="K1610" t="n">
        <v>0.2654645842259708</v>
      </c>
      <c r="L1610" t="b">
        <v>0</v>
      </c>
      <c r="M1610" t="b">
        <v>0</v>
      </c>
      <c r="N1610" t="inlineStr">
        <is>
          <t>ref</t>
        </is>
      </c>
      <c r="O1610" t="n">
        <v>-70</v>
      </c>
      <c r="P1610" t="n">
        <v>0.006905</v>
      </c>
      <c r="Q1610" t="n">
        <v>75</v>
      </c>
      <c r="R1610" t="n">
        <v>0.2053</v>
      </c>
      <c r="S1610">
        <f>IMAGE("https://mitra.stanford.edu/kundaje/oak/projects/neuro-variants/variant_position/credible/roussos_2024/variant_figures/roussos_2024.childhood.GABA/rs393675_count_position.png",4,220,900)</f>
        <v/>
      </c>
      <c r="T1610">
        <f>IMAGE("https://mitra.stanford.edu/kundaje/oak/projects/neuro-variants/variant_position/credible/roussos_2024/variant_figures/roussos_2024.childhood.GABA/rs393675_profile_position.png",4,220,900)</f>
        <v/>
      </c>
    </row>
    <row r="1611">
      <c r="A1611" t="inlineStr">
        <is>
          <t>chr17</t>
        </is>
      </c>
      <c r="B1611" t="n">
        <v>45648396</v>
      </c>
      <c r="C1611" t="inlineStr">
        <is>
          <t>G</t>
        </is>
      </c>
      <c r="D1611" t="inlineStr">
        <is>
          <t>A</t>
        </is>
      </c>
      <c r="E1611" t="inlineStr">
        <is>
          <t>rs434598</t>
        </is>
      </c>
      <c r="F1611" t="n">
        <v>0.00568965062</v>
      </c>
      <c r="G1611" t="n">
        <v>0.7350281764612318</v>
      </c>
      <c r="H1611" t="n">
        <v>0.0120604627450764</v>
      </c>
      <c r="I1611" t="n">
        <v>0.4321385225435555</v>
      </c>
      <c r="J1611" t="n">
        <v>0.5428148101610437</v>
      </c>
      <c r="K1611" t="n">
        <v>0.0417021873921454</v>
      </c>
      <c r="L1611" t="b">
        <v>0</v>
      </c>
      <c r="M1611" t="b">
        <v>0</v>
      </c>
      <c r="N1611" t="inlineStr">
        <is>
          <t>alt</t>
        </is>
      </c>
      <c r="O1611" t="n">
        <v>100</v>
      </c>
      <c r="P1611" t="n">
        <v>0.009010000000000001</v>
      </c>
      <c r="Q1611" t="n">
        <v>100</v>
      </c>
      <c r="R1611" t="n">
        <v>0.1588</v>
      </c>
      <c r="S1611">
        <f>IMAGE("https://mitra.stanford.edu/kundaje/oak/projects/neuro-variants/variant_position/credible/roussos_2024/variant_figures/roussos_2024.childhood.GABA/rs434598_count_position.png",4,220,900)</f>
        <v/>
      </c>
      <c r="T1611">
        <f>IMAGE("https://mitra.stanford.edu/kundaje/oak/projects/neuro-variants/variant_position/credible/roussos_2024/variant_figures/roussos_2024.childhood.GABA/rs434598_profile_position.png",4,220,900)</f>
        <v/>
      </c>
    </row>
    <row r="1612">
      <c r="A1612" t="inlineStr">
        <is>
          <t>chr17</t>
        </is>
      </c>
      <c r="B1612" t="n">
        <v>45648626</v>
      </c>
      <c r="C1612" t="inlineStr">
        <is>
          <t>G</t>
        </is>
      </c>
      <c r="D1612" t="inlineStr">
        <is>
          <t>A</t>
        </is>
      </c>
      <c r="E1612" t="inlineStr">
        <is>
          <t>rs434971</t>
        </is>
      </c>
      <c r="F1612" t="n">
        <v>-0.0545410999999999</v>
      </c>
      <c r="G1612" t="n">
        <v>0.1199692598207159</v>
      </c>
      <c r="H1612" t="n">
        <v>0.0153375847959924</v>
      </c>
      <c r="I1612" t="n">
        <v>0.2095322854388774</v>
      </c>
      <c r="J1612" t="n">
        <v>0.5814140018010094</v>
      </c>
      <c r="K1612" t="n">
        <v>0.0331545274881059</v>
      </c>
      <c r="L1612" t="b">
        <v>0</v>
      </c>
      <c r="M1612" t="b">
        <v>0</v>
      </c>
      <c r="N1612" t="inlineStr">
        <is>
          <t>ref</t>
        </is>
      </c>
      <c r="O1612" t="n">
        <v>100</v>
      </c>
      <c r="P1612" t="n">
        <v>0.04077</v>
      </c>
      <c r="Q1612" t="n">
        <v>100</v>
      </c>
      <c r="R1612" t="n">
        <v>0.2129</v>
      </c>
      <c r="S1612">
        <f>IMAGE("https://mitra.stanford.edu/kundaje/oak/projects/neuro-variants/variant_position/credible/roussos_2024/variant_figures/roussos_2024.childhood.GABA/rs434971_count_position.png",4,220,900)</f>
        <v/>
      </c>
      <c r="T1612">
        <f>IMAGE("https://mitra.stanford.edu/kundaje/oak/projects/neuro-variants/variant_position/credible/roussos_2024/variant_figures/roussos_2024.childhood.GABA/rs434971_profile_position.png",4,220,900)</f>
        <v/>
      </c>
    </row>
    <row r="1613">
      <c r="A1613" t="inlineStr">
        <is>
          <t>chr17</t>
        </is>
      </c>
      <c r="B1613" t="n">
        <v>45650771</v>
      </c>
      <c r="C1613" t="inlineStr">
        <is>
          <t>G</t>
        </is>
      </c>
      <c r="D1613" t="inlineStr">
        <is>
          <t>A</t>
        </is>
      </c>
      <c r="E1613" t="inlineStr">
        <is>
          <t>rs422112</t>
        </is>
      </c>
      <c r="F1613" t="n">
        <v>-0.0166564177999999</v>
      </c>
      <c r="G1613" t="n">
        <v>0.1897042991229226</v>
      </c>
      <c r="H1613" t="n">
        <v>0.0140102787589087</v>
      </c>
      <c r="I1613" t="n">
        <v>0.2810061201351942</v>
      </c>
      <c r="J1613" t="n">
        <v>0.4608563171451907</v>
      </c>
      <c r="K1613" t="n">
        <v>0.0627515042979873</v>
      </c>
      <c r="L1613" t="b">
        <v>0</v>
      </c>
      <c r="M1613" t="b">
        <v>0</v>
      </c>
      <c r="N1613" t="inlineStr">
        <is>
          <t>ref</t>
        </is>
      </c>
      <c r="O1613" t="n">
        <v>-90</v>
      </c>
      <c r="P1613" t="n">
        <v>0.001999</v>
      </c>
      <c r="Q1613" t="n">
        <v>-100</v>
      </c>
      <c r="R1613" t="n">
        <v>0.06665</v>
      </c>
      <c r="S1613">
        <f>IMAGE("https://mitra.stanford.edu/kundaje/oak/projects/neuro-variants/variant_position/credible/roussos_2024/variant_figures/roussos_2024.childhood.GABA/rs422112_count_position.png",4,220,900)</f>
        <v/>
      </c>
      <c r="T1613">
        <f>IMAGE("https://mitra.stanford.edu/kundaje/oak/projects/neuro-variants/variant_position/credible/roussos_2024/variant_figures/roussos_2024.childhood.GABA/rs422112_profile_position.png",4,220,900)</f>
        <v/>
      </c>
    </row>
    <row r="1614">
      <c r="A1614" t="inlineStr">
        <is>
          <t>chr17</t>
        </is>
      </c>
      <c r="B1614" t="n">
        <v>45656779</v>
      </c>
      <c r="C1614" t="inlineStr">
        <is>
          <t>T</t>
        </is>
      </c>
      <c r="D1614" t="inlineStr">
        <is>
          <t>C</t>
        </is>
      </c>
      <c r="E1614" t="inlineStr">
        <is>
          <t>rs241032</t>
        </is>
      </c>
      <c r="F1614" t="n">
        <v>0.09327504719999991</v>
      </c>
      <c r="G1614" t="n">
        <v>0.0374691036581418</v>
      </c>
      <c r="H1614" t="n">
        <v>0.0170333735844889</v>
      </c>
      <c r="I1614" t="n">
        <v>0.1440903200648091</v>
      </c>
      <c r="J1614" t="n">
        <v>0.2641703838663064</v>
      </c>
      <c r="K1614" t="n">
        <v>0.1619430671490845</v>
      </c>
      <c r="L1614" t="b">
        <v>0</v>
      </c>
      <c r="M1614" t="b">
        <v>0</v>
      </c>
      <c r="N1614" t="inlineStr">
        <is>
          <t>alt</t>
        </is>
      </c>
      <c r="O1614" t="n">
        <v>45</v>
      </c>
      <c r="P1614" t="n">
        <v>0.00734</v>
      </c>
      <c r="Q1614" t="n">
        <v>40</v>
      </c>
      <c r="R1614" t="n">
        <v>0.1494</v>
      </c>
      <c r="S1614">
        <f>IMAGE("https://mitra.stanford.edu/kundaje/oak/projects/neuro-variants/variant_position/credible/roussos_2024/variant_figures/roussos_2024.childhood.GABA/rs241032_count_position.png",4,220,900)</f>
        <v/>
      </c>
      <c r="T1614">
        <f>IMAGE("https://mitra.stanford.edu/kundaje/oak/projects/neuro-variants/variant_position/credible/roussos_2024/variant_figures/roussos_2024.childhood.GABA/rs241032_profile_position.png",4,220,900)</f>
        <v/>
      </c>
    </row>
    <row r="1615">
      <c r="A1615" t="inlineStr">
        <is>
          <t>chr17</t>
        </is>
      </c>
      <c r="B1615" t="n">
        <v>45656938</v>
      </c>
      <c r="C1615" t="inlineStr">
        <is>
          <t>T</t>
        </is>
      </c>
      <c r="D1615" t="inlineStr">
        <is>
          <t>C</t>
        </is>
      </c>
      <c r="E1615" t="inlineStr">
        <is>
          <t>rs241031</t>
        </is>
      </c>
      <c r="F1615" t="n">
        <v>0.107019394</v>
      </c>
      <c r="G1615" t="n">
        <v>0.024438301253452</v>
      </c>
      <c r="H1615" t="n">
        <v>0.0158999805083649</v>
      </c>
      <c r="I1615" t="n">
        <v>0.1829042536316776</v>
      </c>
      <c r="J1615" t="n">
        <v>0.2472011057360055</v>
      </c>
      <c r="K1615" t="n">
        <v>0.175726531421202</v>
      </c>
      <c r="L1615" t="b">
        <v>0</v>
      </c>
      <c r="M1615" t="b">
        <v>0</v>
      </c>
      <c r="N1615" t="inlineStr">
        <is>
          <t>alt</t>
        </is>
      </c>
      <c r="O1615" t="n">
        <v>-90</v>
      </c>
      <c r="P1615" t="n">
        <v>0.002975</v>
      </c>
      <c r="Q1615" t="n">
        <v>20</v>
      </c>
      <c r="R1615" t="n">
        <v>0.01196</v>
      </c>
      <c r="S1615">
        <f>IMAGE("https://mitra.stanford.edu/kundaje/oak/projects/neuro-variants/variant_position/credible/roussos_2024/variant_figures/roussos_2024.childhood.GABA/rs241031_count_position.png",4,220,900)</f>
        <v/>
      </c>
      <c r="T1615">
        <f>IMAGE("https://mitra.stanford.edu/kundaje/oak/projects/neuro-variants/variant_position/credible/roussos_2024/variant_figures/roussos_2024.childhood.GABA/rs241031_profile_position.png",4,220,900)</f>
        <v/>
      </c>
    </row>
    <row r="1616">
      <c r="A1616" t="inlineStr">
        <is>
          <t>chr17</t>
        </is>
      </c>
      <c r="B1616" t="n">
        <v>45660364</v>
      </c>
      <c r="C1616" t="inlineStr">
        <is>
          <t>T</t>
        </is>
      </c>
      <c r="D1616" t="inlineStr">
        <is>
          <t>C</t>
        </is>
      </c>
      <c r="E1616" t="inlineStr">
        <is>
          <t>rs241022</t>
        </is>
      </c>
      <c r="F1616" t="n">
        <v>0.0036194699399999</v>
      </c>
      <c r="G1616" t="n">
        <v>0.6973683186473418</v>
      </c>
      <c r="H1616" t="n">
        <v>0.0062909141835805</v>
      </c>
      <c r="I1616" t="n">
        <v>0.977943023073499</v>
      </c>
      <c r="J1616" t="n">
        <v>0.1775407844861887</v>
      </c>
      <c r="K1616" t="n">
        <v>0.2489019421965065</v>
      </c>
      <c r="L1616" t="b">
        <v>0</v>
      </c>
      <c r="M1616" t="b">
        <v>0</v>
      </c>
      <c r="N1616" t="inlineStr">
        <is>
          <t>alt</t>
        </is>
      </c>
      <c r="O1616" t="n">
        <v>35</v>
      </c>
      <c r="P1616" t="n">
        <v>0.002083</v>
      </c>
      <c r="Q1616" t="n">
        <v>35</v>
      </c>
      <c r="R1616" t="n">
        <v>0.0402</v>
      </c>
      <c r="S1616">
        <f>IMAGE("https://mitra.stanford.edu/kundaje/oak/projects/neuro-variants/variant_position/credible/roussos_2024/variant_figures/roussos_2024.childhood.GABA/rs241022_count_position.png",4,220,900)</f>
        <v/>
      </c>
      <c r="T1616">
        <f>IMAGE("https://mitra.stanford.edu/kundaje/oak/projects/neuro-variants/variant_position/credible/roussos_2024/variant_figures/roussos_2024.childhood.GABA/rs241022_profile_position.png",4,220,900)</f>
        <v/>
      </c>
    </row>
    <row r="1617">
      <c r="A1617" t="inlineStr">
        <is>
          <t>chr17</t>
        </is>
      </c>
      <c r="B1617" t="n">
        <v>45661310</v>
      </c>
      <c r="C1617" t="inlineStr">
        <is>
          <t>C</t>
        </is>
      </c>
      <c r="D1617" t="inlineStr">
        <is>
          <t>A</t>
        </is>
      </c>
      <c r="E1617" t="inlineStr">
        <is>
          <t>rs241020</t>
        </is>
      </c>
      <c r="F1617" t="n">
        <v>0.0214379334</v>
      </c>
      <c r="G1617" t="n">
        <v>0.3852219528917414</v>
      </c>
      <c r="H1617" t="n">
        <v>0.0145580294789554</v>
      </c>
      <c r="I1617" t="n">
        <v>0.2462798092486415</v>
      </c>
      <c r="J1617" t="n">
        <v>0.1760162090846264</v>
      </c>
      <c r="K1617" t="n">
        <v>0.2466476368959136</v>
      </c>
      <c r="L1617" t="b">
        <v>0</v>
      </c>
      <c r="M1617" t="b">
        <v>0</v>
      </c>
      <c r="N1617" t="inlineStr">
        <is>
          <t>alt</t>
        </is>
      </c>
      <c r="O1617" t="n">
        <v>-100</v>
      </c>
      <c r="P1617" t="n">
        <v>0.012024</v>
      </c>
      <c r="Q1617" t="n">
        <v>95</v>
      </c>
      <c r="R1617" t="n">
        <v>0.12024</v>
      </c>
      <c r="S1617">
        <f>IMAGE("https://mitra.stanford.edu/kundaje/oak/projects/neuro-variants/variant_position/credible/roussos_2024/variant_figures/roussos_2024.childhood.GABA/rs241020_count_position.png",4,220,900)</f>
        <v/>
      </c>
      <c r="T1617">
        <f>IMAGE("https://mitra.stanford.edu/kundaje/oak/projects/neuro-variants/variant_position/credible/roussos_2024/variant_figures/roussos_2024.childhood.GABA/rs241020_profile_position.png",4,220,900)</f>
        <v/>
      </c>
    </row>
    <row r="1618">
      <c r="A1618" t="inlineStr">
        <is>
          <t>chr17</t>
        </is>
      </c>
      <c r="B1618" t="n">
        <v>45669052</v>
      </c>
      <c r="C1618" t="inlineStr">
        <is>
          <t>T</t>
        </is>
      </c>
      <c r="D1618" t="inlineStr">
        <is>
          <t>A</t>
        </is>
      </c>
      <c r="E1618" t="inlineStr">
        <is>
          <t>rs79675109</t>
        </is>
      </c>
      <c r="F1618" t="n">
        <v>-0.00214464994</v>
      </c>
      <c r="G1618" t="n">
        <v>0.8052640042804248</v>
      </c>
      <c r="H1618" t="n">
        <v>0.0239774541309071</v>
      </c>
      <c r="I1618" t="n">
        <v>0.0343086177954435</v>
      </c>
      <c r="J1618" t="n">
        <v>0.2168980754329751</v>
      </c>
      <c r="K1618" t="n">
        <v>0.2012301781296989</v>
      </c>
      <c r="L1618" t="b">
        <v>0</v>
      </c>
      <c r="M1618" t="b">
        <v>0</v>
      </c>
      <c r="N1618" t="inlineStr">
        <is>
          <t>ref</t>
        </is>
      </c>
      <c r="O1618" t="n">
        <v>95</v>
      </c>
      <c r="P1618" t="n">
        <v>0.004757</v>
      </c>
      <c r="Q1618" t="n">
        <v>100</v>
      </c>
      <c r="R1618" t="n">
        <v>0.1608</v>
      </c>
      <c r="S1618">
        <f>IMAGE("https://mitra.stanford.edu/kundaje/oak/projects/neuro-variants/variant_position/credible/roussos_2024/variant_figures/roussos_2024.childhood.GABA/rs79675109_count_position.png",4,220,900)</f>
        <v/>
      </c>
      <c r="T1618">
        <f>IMAGE("https://mitra.stanford.edu/kundaje/oak/projects/neuro-variants/variant_position/credible/roussos_2024/variant_figures/roussos_2024.childhood.GABA/rs79675109_profile_position.png",4,220,900)</f>
        <v/>
      </c>
    </row>
    <row r="1619">
      <c r="A1619" t="inlineStr">
        <is>
          <t>chr17</t>
        </is>
      </c>
      <c r="B1619" t="n">
        <v>45671046</v>
      </c>
      <c r="C1619" t="inlineStr">
        <is>
          <t>A</t>
        </is>
      </c>
      <c r="D1619" t="inlineStr">
        <is>
          <t>G</t>
        </is>
      </c>
      <c r="E1619" t="inlineStr">
        <is>
          <t>rs62053950</t>
        </is>
      </c>
      <c r="F1619" t="n">
        <v>0.1301745092</v>
      </c>
      <c r="G1619" t="n">
        <v>0.017138290754588</v>
      </c>
      <c r="H1619" t="n">
        <v>0.0153446794091567</v>
      </c>
      <c r="I1619" t="n">
        <v>0.2053482554376604</v>
      </c>
      <c r="J1619" t="n">
        <v>0.6096175996314213</v>
      </c>
      <c r="K1619" t="n">
        <v>0.0269809520523598</v>
      </c>
      <c r="L1619" t="b">
        <v>1</v>
      </c>
      <c r="M1619" t="b">
        <v>0</v>
      </c>
      <c r="N1619" t="inlineStr">
        <is>
          <t>alt</t>
        </is>
      </c>
      <c r="O1619" t="n">
        <v>65</v>
      </c>
      <c r="P1619" t="n">
        <v>0.005676</v>
      </c>
      <c r="Q1619" t="n">
        <v>-20</v>
      </c>
      <c r="R1619" t="n">
        <v>0.04492</v>
      </c>
      <c r="S1619">
        <f>IMAGE("https://mitra.stanford.edu/kundaje/oak/projects/neuro-variants/variant_position/credible/roussos_2024/variant_figures/roussos_2024.childhood.GABA/rs62053950_count_position.png",4,220,900)</f>
        <v/>
      </c>
      <c r="T1619">
        <f>IMAGE("https://mitra.stanford.edu/kundaje/oak/projects/neuro-variants/variant_position/credible/roussos_2024/variant_figures/roussos_2024.childhood.GABA/rs62053950_profile_position.png",4,220,900)</f>
        <v/>
      </c>
    </row>
    <row r="1620">
      <c r="A1620" t="inlineStr">
        <is>
          <t>chr17</t>
        </is>
      </c>
      <c r="B1620" t="n">
        <v>45672088</v>
      </c>
      <c r="C1620" t="inlineStr">
        <is>
          <t>G</t>
        </is>
      </c>
      <c r="D1620" t="inlineStr">
        <is>
          <t>A</t>
        </is>
      </c>
      <c r="E1620" t="inlineStr">
        <is>
          <t>rs62053953</t>
        </is>
      </c>
      <c r="F1620" t="n">
        <v>0.0113170702999999</v>
      </c>
      <c r="G1620" t="n">
        <v>0.574864829107288</v>
      </c>
      <c r="H1620" t="n">
        <v>0.008819660875813699</v>
      </c>
      <c r="I1620" t="n">
        <v>0.7557135660078688</v>
      </c>
      <c r="J1620" t="n">
        <v>0.5139201273271764</v>
      </c>
      <c r="K1620" t="n">
        <v>0.0463130078764976</v>
      </c>
      <c r="L1620" t="b">
        <v>0</v>
      </c>
      <c r="M1620" t="b">
        <v>0</v>
      </c>
      <c r="N1620" t="inlineStr">
        <is>
          <t>alt</t>
        </is>
      </c>
      <c r="O1620" t="n">
        <v>-60</v>
      </c>
      <c r="P1620" t="n">
        <v>0.003475</v>
      </c>
      <c r="Q1620" t="n">
        <v>75</v>
      </c>
      <c r="R1620" t="n">
        <v>0.1096</v>
      </c>
      <c r="S1620">
        <f>IMAGE("https://mitra.stanford.edu/kundaje/oak/projects/neuro-variants/variant_position/credible/roussos_2024/variant_figures/roussos_2024.childhood.GABA/rs62053953_count_position.png",4,220,900)</f>
        <v/>
      </c>
      <c r="T1620">
        <f>IMAGE("https://mitra.stanford.edu/kundaje/oak/projects/neuro-variants/variant_position/credible/roussos_2024/variant_figures/roussos_2024.childhood.GABA/rs62053953_profile_position.png",4,220,900)</f>
        <v/>
      </c>
    </row>
    <row r="1621">
      <c r="A1621" t="inlineStr">
        <is>
          <t>chr17</t>
        </is>
      </c>
      <c r="B1621" t="n">
        <v>45672213</v>
      </c>
      <c r="C1621" t="inlineStr">
        <is>
          <t>T</t>
        </is>
      </c>
      <c r="D1621" t="inlineStr">
        <is>
          <t>C</t>
        </is>
      </c>
      <c r="E1621" t="inlineStr">
        <is>
          <t>rs17687534</t>
        </is>
      </c>
      <c r="F1621" t="n">
        <v>0.0366874182</v>
      </c>
      <c r="G1621" t="n">
        <v>0.2267519791794432</v>
      </c>
      <c r="H1621" t="n">
        <v>0.009180175672497201</v>
      </c>
      <c r="I1621" t="n">
        <v>0.7367491000775109</v>
      </c>
      <c r="J1621" t="n">
        <v>0.5717901195786477</v>
      </c>
      <c r="K1621" t="n">
        <v>0.0335221677026611</v>
      </c>
      <c r="L1621" t="b">
        <v>0</v>
      </c>
      <c r="M1621" t="b">
        <v>0</v>
      </c>
      <c r="N1621" t="inlineStr">
        <is>
          <t>alt</t>
        </is>
      </c>
      <c r="O1621" t="n">
        <v>100</v>
      </c>
      <c r="P1621" t="n">
        <v>0.02104</v>
      </c>
      <c r="Q1621" t="n">
        <v>100</v>
      </c>
      <c r="R1621" t="n">
        <v>0.052</v>
      </c>
      <c r="S1621">
        <f>IMAGE("https://mitra.stanford.edu/kundaje/oak/projects/neuro-variants/variant_position/credible/roussos_2024/variant_figures/roussos_2024.childhood.GABA/rs17687534_count_position.png",4,220,900)</f>
        <v/>
      </c>
      <c r="T1621">
        <f>IMAGE("https://mitra.stanford.edu/kundaje/oak/projects/neuro-variants/variant_position/credible/roussos_2024/variant_figures/roussos_2024.childhood.GABA/rs17687534_profile_position.png",4,220,900)</f>
        <v/>
      </c>
    </row>
    <row r="1622">
      <c r="A1622" t="inlineStr">
        <is>
          <t>chr17</t>
        </is>
      </c>
      <c r="B1622" t="n">
        <v>45672576</v>
      </c>
      <c r="C1622" t="inlineStr">
        <is>
          <t>A</t>
        </is>
      </c>
      <c r="D1622" t="inlineStr">
        <is>
          <t>G</t>
        </is>
      </c>
      <c r="E1622" t="inlineStr">
        <is>
          <t>rs1631850</t>
        </is>
      </c>
      <c r="F1622" t="n">
        <v>0.070972405</v>
      </c>
      <c r="G1622" t="n">
        <v>0.06648809506934091</v>
      </c>
      <c r="H1622" t="n">
        <v>0.018249271661064</v>
      </c>
      <c r="I1622" t="n">
        <v>0.1086570789230839</v>
      </c>
      <c r="J1622" t="n">
        <v>0.582593034700844</v>
      </c>
      <c r="K1622" t="n">
        <v>0.0315635820555347</v>
      </c>
      <c r="L1622" t="b">
        <v>0</v>
      </c>
      <c r="M1622" t="b">
        <v>0</v>
      </c>
      <c r="N1622" t="inlineStr">
        <is>
          <t>alt</t>
        </is>
      </c>
      <c r="O1622" t="n">
        <v>-30</v>
      </c>
      <c r="P1622" t="n">
        <v>0.01715</v>
      </c>
      <c r="Q1622" t="n">
        <v>-35</v>
      </c>
      <c r="R1622" t="n">
        <v>0.1641</v>
      </c>
      <c r="S1622">
        <f>IMAGE("https://mitra.stanford.edu/kundaje/oak/projects/neuro-variants/variant_position/credible/roussos_2024/variant_figures/roussos_2024.childhood.GABA/rs1631850_count_position.png",4,220,900)</f>
        <v/>
      </c>
      <c r="T1622">
        <f>IMAGE("https://mitra.stanford.edu/kundaje/oak/projects/neuro-variants/variant_position/credible/roussos_2024/variant_figures/roussos_2024.childhood.GABA/rs1631850_profile_position.png",4,220,900)</f>
        <v/>
      </c>
    </row>
    <row r="1623">
      <c r="A1623" t="inlineStr">
        <is>
          <t>chr17</t>
        </is>
      </c>
      <c r="B1623" t="n">
        <v>45672614</v>
      </c>
      <c r="C1623" t="inlineStr">
        <is>
          <t>T</t>
        </is>
      </c>
      <c r="D1623" t="inlineStr">
        <is>
          <t>C</t>
        </is>
      </c>
      <c r="E1623" t="inlineStr">
        <is>
          <t>rs62053955</t>
        </is>
      </c>
      <c r="F1623" t="n">
        <v>0.0542622917999999</v>
      </c>
      <c r="G1623" t="n">
        <v>0.114610641281304</v>
      </c>
      <c r="H1623" t="n">
        <v>0.0125182676797285</v>
      </c>
      <c r="I1623" t="n">
        <v>0.3916492934311418</v>
      </c>
      <c r="J1623" t="n">
        <v>0.5556993570815271</v>
      </c>
      <c r="K1623" t="n">
        <v>0.0367515301211742</v>
      </c>
      <c r="L1623" t="b">
        <v>0</v>
      </c>
      <c r="M1623" t="b">
        <v>0</v>
      </c>
      <c r="N1623" t="inlineStr">
        <is>
          <t>alt</t>
        </is>
      </c>
      <c r="O1623" t="n">
        <v>-70</v>
      </c>
      <c r="P1623" t="n">
        <v>0.0565</v>
      </c>
      <c r="Q1623" t="n">
        <v>-75</v>
      </c>
      <c r="R1623" t="n">
        <v>0.4058</v>
      </c>
      <c r="S1623">
        <f>IMAGE("https://mitra.stanford.edu/kundaje/oak/projects/neuro-variants/variant_position/credible/roussos_2024/variant_figures/roussos_2024.childhood.GABA/rs62053955_count_position.png",4,220,900)</f>
        <v/>
      </c>
      <c r="T1623">
        <f>IMAGE("https://mitra.stanford.edu/kundaje/oak/projects/neuro-variants/variant_position/credible/roussos_2024/variant_figures/roussos_2024.childhood.GABA/rs62053955_profile_position.png",4,220,900)</f>
        <v/>
      </c>
    </row>
    <row r="1624">
      <c r="A1624" t="inlineStr">
        <is>
          <t>chr17</t>
        </is>
      </c>
      <c r="B1624" t="n">
        <v>45675200</v>
      </c>
      <c r="C1624" t="inlineStr">
        <is>
          <t>C</t>
        </is>
      </c>
      <c r="D1624" t="inlineStr">
        <is>
          <t>T</t>
        </is>
      </c>
      <c r="E1624" t="inlineStr">
        <is>
          <t>rs62055662</t>
        </is>
      </c>
      <c r="F1624" t="n">
        <v>-0.0351708252</v>
      </c>
      <c r="G1624" t="n">
        <v>0.2717871088314933</v>
      </c>
      <c r="H1624" t="n">
        <v>0.008405361814129399</v>
      </c>
      <c r="I1624" t="n">
        <v>0.8221153362622542</v>
      </c>
      <c r="J1624" t="n">
        <v>0.1290622185922807</v>
      </c>
      <c r="K1624" t="n">
        <v>0.3024363931646587</v>
      </c>
      <c r="L1624" t="b">
        <v>0</v>
      </c>
      <c r="M1624" t="b">
        <v>0</v>
      </c>
      <c r="N1624" t="inlineStr">
        <is>
          <t>ref</t>
        </is>
      </c>
      <c r="O1624" t="n">
        <v>85</v>
      </c>
      <c r="P1624" t="n">
        <v>0.006714</v>
      </c>
      <c r="Q1624" t="n">
        <v>-10</v>
      </c>
      <c r="R1624" t="n">
        <v>0.01294</v>
      </c>
      <c r="S1624">
        <f>IMAGE("https://mitra.stanford.edu/kundaje/oak/projects/neuro-variants/variant_position/credible/roussos_2024/variant_figures/roussos_2024.childhood.GABA/rs62055662_count_position.png",4,220,900)</f>
        <v/>
      </c>
      <c r="T1624">
        <f>IMAGE("https://mitra.stanford.edu/kundaje/oak/projects/neuro-variants/variant_position/credible/roussos_2024/variant_figures/roussos_2024.childhood.GABA/rs62055662_profile_position.png",4,220,900)</f>
        <v/>
      </c>
    </row>
    <row r="1625">
      <c r="A1625" t="inlineStr">
        <is>
          <t>chr17</t>
        </is>
      </c>
      <c r="B1625" t="n">
        <v>45679467</v>
      </c>
      <c r="C1625" t="inlineStr">
        <is>
          <t>C</t>
        </is>
      </c>
      <c r="D1625" t="inlineStr">
        <is>
          <t>A</t>
        </is>
      </c>
      <c r="E1625" t="inlineStr">
        <is>
          <t>rs757500</t>
        </is>
      </c>
      <c r="F1625" t="n">
        <v>0.0418671654</v>
      </c>
      <c r="G1625" t="n">
        <v>0.1911403009765431</v>
      </c>
      <c r="H1625" t="n">
        <v>0.0149917617011937</v>
      </c>
      <c r="I1625" t="n">
        <v>0.2241951606925216</v>
      </c>
      <c r="J1625" t="n">
        <v>0.3088584532261104</v>
      </c>
      <c r="K1625" t="n">
        <v>0.1311545824877111</v>
      </c>
      <c r="L1625" t="b">
        <v>0</v>
      </c>
      <c r="M1625" t="b">
        <v>0</v>
      </c>
      <c r="N1625" t="inlineStr">
        <is>
          <t>alt</t>
        </is>
      </c>
      <c r="O1625" t="n">
        <v>95</v>
      </c>
      <c r="P1625" t="n">
        <v>0.011</v>
      </c>
      <c r="Q1625" t="n">
        <v>95</v>
      </c>
      <c r="R1625" t="n">
        <v>0.2228</v>
      </c>
      <c r="S1625">
        <f>IMAGE("https://mitra.stanford.edu/kundaje/oak/projects/neuro-variants/variant_position/credible/roussos_2024/variant_figures/roussos_2024.childhood.GABA/rs757500_count_position.png",4,220,900)</f>
        <v/>
      </c>
      <c r="T1625">
        <f>IMAGE("https://mitra.stanford.edu/kundaje/oak/projects/neuro-variants/variant_position/credible/roussos_2024/variant_figures/roussos_2024.childhood.GABA/rs757500_profile_position.png",4,220,900)</f>
        <v/>
      </c>
    </row>
    <row r="1626">
      <c r="A1626" t="inlineStr">
        <is>
          <t>chr17</t>
        </is>
      </c>
      <c r="B1626" t="n">
        <v>45679544</v>
      </c>
      <c r="C1626" t="inlineStr">
        <is>
          <t>T</t>
        </is>
      </c>
      <c r="D1626" t="inlineStr">
        <is>
          <t>C</t>
        </is>
      </c>
      <c r="E1626" t="inlineStr">
        <is>
          <t>rs62055693</t>
        </is>
      </c>
      <c r="F1626" t="n">
        <v>-0.09550260720000001</v>
      </c>
      <c r="G1626" t="n">
        <v>0.0370642798611801</v>
      </c>
      <c r="H1626" t="n">
        <v>0.0184367718418673</v>
      </c>
      <c r="I1626" t="n">
        <v>0.1046670233072295</v>
      </c>
      <c r="J1626" t="n">
        <v>0.3069485455801972</v>
      </c>
      <c r="K1626" t="n">
        <v>0.1324117951482928</v>
      </c>
      <c r="L1626" t="b">
        <v>0</v>
      </c>
      <c r="M1626" t="b">
        <v>0</v>
      </c>
      <c r="N1626" t="inlineStr">
        <is>
          <t>ref</t>
        </is>
      </c>
      <c r="O1626" t="n">
        <v>100</v>
      </c>
      <c r="P1626" t="n">
        <v>0.012985</v>
      </c>
      <c r="Q1626" t="n">
        <v>90</v>
      </c>
      <c r="R1626" t="n">
        <v>0.1934</v>
      </c>
      <c r="S1626">
        <f>IMAGE("https://mitra.stanford.edu/kundaje/oak/projects/neuro-variants/variant_position/credible/roussos_2024/variant_figures/roussos_2024.childhood.GABA/rs62055693_count_position.png",4,220,900)</f>
        <v/>
      </c>
      <c r="T1626">
        <f>IMAGE("https://mitra.stanford.edu/kundaje/oak/projects/neuro-variants/variant_position/credible/roussos_2024/variant_figures/roussos_2024.childhood.GABA/rs62055693_profile_position.png",4,220,900)</f>
        <v/>
      </c>
    </row>
    <row r="1627">
      <c r="A1627" t="inlineStr">
        <is>
          <t>chr17</t>
        </is>
      </c>
      <c r="B1627" t="n">
        <v>45682353</v>
      </c>
      <c r="C1627" t="inlineStr">
        <is>
          <t>A</t>
        </is>
      </c>
      <c r="D1627" t="inlineStr">
        <is>
          <t>G</t>
        </is>
      </c>
      <c r="E1627" t="inlineStr">
        <is>
          <t>rs17687849</t>
        </is>
      </c>
      <c r="F1627" t="n">
        <v>0.081646618</v>
      </c>
      <c r="G1627" t="n">
        <v>0.0508380358938948</v>
      </c>
      <c r="H1627" t="n">
        <v>0.0335228135377777</v>
      </c>
      <c r="I1627" t="n">
        <v>0.009514019186516599</v>
      </c>
      <c r="J1627" t="n">
        <v>0.2187367803815626</v>
      </c>
      <c r="K1627" t="n">
        <v>0.2000658239931396</v>
      </c>
      <c r="L1627" t="b">
        <v>1</v>
      </c>
      <c r="M1627" t="b">
        <v>1</v>
      </c>
      <c r="N1627" t="inlineStr">
        <is>
          <t>alt</t>
        </is>
      </c>
      <c r="O1627" t="n">
        <v>100</v>
      </c>
      <c r="P1627" t="n">
        <v>0.006874</v>
      </c>
      <c r="Q1627" t="n">
        <v>-75</v>
      </c>
      <c r="R1627" t="n">
        <v>0.02492</v>
      </c>
      <c r="S1627">
        <f>IMAGE("https://mitra.stanford.edu/kundaje/oak/projects/neuro-variants/variant_position/credible/roussos_2024/variant_figures/roussos_2024.childhood.GABA/rs17687849_count_position.png",4,220,900)</f>
        <v/>
      </c>
      <c r="T1627">
        <f>IMAGE("https://mitra.stanford.edu/kundaje/oak/projects/neuro-variants/variant_position/credible/roussos_2024/variant_figures/roussos_2024.childhood.GABA/rs17687849_profile_position.png",4,220,900)</f>
        <v/>
      </c>
    </row>
    <row r="1628">
      <c r="A1628" t="inlineStr">
        <is>
          <t>chr17</t>
        </is>
      </c>
      <c r="B1628" t="n">
        <v>45683319</v>
      </c>
      <c r="C1628" t="inlineStr">
        <is>
          <t>T</t>
        </is>
      </c>
      <c r="D1628" t="inlineStr">
        <is>
          <t>C</t>
        </is>
      </c>
      <c r="E1628" t="inlineStr">
        <is>
          <t>rs62055706</t>
        </is>
      </c>
      <c r="F1628" t="n">
        <v>0.00371010316</v>
      </c>
      <c r="G1628" t="n">
        <v>0.7100873953377231</v>
      </c>
      <c r="H1628" t="n">
        <v>0.0207013957635745</v>
      </c>
      <c r="I1628" t="n">
        <v>0.0674266967344072</v>
      </c>
      <c r="J1628" t="n">
        <v>0.01783208728613</v>
      </c>
      <c r="K1628" t="n">
        <v>0.6693719466156232</v>
      </c>
      <c r="L1628" t="b">
        <v>0</v>
      </c>
      <c r="M1628" t="b">
        <v>0</v>
      </c>
      <c r="N1628" t="inlineStr">
        <is>
          <t>alt</t>
        </is>
      </c>
      <c r="O1628" t="n">
        <v>-100</v>
      </c>
      <c r="P1628" t="n">
        <v>0.005684</v>
      </c>
      <c r="Q1628" t="n">
        <v>-80</v>
      </c>
      <c r="R1628" t="n">
        <v>0.0231</v>
      </c>
      <c r="S1628">
        <f>IMAGE("https://mitra.stanford.edu/kundaje/oak/projects/neuro-variants/variant_position/credible/roussos_2024/variant_figures/roussos_2024.childhood.GABA/rs62055706_count_position.png",4,220,900)</f>
        <v/>
      </c>
      <c r="T1628">
        <f>IMAGE("https://mitra.stanford.edu/kundaje/oak/projects/neuro-variants/variant_position/credible/roussos_2024/variant_figures/roussos_2024.childhood.GABA/rs62055706_profile_position.png",4,220,900)</f>
        <v/>
      </c>
    </row>
    <row r="1629">
      <c r="A1629" t="inlineStr">
        <is>
          <t>chr17</t>
        </is>
      </c>
      <c r="B1629" t="n">
        <v>45684573</v>
      </c>
      <c r="C1629" t="inlineStr">
        <is>
          <t>G</t>
        </is>
      </c>
      <c r="D1629" t="inlineStr">
        <is>
          <t>C</t>
        </is>
      </c>
      <c r="E1629" t="inlineStr">
        <is>
          <t>rs2158474</t>
        </is>
      </c>
      <c r="F1629" t="n">
        <v>0.136482729</v>
      </c>
      <c r="G1629" t="n">
        <v>0.0149108536015095</v>
      </c>
      <c r="H1629" t="n">
        <v>0.0211718762503631</v>
      </c>
      <c r="I1629" t="n">
        <v>0.06251899667210919</v>
      </c>
      <c r="J1629" t="n">
        <v>0.0528931331281019</v>
      </c>
      <c r="K1629" t="n">
        <v>0.4794303183294386</v>
      </c>
      <c r="L1629" t="b">
        <v>1</v>
      </c>
      <c r="M1629" t="b">
        <v>0</v>
      </c>
      <c r="N1629" t="inlineStr">
        <is>
          <t>alt</t>
        </is>
      </c>
      <c r="O1629" t="n">
        <v>100</v>
      </c>
      <c r="P1629" t="n">
        <v>0.01206</v>
      </c>
      <c r="Q1629" t="n">
        <v>95</v>
      </c>
      <c r="R1629" t="n">
        <v>0.02246</v>
      </c>
      <c r="S1629">
        <f>IMAGE("https://mitra.stanford.edu/kundaje/oak/projects/neuro-variants/variant_position/credible/roussos_2024/variant_figures/roussos_2024.childhood.GABA/rs2158474_count_position.png",4,220,900)</f>
        <v/>
      </c>
      <c r="T1629">
        <f>IMAGE("https://mitra.stanford.edu/kundaje/oak/projects/neuro-variants/variant_position/credible/roussos_2024/variant_figures/roussos_2024.childhood.GABA/rs2158474_profile_position.png",4,220,900)</f>
        <v/>
      </c>
    </row>
    <row r="1630">
      <c r="A1630" t="inlineStr">
        <is>
          <t>chr17</t>
        </is>
      </c>
      <c r="B1630" t="n">
        <v>45684608</v>
      </c>
      <c r="C1630" t="inlineStr">
        <is>
          <t>C</t>
        </is>
      </c>
      <c r="D1630" t="inlineStr">
        <is>
          <t>A</t>
        </is>
      </c>
      <c r="E1630" t="inlineStr">
        <is>
          <t>rs62055708</t>
        </is>
      </c>
      <c r="F1630" t="n">
        <v>-0.22431386</v>
      </c>
      <c r="G1630" t="n">
        <v>0.0037679467496337</v>
      </c>
      <c r="H1630" t="n">
        <v>0.0376766421619268</v>
      </c>
      <c r="I1630" t="n">
        <v>0.0061203940735615</v>
      </c>
      <c r="J1630" t="n">
        <v>0.0359552679525035</v>
      </c>
      <c r="K1630" t="n">
        <v>0.5518333367034277</v>
      </c>
      <c r="L1630" t="b">
        <v>1</v>
      </c>
      <c r="M1630" t="b">
        <v>1</v>
      </c>
      <c r="N1630" t="inlineStr">
        <is>
          <t>ref</t>
        </is>
      </c>
      <c r="O1630" t="n">
        <v>100</v>
      </c>
      <c r="P1630" t="n">
        <v>0.02153</v>
      </c>
      <c r="Q1630" t="n">
        <v>-50</v>
      </c>
      <c r="R1630" t="n">
        <v>0.0365</v>
      </c>
      <c r="S1630">
        <f>IMAGE("https://mitra.stanford.edu/kundaje/oak/projects/neuro-variants/variant_position/credible/roussos_2024/variant_figures/roussos_2024.childhood.GABA/rs62055708_count_position.png",4,220,900)</f>
        <v/>
      </c>
      <c r="T1630">
        <f>IMAGE("https://mitra.stanford.edu/kundaje/oak/projects/neuro-variants/variant_position/credible/roussos_2024/variant_figures/roussos_2024.childhood.GABA/rs62055708_profile_position.png",4,220,900)</f>
        <v/>
      </c>
    </row>
    <row r="1631">
      <c r="A1631" t="inlineStr">
        <is>
          <t>chr17</t>
        </is>
      </c>
      <c r="B1631" t="n">
        <v>45687430</v>
      </c>
      <c r="C1631" t="inlineStr">
        <is>
          <t>G</t>
        </is>
      </c>
      <c r="D1631" t="inlineStr">
        <is>
          <t>T</t>
        </is>
      </c>
      <c r="E1631" t="inlineStr">
        <is>
          <t>rs62055714</t>
        </is>
      </c>
      <c r="F1631" t="n">
        <v>-0.0696154876</v>
      </c>
      <c r="G1631" t="n">
        <v>0.0874089425065914</v>
      </c>
      <c r="H1631" t="n">
        <v>0.0152782800156642</v>
      </c>
      <c r="I1631" t="n">
        <v>0.205049286777578</v>
      </c>
      <c r="J1631" t="n">
        <v>0.157145400096333</v>
      </c>
      <c r="K1631" t="n">
        <v>0.2610241535608685</v>
      </c>
      <c r="L1631" t="b">
        <v>0</v>
      </c>
      <c r="M1631" t="b">
        <v>0</v>
      </c>
      <c r="N1631" t="inlineStr">
        <is>
          <t>ref</t>
        </is>
      </c>
      <c r="O1631" t="n">
        <v>85</v>
      </c>
      <c r="P1631" t="n">
        <v>0.00812</v>
      </c>
      <c r="Q1631" t="n">
        <v>75</v>
      </c>
      <c r="R1631" t="n">
        <v>0.0944</v>
      </c>
      <c r="S1631">
        <f>IMAGE("https://mitra.stanford.edu/kundaje/oak/projects/neuro-variants/variant_position/credible/roussos_2024/variant_figures/roussos_2024.childhood.GABA/rs62055714_count_position.png",4,220,900)</f>
        <v/>
      </c>
      <c r="T1631">
        <f>IMAGE("https://mitra.stanford.edu/kundaje/oak/projects/neuro-variants/variant_position/credible/roussos_2024/variant_figures/roussos_2024.childhood.GABA/rs62055714_profile_position.png",4,220,900)</f>
        <v/>
      </c>
    </row>
    <row r="1632">
      <c r="A1632" t="inlineStr">
        <is>
          <t>chr17</t>
        </is>
      </c>
      <c r="B1632" t="n">
        <v>45691267</v>
      </c>
      <c r="C1632" t="inlineStr">
        <is>
          <t>G</t>
        </is>
      </c>
      <c r="D1632" t="inlineStr">
        <is>
          <t>A</t>
        </is>
      </c>
      <c r="E1632" t="inlineStr">
        <is>
          <t>rs56323832</t>
        </is>
      </c>
      <c r="F1632" t="n">
        <v>0.0002320902399999</v>
      </c>
      <c r="G1632" t="n">
        <v>0.6487044581980959</v>
      </c>
      <c r="H1632" t="n">
        <v>0.008086079213592201</v>
      </c>
      <c r="I1632" t="n">
        <v>0.819684049479694</v>
      </c>
      <c r="J1632" t="n">
        <v>0.2914211220707419</v>
      </c>
      <c r="K1632" t="n">
        <v>0.1428646174989914</v>
      </c>
      <c r="L1632" t="b">
        <v>0</v>
      </c>
      <c r="M1632" t="b">
        <v>0</v>
      </c>
      <c r="N1632" t="inlineStr">
        <is>
          <t>alt</t>
        </is>
      </c>
      <c r="O1632" t="n">
        <v>-100</v>
      </c>
      <c r="P1632" t="n">
        <v>0.00927</v>
      </c>
      <c r="Q1632" t="n">
        <v>-35</v>
      </c>
      <c r="R1632" t="n">
        <v>0.05588</v>
      </c>
      <c r="S1632">
        <f>IMAGE("https://mitra.stanford.edu/kundaje/oak/projects/neuro-variants/variant_position/credible/roussos_2024/variant_figures/roussos_2024.childhood.GABA/rs56323832_count_position.png",4,220,900)</f>
        <v/>
      </c>
      <c r="T1632">
        <f>IMAGE("https://mitra.stanford.edu/kundaje/oak/projects/neuro-variants/variant_position/credible/roussos_2024/variant_figures/roussos_2024.childhood.GABA/rs56323832_profile_position.png",4,220,900)</f>
        <v/>
      </c>
    </row>
    <row r="1633">
      <c r="A1633" t="inlineStr">
        <is>
          <t>chr17</t>
        </is>
      </c>
      <c r="B1633" t="n">
        <v>45693629</v>
      </c>
      <c r="C1633" t="inlineStr">
        <is>
          <t>G</t>
        </is>
      </c>
      <c r="D1633" t="inlineStr">
        <is>
          <t>A</t>
        </is>
      </c>
      <c r="E1633" t="inlineStr">
        <is>
          <t>rs62056864</t>
        </is>
      </c>
      <c r="F1633" t="n">
        <v>-0.0275391704</v>
      </c>
      <c r="G1633" t="n">
        <v>0.3315134545518137</v>
      </c>
      <c r="H1633" t="n">
        <v>0.009938445334965299</v>
      </c>
      <c r="I1633" t="n">
        <v>0.6341370605221832</v>
      </c>
      <c r="J1633" t="n">
        <v>0.053181085212875</v>
      </c>
      <c r="K1633" t="n">
        <v>0.4853560446902651</v>
      </c>
      <c r="L1633" t="b">
        <v>0</v>
      </c>
      <c r="M1633" t="b">
        <v>0</v>
      </c>
      <c r="N1633" t="inlineStr">
        <is>
          <t>ref</t>
        </is>
      </c>
      <c r="O1633" t="n">
        <v>-95</v>
      </c>
      <c r="P1633" t="n">
        <v>0.01685</v>
      </c>
      <c r="Q1633" t="n">
        <v>-100</v>
      </c>
      <c r="R1633" t="n">
        <v>0.08093</v>
      </c>
      <c r="S1633">
        <f>IMAGE("https://mitra.stanford.edu/kundaje/oak/projects/neuro-variants/variant_position/credible/roussos_2024/variant_figures/roussos_2024.childhood.GABA/rs62056864_count_position.png",4,220,900)</f>
        <v/>
      </c>
      <c r="T1633">
        <f>IMAGE("https://mitra.stanford.edu/kundaje/oak/projects/neuro-variants/variant_position/credible/roussos_2024/variant_figures/roussos_2024.childhood.GABA/rs62056864_profile_position.png",4,220,900)</f>
        <v/>
      </c>
    </row>
    <row r="1634">
      <c r="A1634" t="inlineStr">
        <is>
          <t>chr17</t>
        </is>
      </c>
      <c r="B1634" t="n">
        <v>45694652</v>
      </c>
      <c r="C1634" t="inlineStr">
        <is>
          <t>G</t>
        </is>
      </c>
      <c r="D1634" t="inlineStr">
        <is>
          <t>T</t>
        </is>
      </c>
      <c r="E1634" t="inlineStr">
        <is>
          <t>rs56200760</t>
        </is>
      </c>
      <c r="F1634" t="n">
        <v>0.0340237045999999</v>
      </c>
      <c r="G1634" t="n">
        <v>0.2590570616131081</v>
      </c>
      <c r="H1634" t="n">
        <v>0.0200065565513474</v>
      </c>
      <c r="I1634" t="n">
        <v>0.075421140428861</v>
      </c>
      <c r="J1634" t="n">
        <v>0.1113159933823374</v>
      </c>
      <c r="K1634" t="n">
        <v>0.343419428003093</v>
      </c>
      <c r="L1634" t="b">
        <v>0</v>
      </c>
      <c r="M1634" t="b">
        <v>0</v>
      </c>
      <c r="N1634" t="inlineStr">
        <is>
          <t>alt</t>
        </is>
      </c>
      <c r="O1634" t="n">
        <v>-100</v>
      </c>
      <c r="P1634" t="n">
        <v>0.009124999999999999</v>
      </c>
      <c r="Q1634" t="n">
        <v>100</v>
      </c>
      <c r="R1634" t="n">
        <v>0.1577</v>
      </c>
      <c r="S1634">
        <f>IMAGE("https://mitra.stanford.edu/kundaje/oak/projects/neuro-variants/variant_position/credible/roussos_2024/variant_figures/roussos_2024.childhood.GABA/rs56200760_count_position.png",4,220,900)</f>
        <v/>
      </c>
      <c r="T1634">
        <f>IMAGE("https://mitra.stanford.edu/kundaje/oak/projects/neuro-variants/variant_position/credible/roussos_2024/variant_figures/roussos_2024.childhood.GABA/rs56200760_profile_position.png",4,220,900)</f>
        <v/>
      </c>
    </row>
    <row r="1635">
      <c r="A1635" t="inlineStr">
        <is>
          <t>chr17</t>
        </is>
      </c>
      <c r="B1635" t="n">
        <v>45694743</v>
      </c>
      <c r="C1635" t="inlineStr">
        <is>
          <t>C</t>
        </is>
      </c>
      <c r="D1635" t="inlineStr">
        <is>
          <t>A</t>
        </is>
      </c>
      <c r="E1635" t="inlineStr">
        <is>
          <t>rs17688391</t>
        </is>
      </c>
      <c r="F1635" t="n">
        <v>0.024182064</v>
      </c>
      <c r="G1635" t="n">
        <v>0.3615919070944137</v>
      </c>
      <c r="H1635" t="n">
        <v>0.0166662513298044</v>
      </c>
      <c r="I1635" t="n">
        <v>0.1541008186505073</v>
      </c>
      <c r="J1635" t="n">
        <v>0.149976963833218</v>
      </c>
      <c r="K1635" t="n">
        <v>0.2786741966135086</v>
      </c>
      <c r="L1635" t="b">
        <v>0</v>
      </c>
      <c r="M1635" t="b">
        <v>0</v>
      </c>
      <c r="N1635" t="inlineStr">
        <is>
          <t>alt</t>
        </is>
      </c>
      <c r="O1635" t="n">
        <v>80</v>
      </c>
      <c r="P1635" t="n">
        <v>0.0018835</v>
      </c>
      <c r="Q1635" t="n">
        <v>45</v>
      </c>
      <c r="R1635" t="n">
        <v>0.06322999999999999</v>
      </c>
      <c r="S1635">
        <f>IMAGE("https://mitra.stanford.edu/kundaje/oak/projects/neuro-variants/variant_position/credible/roussos_2024/variant_figures/roussos_2024.childhood.GABA/rs17688391_count_position.png",4,220,900)</f>
        <v/>
      </c>
      <c r="T1635">
        <f>IMAGE("https://mitra.stanford.edu/kundaje/oak/projects/neuro-variants/variant_position/credible/roussos_2024/variant_figures/roussos_2024.childhood.GABA/rs17688391_profile_position.png",4,220,900)</f>
        <v/>
      </c>
    </row>
    <row r="1636">
      <c r="A1636" t="inlineStr">
        <is>
          <t>chr17</t>
        </is>
      </c>
      <c r="B1636" t="n">
        <v>45694885</v>
      </c>
      <c r="C1636" t="inlineStr">
        <is>
          <t>C</t>
        </is>
      </c>
      <c r="D1636" t="inlineStr">
        <is>
          <t>T</t>
        </is>
      </c>
      <c r="E1636" t="inlineStr">
        <is>
          <t>rs17688410</t>
        </is>
      </c>
      <c r="F1636" t="n">
        <v>0.0749678792</v>
      </c>
      <c r="G1636" t="n">
        <v>0.0778630063603348</v>
      </c>
      <c r="H1636" t="n">
        <v>0.0391467560313842</v>
      </c>
      <c r="I1636" t="n">
        <v>0.0061900771628224</v>
      </c>
      <c r="J1636" t="n">
        <v>0.2583841176101024</v>
      </c>
      <c r="K1636" t="n">
        <v>0.1665834270349795</v>
      </c>
      <c r="L1636" t="b">
        <v>1</v>
      </c>
      <c r="M1636" t="b">
        <v>1</v>
      </c>
      <c r="N1636" t="inlineStr">
        <is>
          <t>alt</t>
        </is>
      </c>
      <c r="O1636" t="n">
        <v>-35</v>
      </c>
      <c r="P1636" t="n">
        <v>0.001137</v>
      </c>
      <c r="Q1636" t="n">
        <v>-95</v>
      </c>
      <c r="R1636" t="n">
        <v>0.1322</v>
      </c>
      <c r="S1636">
        <f>IMAGE("https://mitra.stanford.edu/kundaje/oak/projects/neuro-variants/variant_position/credible/roussos_2024/variant_figures/roussos_2024.childhood.GABA/rs17688410_count_position.png",4,220,900)</f>
        <v/>
      </c>
      <c r="T1636">
        <f>IMAGE("https://mitra.stanford.edu/kundaje/oak/projects/neuro-variants/variant_position/credible/roussos_2024/variant_figures/roussos_2024.childhood.GABA/rs17688410_profile_position.png",4,220,900)</f>
        <v/>
      </c>
    </row>
    <row r="1637">
      <c r="A1637" t="inlineStr">
        <is>
          <t>chr17</t>
        </is>
      </c>
      <c r="B1637" t="n">
        <v>45696577</v>
      </c>
      <c r="C1637" t="inlineStr">
        <is>
          <t>A</t>
        </is>
      </c>
      <c r="D1637" t="inlineStr">
        <is>
          <t>G</t>
        </is>
      </c>
      <c r="E1637" t="inlineStr">
        <is>
          <t>rs17688558</t>
        </is>
      </c>
      <c r="F1637" t="n">
        <v>0.2175724859999999</v>
      </c>
      <c r="G1637" t="n">
        <v>0.003502191238781</v>
      </c>
      <c r="H1637" t="n">
        <v>0.0223222380188504</v>
      </c>
      <c r="I1637" t="n">
        <v>0.04801066376283</v>
      </c>
      <c r="J1637" t="n">
        <v>0.2072898996879646</v>
      </c>
      <c r="K1637" t="n">
        <v>0.2081425534900483</v>
      </c>
      <c r="L1637" t="b">
        <v>1</v>
      </c>
      <c r="M1637" t="b">
        <v>1</v>
      </c>
      <c r="N1637" t="inlineStr">
        <is>
          <t>alt</t>
        </is>
      </c>
      <c r="O1637" t="n">
        <v>30</v>
      </c>
      <c r="P1637" t="n">
        <v>0.000717</v>
      </c>
      <c r="Q1637" t="n">
        <v>-55</v>
      </c>
      <c r="R1637" t="n">
        <v>0.0459</v>
      </c>
      <c r="S1637">
        <f>IMAGE("https://mitra.stanford.edu/kundaje/oak/projects/neuro-variants/variant_position/credible/roussos_2024/variant_figures/roussos_2024.childhood.GABA/rs17688558_count_position.png",4,220,900)</f>
        <v/>
      </c>
      <c r="T1637">
        <f>IMAGE("https://mitra.stanford.edu/kundaje/oak/projects/neuro-variants/variant_position/credible/roussos_2024/variant_figures/roussos_2024.childhood.GABA/rs17688558_profile_position.png",4,220,900)</f>
        <v/>
      </c>
    </row>
    <row r="1638">
      <c r="A1638" t="inlineStr">
        <is>
          <t>chr17</t>
        </is>
      </c>
      <c r="B1638" t="n">
        <v>45697131</v>
      </c>
      <c r="C1638" t="inlineStr">
        <is>
          <t>A</t>
        </is>
      </c>
      <c r="D1638" t="inlineStr">
        <is>
          <t>T</t>
        </is>
      </c>
      <c r="E1638" t="inlineStr">
        <is>
          <t>rs56162163</t>
        </is>
      </c>
      <c r="F1638" t="n">
        <v>0.0251545783599999</v>
      </c>
      <c r="G1638" t="n">
        <v>0.3523777619430755</v>
      </c>
      <c r="H1638" t="n">
        <v>0.0146698443145403</v>
      </c>
      <c r="I1638" t="n">
        <v>0.239586742380622</v>
      </c>
      <c r="J1638" t="n">
        <v>0.12581097778057</v>
      </c>
      <c r="K1638" t="n">
        <v>0.3188747590479065</v>
      </c>
      <c r="L1638" t="b">
        <v>0</v>
      </c>
      <c r="M1638" t="b">
        <v>0</v>
      </c>
      <c r="N1638" t="inlineStr">
        <is>
          <t>alt</t>
        </is>
      </c>
      <c r="O1638" t="n">
        <v>-75</v>
      </c>
      <c r="P1638" t="n">
        <v>0.001564</v>
      </c>
      <c r="Q1638" t="n">
        <v>-70</v>
      </c>
      <c r="R1638" t="n">
        <v>0.0345</v>
      </c>
      <c r="S1638">
        <f>IMAGE("https://mitra.stanford.edu/kundaje/oak/projects/neuro-variants/variant_position/credible/roussos_2024/variant_figures/roussos_2024.childhood.GABA/rs56162163_count_position.png",4,220,900)</f>
        <v/>
      </c>
      <c r="T1638">
        <f>IMAGE("https://mitra.stanford.edu/kundaje/oak/projects/neuro-variants/variant_position/credible/roussos_2024/variant_figures/roussos_2024.childhood.GABA/rs56162163_profile_position.png",4,220,900)</f>
        <v/>
      </c>
    </row>
    <row r="1639">
      <c r="A1639" t="inlineStr">
        <is>
          <t>chr17</t>
        </is>
      </c>
      <c r="B1639" t="n">
        <v>45697479</v>
      </c>
      <c r="C1639" t="inlineStr">
        <is>
          <t>C</t>
        </is>
      </c>
      <c r="D1639" t="inlineStr">
        <is>
          <t>T</t>
        </is>
      </c>
      <c r="E1639" t="inlineStr">
        <is>
          <t>rs56391096</t>
        </is>
      </c>
      <c r="F1639" t="n">
        <v>-0.00726732277</v>
      </c>
      <c r="G1639" t="n">
        <v>0.685619944199124</v>
      </c>
      <c r="H1639" t="n">
        <v>0.0206783868891327</v>
      </c>
      <c r="I1639" t="n">
        <v>0.0663479872305794</v>
      </c>
      <c r="J1639" t="n">
        <v>0.0970723126217251</v>
      </c>
      <c r="K1639" t="n">
        <v>0.3754735802881224</v>
      </c>
      <c r="L1639" t="b">
        <v>0</v>
      </c>
      <c r="M1639" t="b">
        <v>0</v>
      </c>
      <c r="N1639" t="inlineStr">
        <is>
          <t>ref</t>
        </is>
      </c>
      <c r="O1639" t="n">
        <v>-25</v>
      </c>
      <c r="P1639" t="n">
        <v>0.0002003</v>
      </c>
      <c r="Q1639" t="n">
        <v>-100</v>
      </c>
      <c r="R1639" t="n">
        <v>0.03204</v>
      </c>
      <c r="S1639">
        <f>IMAGE("https://mitra.stanford.edu/kundaje/oak/projects/neuro-variants/variant_position/credible/roussos_2024/variant_figures/roussos_2024.childhood.GABA/rs56391096_count_position.png",4,220,900)</f>
        <v/>
      </c>
      <c r="T1639">
        <f>IMAGE("https://mitra.stanford.edu/kundaje/oak/projects/neuro-variants/variant_position/credible/roussos_2024/variant_figures/roussos_2024.childhood.GABA/rs56391096_profile_position.png",4,220,900)</f>
        <v/>
      </c>
    </row>
    <row r="1640">
      <c r="A1640" t="inlineStr">
        <is>
          <t>chr17</t>
        </is>
      </c>
      <c r="B1640" t="n">
        <v>45697649</v>
      </c>
      <c r="C1640" t="inlineStr">
        <is>
          <t>T</t>
        </is>
      </c>
      <c r="D1640" t="inlineStr">
        <is>
          <t>C</t>
        </is>
      </c>
      <c r="E1640" t="inlineStr">
        <is>
          <t>rs62056872</t>
        </is>
      </c>
      <c r="F1640" t="n">
        <v>0.00494771726</v>
      </c>
      <c r="G1640" t="n">
        <v>0.7699337658062575</v>
      </c>
      <c r="H1640" t="n">
        <v>0.0096629370825164</v>
      </c>
      <c r="I1640" t="n">
        <v>0.6754054925753188</v>
      </c>
      <c r="J1640" t="n">
        <v>0.094066092856694</v>
      </c>
      <c r="K1640" t="n">
        <v>0.3815246216158051</v>
      </c>
      <c r="L1640" t="b">
        <v>0</v>
      </c>
      <c r="M1640" t="b">
        <v>0</v>
      </c>
      <c r="N1640" t="inlineStr">
        <is>
          <t>alt</t>
        </is>
      </c>
      <c r="O1640" t="n">
        <v>-100</v>
      </c>
      <c r="P1640" t="n">
        <v>0.0037</v>
      </c>
      <c r="Q1640" t="n">
        <v>100</v>
      </c>
      <c r="R1640" t="n">
        <v>0.2102</v>
      </c>
      <c r="S1640">
        <f>IMAGE("https://mitra.stanford.edu/kundaje/oak/projects/neuro-variants/variant_position/credible/roussos_2024/variant_figures/roussos_2024.childhood.GABA/rs62056872_count_position.png",4,220,900)</f>
        <v/>
      </c>
      <c r="T1640">
        <f>IMAGE("https://mitra.stanford.edu/kundaje/oak/projects/neuro-variants/variant_position/credible/roussos_2024/variant_figures/roussos_2024.childhood.GABA/rs62056872_profile_position.png",4,220,900)</f>
        <v/>
      </c>
    </row>
    <row r="1641">
      <c r="A1641" t="inlineStr">
        <is>
          <t>chr17</t>
        </is>
      </c>
      <c r="B1641" t="n">
        <v>45698036</v>
      </c>
      <c r="C1641" t="inlineStr">
        <is>
          <t>T</t>
        </is>
      </c>
      <c r="D1641" t="inlineStr">
        <is>
          <t>C</t>
        </is>
      </c>
      <c r="E1641" t="inlineStr">
        <is>
          <t>rs12150608</t>
        </is>
      </c>
      <c r="F1641" t="n">
        <v>0.0945856018</v>
      </c>
      <c r="G1641" t="n">
        <v>0.0380680646787738</v>
      </c>
      <c r="H1641" t="n">
        <v>0.0231194172273799</v>
      </c>
      <c r="I1641" t="n">
        <v>0.0429061346063549</v>
      </c>
      <c r="J1641" t="n">
        <v>0.0951414630060103</v>
      </c>
      <c r="K1641" t="n">
        <v>0.3823490126932738</v>
      </c>
      <c r="L1641" t="b">
        <v>0</v>
      </c>
      <c r="M1641" t="b">
        <v>0</v>
      </c>
      <c r="N1641" t="inlineStr">
        <is>
          <t>alt</t>
        </is>
      </c>
      <c r="O1641" t="n">
        <v>-90</v>
      </c>
      <c r="P1641" t="n">
        <v>0.001808</v>
      </c>
      <c r="Q1641" t="n">
        <v>-100</v>
      </c>
      <c r="R1641" t="n">
        <v>0.0442</v>
      </c>
      <c r="S1641">
        <f>IMAGE("https://mitra.stanford.edu/kundaje/oak/projects/neuro-variants/variant_position/credible/roussos_2024/variant_figures/roussos_2024.childhood.GABA/rs12150608_count_position.png",4,220,900)</f>
        <v/>
      </c>
      <c r="T1641">
        <f>IMAGE("https://mitra.stanford.edu/kundaje/oak/projects/neuro-variants/variant_position/credible/roussos_2024/variant_figures/roussos_2024.childhood.GABA/rs12150608_profile_position.png",4,220,900)</f>
        <v/>
      </c>
    </row>
    <row r="1642">
      <c r="A1642" t="inlineStr">
        <is>
          <t>chr17</t>
        </is>
      </c>
      <c r="B1642" t="n">
        <v>45698180</v>
      </c>
      <c r="C1642" t="inlineStr">
        <is>
          <t>A</t>
        </is>
      </c>
      <c r="D1642" t="inlineStr">
        <is>
          <t>G</t>
        </is>
      </c>
      <c r="E1642" t="inlineStr">
        <is>
          <t>rs12150547</t>
        </is>
      </c>
      <c r="F1642" t="n">
        <v>0.0726207419999999</v>
      </c>
      <c r="G1642" t="n">
        <v>0.0597648379301576</v>
      </c>
      <c r="H1642" t="n">
        <v>0.0162488684189603</v>
      </c>
      <c r="I1642" t="n">
        <v>0.1690602613904573</v>
      </c>
      <c r="J1642" t="n">
        <v>0.0881615044711105</v>
      </c>
      <c r="K1642" t="n">
        <v>0.4061598082553785</v>
      </c>
      <c r="L1642" t="b">
        <v>0</v>
      </c>
      <c r="M1642" t="b">
        <v>0</v>
      </c>
      <c r="N1642" t="inlineStr">
        <is>
          <t>alt</t>
        </is>
      </c>
      <c r="O1642" t="n">
        <v>-100</v>
      </c>
      <c r="P1642" t="n">
        <v>0.009514</v>
      </c>
      <c r="Q1642" t="n">
        <v>-70</v>
      </c>
      <c r="R1642" t="n">
        <v>0.05347</v>
      </c>
      <c r="S1642">
        <f>IMAGE("https://mitra.stanford.edu/kundaje/oak/projects/neuro-variants/variant_position/credible/roussos_2024/variant_figures/roussos_2024.childhood.GABA/rs12150547_count_position.png",4,220,900)</f>
        <v/>
      </c>
      <c r="T1642">
        <f>IMAGE("https://mitra.stanford.edu/kundaje/oak/projects/neuro-variants/variant_position/credible/roussos_2024/variant_figures/roussos_2024.childhood.GABA/rs12150547_profile_position.png",4,220,900)</f>
        <v/>
      </c>
    </row>
    <row r="1643">
      <c r="A1643" t="inlineStr">
        <is>
          <t>chr17</t>
        </is>
      </c>
      <c r="B1643" t="n">
        <v>45700212</v>
      </c>
      <c r="C1643" t="inlineStr">
        <is>
          <t>C</t>
        </is>
      </c>
      <c r="D1643" t="inlineStr">
        <is>
          <t>T</t>
        </is>
      </c>
      <c r="E1643" t="inlineStr">
        <is>
          <t>rs62056874</t>
        </is>
      </c>
      <c r="F1643" t="n">
        <v>5.2614359999998e-06</v>
      </c>
      <c r="G1643" t="n">
        <v>0.7411043872193198</v>
      </c>
      <c r="H1643" t="n">
        <v>0.0125221162001597</v>
      </c>
      <c r="I1643" t="n">
        <v>0.3746983557177539</v>
      </c>
      <c r="J1643" t="n">
        <v>0.1796747712089798</v>
      </c>
      <c r="K1643" t="n">
        <v>0.2393167078117807</v>
      </c>
      <c r="L1643" t="b">
        <v>0</v>
      </c>
      <c r="M1643" t="b">
        <v>0</v>
      </c>
      <c r="N1643" t="inlineStr">
        <is>
          <t>alt</t>
        </is>
      </c>
      <c r="O1643" t="n">
        <v>40</v>
      </c>
      <c r="P1643" t="n">
        <v>0.0002956</v>
      </c>
      <c r="Q1643" t="n">
        <v>100</v>
      </c>
      <c r="R1643" t="n">
        <v>0.05084</v>
      </c>
      <c r="S1643">
        <f>IMAGE("https://mitra.stanford.edu/kundaje/oak/projects/neuro-variants/variant_position/credible/roussos_2024/variant_figures/roussos_2024.childhood.GABA/rs62056874_count_position.png",4,220,900)</f>
        <v/>
      </c>
      <c r="T1643">
        <f>IMAGE("https://mitra.stanford.edu/kundaje/oak/projects/neuro-variants/variant_position/credible/roussos_2024/variant_figures/roussos_2024.childhood.GABA/rs62056874_profile_position.png",4,220,900)</f>
        <v/>
      </c>
    </row>
    <row r="1644">
      <c r="A1644" t="inlineStr">
        <is>
          <t>chr17</t>
        </is>
      </c>
      <c r="B1644" t="n">
        <v>45703582</v>
      </c>
      <c r="C1644" t="inlineStr">
        <is>
          <t>T</t>
        </is>
      </c>
      <c r="D1644" t="inlineStr">
        <is>
          <t>C</t>
        </is>
      </c>
      <c r="E1644" t="inlineStr">
        <is>
          <t>rs17762308</t>
        </is>
      </c>
      <c r="F1644" t="n">
        <v>-0.0100551958</v>
      </c>
      <c r="G1644" t="n">
        <v>0.3737224645590115</v>
      </c>
      <c r="H1644" t="n">
        <v>0.0088769268255451</v>
      </c>
      <c r="I1644" t="n">
        <v>0.7596585827898701</v>
      </c>
      <c r="J1644" t="n">
        <v>0.1871049820946158</v>
      </c>
      <c r="K1644" t="n">
        <v>0.2317381687212726</v>
      </c>
      <c r="L1644" t="b">
        <v>0</v>
      </c>
      <c r="M1644" t="b">
        <v>0</v>
      </c>
      <c r="N1644" t="inlineStr">
        <is>
          <t>ref</t>
        </is>
      </c>
      <c r="O1644" t="n">
        <v>-95</v>
      </c>
      <c r="P1644" t="n">
        <v>0.00773</v>
      </c>
      <c r="Q1644" t="n">
        <v>-95</v>
      </c>
      <c r="R1644" t="n">
        <v>0.04565</v>
      </c>
      <c r="S1644">
        <f>IMAGE("https://mitra.stanford.edu/kundaje/oak/projects/neuro-variants/variant_position/credible/roussos_2024/variant_figures/roussos_2024.childhood.GABA/rs17762308_count_position.png",4,220,900)</f>
        <v/>
      </c>
      <c r="T1644">
        <f>IMAGE("https://mitra.stanford.edu/kundaje/oak/projects/neuro-variants/variant_position/credible/roussos_2024/variant_figures/roussos_2024.childhood.GABA/rs17762308_profile_position.png",4,220,900)</f>
        <v/>
      </c>
    </row>
    <row r="1645">
      <c r="A1645" t="inlineStr">
        <is>
          <t>chr17</t>
        </is>
      </c>
      <c r="B1645" t="n">
        <v>45706437</v>
      </c>
      <c r="C1645" t="inlineStr">
        <is>
          <t>A</t>
        </is>
      </c>
      <c r="D1645" t="inlineStr">
        <is>
          <t>G</t>
        </is>
      </c>
      <c r="E1645" t="inlineStr">
        <is>
          <t>rs62056909</t>
        </is>
      </c>
      <c r="F1645" t="n">
        <v>0.0466102156</v>
      </c>
      <c r="G1645" t="n">
        <v>0.1596246783342448</v>
      </c>
      <c r="H1645" t="n">
        <v>0.0155606771154532</v>
      </c>
      <c r="I1645" t="n">
        <v>0.1985504930941239</v>
      </c>
      <c r="J1645" t="n">
        <v>0.1321071810014449</v>
      </c>
      <c r="K1645" t="n">
        <v>0.3069932872313343</v>
      </c>
      <c r="L1645" t="b">
        <v>0</v>
      </c>
      <c r="M1645" t="b">
        <v>0</v>
      </c>
      <c r="N1645" t="inlineStr">
        <is>
          <t>alt</t>
        </is>
      </c>
      <c r="O1645" t="n">
        <v>45</v>
      </c>
      <c r="P1645" t="n">
        <v>0.003769</v>
      </c>
      <c r="Q1645" t="n">
        <v>15</v>
      </c>
      <c r="R1645" t="n">
        <v>0.02628</v>
      </c>
      <c r="S1645">
        <f>IMAGE("https://mitra.stanford.edu/kundaje/oak/projects/neuro-variants/variant_position/credible/roussos_2024/variant_figures/roussos_2024.childhood.GABA/rs62056909_count_position.png",4,220,900)</f>
        <v/>
      </c>
      <c r="T1645">
        <f>IMAGE("https://mitra.stanford.edu/kundaje/oak/projects/neuro-variants/variant_position/credible/roussos_2024/variant_figures/roussos_2024.childhood.GABA/rs62056909_profile_position.png",4,220,900)</f>
        <v/>
      </c>
    </row>
    <row r="1646">
      <c r="A1646" t="inlineStr">
        <is>
          <t>chr17</t>
        </is>
      </c>
      <c r="B1646" t="n">
        <v>45706856</v>
      </c>
      <c r="C1646" t="inlineStr">
        <is>
          <t>T</t>
        </is>
      </c>
      <c r="D1646" t="inlineStr">
        <is>
          <t>C</t>
        </is>
      </c>
      <c r="E1646" t="inlineStr">
        <is>
          <t>rs62056910</t>
        </is>
      </c>
      <c r="F1646" t="n">
        <v>-0.0011024527199999</v>
      </c>
      <c r="G1646" t="n">
        <v>0.7525198695392833</v>
      </c>
      <c r="H1646" t="n">
        <v>0.0114746252686297</v>
      </c>
      <c r="I1646" t="n">
        <v>0.4876878540717411</v>
      </c>
      <c r="J1646" t="n">
        <v>0.1660059475194236</v>
      </c>
      <c r="K1646" t="n">
        <v>0.2563939260694405</v>
      </c>
      <c r="L1646" t="b">
        <v>0</v>
      </c>
      <c r="M1646" t="b">
        <v>0</v>
      </c>
      <c r="N1646" t="inlineStr">
        <is>
          <t>ref</t>
        </is>
      </c>
      <c r="O1646" t="n">
        <v>100</v>
      </c>
      <c r="P1646" t="n">
        <v>0.00554</v>
      </c>
      <c r="Q1646" t="n">
        <v>20</v>
      </c>
      <c r="R1646" t="n">
        <v>0.0326</v>
      </c>
      <c r="S1646">
        <f>IMAGE("https://mitra.stanford.edu/kundaje/oak/projects/neuro-variants/variant_position/credible/roussos_2024/variant_figures/roussos_2024.childhood.GABA/rs62056910_count_position.png",4,220,900)</f>
        <v/>
      </c>
      <c r="T1646">
        <f>IMAGE("https://mitra.stanford.edu/kundaje/oak/projects/neuro-variants/variant_position/credible/roussos_2024/variant_figures/roussos_2024.childhood.GABA/rs62056910_profile_position.png",4,220,900)</f>
        <v/>
      </c>
    </row>
    <row r="1647">
      <c r="A1647" t="inlineStr">
        <is>
          <t>chr17</t>
        </is>
      </c>
      <c r="B1647" t="n">
        <v>45707582</v>
      </c>
      <c r="C1647" t="inlineStr">
        <is>
          <t>G</t>
        </is>
      </c>
      <c r="D1647" t="inlineStr">
        <is>
          <t>T</t>
        </is>
      </c>
      <c r="E1647" t="inlineStr">
        <is>
          <t>rs62056912</t>
        </is>
      </c>
      <c r="F1647" t="n">
        <v>-0.00876104776</v>
      </c>
      <c r="G1647" t="n">
        <v>0.6472949560427258</v>
      </c>
      <c r="H1647" t="n">
        <v>0.0076127571220869</v>
      </c>
      <c r="I1647" t="n">
        <v>0.8963495821431579</v>
      </c>
      <c r="J1647" t="n">
        <v>0.1508785156331804</v>
      </c>
      <c r="K1647" t="n">
        <v>0.2822110046386249</v>
      </c>
      <c r="L1647" t="b">
        <v>0</v>
      </c>
      <c r="M1647" t="b">
        <v>0</v>
      </c>
      <c r="N1647" t="inlineStr">
        <is>
          <t>ref</t>
        </is>
      </c>
      <c r="O1647" t="n">
        <v>55</v>
      </c>
      <c r="P1647" t="n">
        <v>0.01642</v>
      </c>
      <c r="Q1647" t="n">
        <v>60</v>
      </c>
      <c r="R1647" t="n">
        <v>0.02802</v>
      </c>
      <c r="S1647">
        <f>IMAGE("https://mitra.stanford.edu/kundaje/oak/projects/neuro-variants/variant_position/credible/roussos_2024/variant_figures/roussos_2024.childhood.GABA/rs62056912_count_position.png",4,220,900)</f>
        <v/>
      </c>
      <c r="T1647">
        <f>IMAGE("https://mitra.stanford.edu/kundaje/oak/projects/neuro-variants/variant_position/credible/roussos_2024/variant_figures/roussos_2024.childhood.GABA/rs62056912_profile_position.png",4,220,900)</f>
        <v/>
      </c>
    </row>
    <row r="1648">
      <c r="A1648" t="inlineStr">
        <is>
          <t>chr17</t>
        </is>
      </c>
      <c r="B1648" t="n">
        <v>45707983</v>
      </c>
      <c r="C1648" t="inlineStr">
        <is>
          <t>T</t>
        </is>
      </c>
      <c r="D1648" t="inlineStr">
        <is>
          <t>C</t>
        </is>
      </c>
      <c r="E1648" t="inlineStr">
        <is>
          <t>rs61667602</t>
        </is>
      </c>
      <c r="F1648" t="n">
        <v>0.07908896</v>
      </c>
      <c r="G1648" t="n">
        <v>0.0586841402656309</v>
      </c>
      <c r="H1648" t="n">
        <v>0.010879027968539</v>
      </c>
      <c r="I1648" t="n">
        <v>0.5102914598599338</v>
      </c>
      <c r="J1648" t="n">
        <v>0.1207262675127221</v>
      </c>
      <c r="K1648" t="n">
        <v>0.331451682592101</v>
      </c>
      <c r="L1648" t="b">
        <v>0</v>
      </c>
      <c r="M1648" t="b">
        <v>0</v>
      </c>
      <c r="N1648" t="inlineStr">
        <is>
          <t>alt</t>
        </is>
      </c>
      <c r="O1648" t="n">
        <v>-100</v>
      </c>
      <c r="P1648" t="n">
        <v>0.007137</v>
      </c>
      <c r="Q1648" t="n">
        <v>-85</v>
      </c>
      <c r="R1648" t="n">
        <v>0.06995</v>
      </c>
      <c r="S1648">
        <f>IMAGE("https://mitra.stanford.edu/kundaje/oak/projects/neuro-variants/variant_position/credible/roussos_2024/variant_figures/roussos_2024.childhood.GABA/rs61667602_count_position.png",4,220,900)</f>
        <v/>
      </c>
      <c r="T1648">
        <f>IMAGE("https://mitra.stanford.edu/kundaje/oak/projects/neuro-variants/variant_position/credible/roussos_2024/variant_figures/roussos_2024.childhood.GABA/rs61667602_profile_position.png",4,220,900)</f>
        <v/>
      </c>
    </row>
    <row r="1649">
      <c r="A1649" t="inlineStr">
        <is>
          <t>chr17</t>
        </is>
      </c>
      <c r="B1649" t="n">
        <v>45708572</v>
      </c>
      <c r="C1649" t="inlineStr">
        <is>
          <t>C</t>
        </is>
      </c>
      <c r="D1649" t="inlineStr">
        <is>
          <t>T</t>
        </is>
      </c>
      <c r="E1649" t="inlineStr">
        <is>
          <t>rs62056916</t>
        </is>
      </c>
      <c r="F1649" t="n">
        <v>0.0128056240599999</v>
      </c>
      <c r="G1649" t="n">
        <v>0.5455046118864524</v>
      </c>
      <c r="H1649" t="n">
        <v>0.008606853837909699</v>
      </c>
      <c r="I1649" t="n">
        <v>0.74266149043704</v>
      </c>
      <c r="J1649" t="n">
        <v>0.1893782329165881</v>
      </c>
      <c r="K1649" t="n">
        <v>0.2270153771189298</v>
      </c>
      <c r="L1649" t="b">
        <v>0</v>
      </c>
      <c r="M1649" t="b">
        <v>0</v>
      </c>
      <c r="N1649" t="inlineStr">
        <is>
          <t>alt</t>
        </is>
      </c>
      <c r="O1649" t="n">
        <v>100</v>
      </c>
      <c r="P1649" t="n">
        <v>0.0246</v>
      </c>
      <c r="Q1649" t="n">
        <v>65</v>
      </c>
      <c r="R1649" t="n">
        <v>0.1356</v>
      </c>
      <c r="S1649">
        <f>IMAGE("https://mitra.stanford.edu/kundaje/oak/projects/neuro-variants/variant_position/credible/roussos_2024/variant_figures/roussos_2024.childhood.GABA/rs62056916_count_position.png",4,220,900)</f>
        <v/>
      </c>
      <c r="T1649">
        <f>IMAGE("https://mitra.stanford.edu/kundaje/oak/projects/neuro-variants/variant_position/credible/roussos_2024/variant_figures/roussos_2024.childhood.GABA/rs62056916_profile_position.png",4,220,900)</f>
        <v/>
      </c>
    </row>
    <row r="1650">
      <c r="A1650" t="inlineStr">
        <is>
          <t>chr17</t>
        </is>
      </c>
      <c r="B1650" t="n">
        <v>45708647</v>
      </c>
      <c r="C1650" t="inlineStr">
        <is>
          <t>G</t>
        </is>
      </c>
      <c r="D1650" t="inlineStr">
        <is>
          <t>T</t>
        </is>
      </c>
      <c r="E1650" t="inlineStr">
        <is>
          <t>rs62056917</t>
        </is>
      </c>
      <c r="F1650" t="n">
        <v>-0.01312277976</v>
      </c>
      <c r="G1650" t="n">
        <v>0.5382077930291194</v>
      </c>
      <c r="H1650" t="n">
        <v>0.0117109984564464</v>
      </c>
      <c r="I1650" t="n">
        <v>0.4564324701949688</v>
      </c>
      <c r="J1650" t="n">
        <v>0.1948472283302967</v>
      </c>
      <c r="K1650" t="n">
        <v>0.2211052239269642</v>
      </c>
      <c r="L1650" t="b">
        <v>0</v>
      </c>
      <c r="M1650" t="b">
        <v>0</v>
      </c>
      <c r="N1650" t="inlineStr">
        <is>
          <t>ref</t>
        </is>
      </c>
      <c r="O1650" t="n">
        <v>25</v>
      </c>
      <c r="P1650" t="n">
        <v>0.01047</v>
      </c>
      <c r="Q1650" t="n">
        <v>5</v>
      </c>
      <c r="R1650" t="n">
        <v>0.003418</v>
      </c>
      <c r="S1650">
        <f>IMAGE("https://mitra.stanford.edu/kundaje/oak/projects/neuro-variants/variant_position/credible/roussos_2024/variant_figures/roussos_2024.childhood.GABA/rs62056917_count_position.png",4,220,900)</f>
        <v/>
      </c>
      <c r="T1650">
        <f>IMAGE("https://mitra.stanford.edu/kundaje/oak/projects/neuro-variants/variant_position/credible/roussos_2024/variant_figures/roussos_2024.childhood.GABA/rs62056917_profile_position.png",4,220,900)</f>
        <v/>
      </c>
    </row>
    <row r="1651">
      <c r="A1651" t="inlineStr">
        <is>
          <t>chr17</t>
        </is>
      </c>
      <c r="B1651" t="n">
        <v>45709764</v>
      </c>
      <c r="C1651" t="inlineStr">
        <is>
          <t>T</t>
        </is>
      </c>
      <c r="D1651" t="inlineStr">
        <is>
          <t>C</t>
        </is>
      </c>
      <c r="E1651" t="inlineStr">
        <is>
          <t>rs17762535</t>
        </is>
      </c>
      <c r="F1651" t="n">
        <v>0.1115130689999999</v>
      </c>
      <c r="G1651" t="n">
        <v>0.0214879078261354</v>
      </c>
      <c r="H1651" t="n">
        <v>0.0142748001030828</v>
      </c>
      <c r="I1651" t="n">
        <v>0.2658478729543085</v>
      </c>
      <c r="J1651" t="n">
        <v>0.3278884211848966</v>
      </c>
      <c r="K1651" t="n">
        <v>0.1205568846206515</v>
      </c>
      <c r="L1651" t="b">
        <v>0</v>
      </c>
      <c r="M1651" t="b">
        <v>0</v>
      </c>
      <c r="N1651" t="inlineStr">
        <is>
          <t>alt</t>
        </is>
      </c>
      <c r="O1651" t="n">
        <v>95</v>
      </c>
      <c r="P1651" t="n">
        <v>0.008026</v>
      </c>
      <c r="Q1651" t="n">
        <v>95</v>
      </c>
      <c r="R1651" t="n">
        <v>0.06104</v>
      </c>
      <c r="S1651">
        <f>IMAGE("https://mitra.stanford.edu/kundaje/oak/projects/neuro-variants/variant_position/credible/roussos_2024/variant_figures/roussos_2024.childhood.GABA/rs17762535_count_position.png",4,220,900)</f>
        <v/>
      </c>
      <c r="T1651">
        <f>IMAGE("https://mitra.stanford.edu/kundaje/oak/projects/neuro-variants/variant_position/credible/roussos_2024/variant_figures/roussos_2024.childhood.GABA/rs17762535_profile_position.png",4,220,900)</f>
        <v/>
      </c>
    </row>
    <row r="1652">
      <c r="A1652" t="inlineStr">
        <is>
          <t>chr17</t>
        </is>
      </c>
      <c r="B1652" t="n">
        <v>45709860</v>
      </c>
      <c r="C1652" t="inlineStr">
        <is>
          <t>G</t>
        </is>
      </c>
      <c r="D1652" t="inlineStr">
        <is>
          <t>A</t>
        </is>
      </c>
      <c r="E1652" t="inlineStr">
        <is>
          <t>rs62056920</t>
        </is>
      </c>
      <c r="F1652" t="n">
        <v>-0.114220245</v>
      </c>
      <c r="G1652" t="n">
        <v>0.0235172762760949</v>
      </c>
      <c r="H1652" t="n">
        <v>0.0209471658935726</v>
      </c>
      <c r="I1652" t="n">
        <v>0.0626379082859841</v>
      </c>
      <c r="J1652" t="n">
        <v>0.3043737303930808</v>
      </c>
      <c r="K1652" t="n">
        <v>0.1345114629491848</v>
      </c>
      <c r="L1652" t="b">
        <v>0</v>
      </c>
      <c r="M1652" t="b">
        <v>0</v>
      </c>
      <c r="N1652" t="inlineStr">
        <is>
          <t>ref</t>
        </is>
      </c>
      <c r="O1652" t="n">
        <v>-5</v>
      </c>
      <c r="P1652" t="n">
        <v>7.63e-05</v>
      </c>
      <c r="Q1652" t="n">
        <v>0</v>
      </c>
      <c r="R1652" t="n">
        <v>0</v>
      </c>
      <c r="S1652">
        <f>IMAGE("https://mitra.stanford.edu/kundaje/oak/projects/neuro-variants/variant_position/credible/roussos_2024/variant_figures/roussos_2024.childhood.GABA/rs62056920_count_position.png",4,220,900)</f>
        <v/>
      </c>
      <c r="T1652">
        <f>IMAGE("https://mitra.stanford.edu/kundaje/oak/projects/neuro-variants/variant_position/credible/roussos_2024/variant_figures/roussos_2024.childhood.GABA/rs62056920_profile_position.png",4,220,900)</f>
        <v/>
      </c>
    </row>
    <row r="1653">
      <c r="A1653" t="inlineStr">
        <is>
          <t>chr17</t>
        </is>
      </c>
      <c r="B1653" t="n">
        <v>45714886</v>
      </c>
      <c r="C1653" t="inlineStr">
        <is>
          <t>C</t>
        </is>
      </c>
      <c r="D1653" t="inlineStr">
        <is>
          <t>A</t>
        </is>
      </c>
      <c r="E1653" t="inlineStr">
        <is>
          <t>rs55973918</t>
        </is>
      </c>
      <c r="F1653" t="n">
        <v>0.01024640582</v>
      </c>
      <c r="G1653" t="n">
        <v>0.6111017549937853</v>
      </c>
      <c r="H1653" t="n">
        <v>0.0302075476644557</v>
      </c>
      <c r="I1653" t="n">
        <v>0.0123144670011375</v>
      </c>
      <c r="J1653" t="n">
        <v>0.09831835982492509</v>
      </c>
      <c r="K1653" t="n">
        <v>0.3842427010983286</v>
      </c>
      <c r="L1653" t="b">
        <v>1</v>
      </c>
      <c r="M1653" t="b">
        <v>0</v>
      </c>
      <c r="N1653" t="inlineStr">
        <is>
          <t>alt</t>
        </is>
      </c>
      <c r="O1653" t="n">
        <v>65</v>
      </c>
      <c r="P1653" t="n">
        <v>0.003357</v>
      </c>
      <c r="Q1653" t="n">
        <v>100</v>
      </c>
      <c r="R1653" t="n">
        <v>0.1157</v>
      </c>
      <c r="S1653">
        <f>IMAGE("https://mitra.stanford.edu/kundaje/oak/projects/neuro-variants/variant_position/credible/roussos_2024/variant_figures/roussos_2024.childhood.GABA/rs55973918_count_position.png",4,220,900)</f>
        <v/>
      </c>
      <c r="T1653">
        <f>IMAGE("https://mitra.stanford.edu/kundaje/oak/projects/neuro-variants/variant_position/credible/roussos_2024/variant_figures/roussos_2024.childhood.GABA/rs55973918_profile_position.png",4,220,900)</f>
        <v/>
      </c>
    </row>
    <row r="1654">
      <c r="A1654" t="inlineStr">
        <is>
          <t>chr17</t>
        </is>
      </c>
      <c r="B1654" t="n">
        <v>45716299</v>
      </c>
      <c r="C1654" t="inlineStr">
        <is>
          <t>A</t>
        </is>
      </c>
      <c r="D1654" t="inlineStr">
        <is>
          <t>G</t>
        </is>
      </c>
      <c r="E1654" t="inlineStr">
        <is>
          <t>rs7502937</t>
        </is>
      </c>
      <c r="F1654" t="n">
        <v>-0.00786747328</v>
      </c>
      <c r="G1654" t="n">
        <v>0.7068077213241927</v>
      </c>
      <c r="H1654" t="n">
        <v>0.0087190456891951</v>
      </c>
      <c r="I1654" t="n">
        <v>0.7722927968241384</v>
      </c>
      <c r="J1654" t="n">
        <v>0.2516167200686895</v>
      </c>
      <c r="K1654" t="n">
        <v>0.1721451228841159</v>
      </c>
      <c r="L1654" t="b">
        <v>0</v>
      </c>
      <c r="M1654" t="b">
        <v>0</v>
      </c>
      <c r="N1654" t="inlineStr">
        <is>
          <t>ref</t>
        </is>
      </c>
      <c r="O1654" t="n">
        <v>30</v>
      </c>
      <c r="P1654" t="n">
        <v>0.001469</v>
      </c>
      <c r="Q1654" t="n">
        <v>100</v>
      </c>
      <c r="R1654" t="n">
        <v>0.1203</v>
      </c>
      <c r="S1654">
        <f>IMAGE("https://mitra.stanford.edu/kundaje/oak/projects/neuro-variants/variant_position/credible/roussos_2024/variant_figures/roussos_2024.childhood.GABA/rs7502937_count_position.png",4,220,900)</f>
        <v/>
      </c>
      <c r="T1654">
        <f>IMAGE("https://mitra.stanford.edu/kundaje/oak/projects/neuro-variants/variant_position/credible/roussos_2024/variant_figures/roussos_2024.childhood.GABA/rs7502937_profile_position.png",4,220,900)</f>
        <v/>
      </c>
    </row>
    <row r="1655">
      <c r="A1655" t="inlineStr">
        <is>
          <t>chr17</t>
        </is>
      </c>
      <c r="B1655" t="n">
        <v>45716920</v>
      </c>
      <c r="C1655" t="inlineStr">
        <is>
          <t>C</t>
        </is>
      </c>
      <c r="D1655" t="inlineStr">
        <is>
          <t>T</t>
        </is>
      </c>
      <c r="E1655" t="inlineStr">
        <is>
          <t>rs75310534</t>
        </is>
      </c>
      <c r="F1655" t="n">
        <v>-0.072215184</v>
      </c>
      <c r="G1655" t="n">
        <v>0.06594353538823131</v>
      </c>
      <c r="H1655" t="n">
        <v>0.0129713102235136</v>
      </c>
      <c r="I1655" t="n">
        <v>0.3584950666027809</v>
      </c>
      <c r="J1655" t="n">
        <v>0.2243953006219764</v>
      </c>
      <c r="K1655" t="n">
        <v>0.1928345924550509</v>
      </c>
      <c r="L1655" t="b">
        <v>0</v>
      </c>
      <c r="M1655" t="b">
        <v>0</v>
      </c>
      <c r="N1655" t="inlineStr">
        <is>
          <t>ref</t>
        </is>
      </c>
      <c r="O1655" t="n">
        <v>10</v>
      </c>
      <c r="P1655" t="n">
        <v>0.0003204</v>
      </c>
      <c r="Q1655" t="n">
        <v>-5</v>
      </c>
      <c r="R1655" t="n">
        <v>0.002441</v>
      </c>
      <c r="S1655">
        <f>IMAGE("https://mitra.stanford.edu/kundaje/oak/projects/neuro-variants/variant_position/credible/roussos_2024/variant_figures/roussos_2024.childhood.GABA/rs75310534_count_position.png",4,220,900)</f>
        <v/>
      </c>
      <c r="T1655">
        <f>IMAGE("https://mitra.stanford.edu/kundaje/oak/projects/neuro-variants/variant_position/credible/roussos_2024/variant_figures/roussos_2024.childhood.GABA/rs75310534_profile_position.png",4,220,900)</f>
        <v/>
      </c>
    </row>
    <row r="1656">
      <c r="A1656" t="inlineStr">
        <is>
          <t>chr17</t>
        </is>
      </c>
      <c r="B1656" t="n">
        <v>45718207</v>
      </c>
      <c r="C1656" t="inlineStr">
        <is>
          <t>C</t>
        </is>
      </c>
      <c r="D1656" t="inlineStr">
        <is>
          <t>T</t>
        </is>
      </c>
      <c r="E1656" t="inlineStr">
        <is>
          <t>rs111415173</t>
        </is>
      </c>
      <c r="F1656" t="n">
        <v>0.0163674636</v>
      </c>
      <c r="G1656" t="n">
        <v>0.4632061825963339</v>
      </c>
      <c r="H1656" t="n">
        <v>0.0212100322963248</v>
      </c>
      <c r="I1656" t="n">
        <v>0.0590805281446717</v>
      </c>
      <c r="J1656" t="n">
        <v>0.0013203911959958</v>
      </c>
      <c r="K1656" t="n">
        <v>0.9003370983518915</v>
      </c>
      <c r="L1656" t="b">
        <v>0</v>
      </c>
      <c r="M1656" t="b">
        <v>0</v>
      </c>
      <c r="N1656" t="inlineStr">
        <is>
          <t>alt</t>
        </is>
      </c>
      <c r="O1656" t="n">
        <v>30</v>
      </c>
      <c r="P1656" t="n">
        <v>0.0392</v>
      </c>
      <c r="Q1656" t="n">
        <v>70</v>
      </c>
      <c r="R1656" t="n">
        <v>0.03674</v>
      </c>
      <c r="S1656">
        <f>IMAGE("https://mitra.stanford.edu/kundaje/oak/projects/neuro-variants/variant_position/credible/roussos_2024/variant_figures/roussos_2024.childhood.GABA/rs111415173_count_position.png",4,220,900)</f>
        <v/>
      </c>
      <c r="T1656">
        <f>IMAGE("https://mitra.stanford.edu/kundaje/oak/projects/neuro-variants/variant_position/credible/roussos_2024/variant_figures/roussos_2024.childhood.GABA/rs111415173_profile_position.png",4,220,900)</f>
        <v/>
      </c>
    </row>
    <row r="1657">
      <c r="A1657" t="inlineStr">
        <is>
          <t>chr17</t>
        </is>
      </c>
      <c r="B1657" t="n">
        <v>45718268</v>
      </c>
      <c r="C1657" t="inlineStr">
        <is>
          <t>C</t>
        </is>
      </c>
      <c r="D1657" t="inlineStr">
        <is>
          <t>T</t>
        </is>
      </c>
      <c r="E1657" t="inlineStr">
        <is>
          <t>rs113991678</t>
        </is>
      </c>
      <c r="F1657" t="n">
        <v>-0.0284242666</v>
      </c>
      <c r="G1657" t="n">
        <v>0.3196441702837495</v>
      </c>
      <c r="H1657" t="n">
        <v>0.0075883830116109</v>
      </c>
      <c r="I1657" t="n">
        <v>0.8927609815660859</v>
      </c>
      <c r="J1657" t="n">
        <v>0.0016617453037632</v>
      </c>
      <c r="K1657" t="n">
        <v>0.8894579237046979</v>
      </c>
      <c r="L1657" t="b">
        <v>0</v>
      </c>
      <c r="M1657" t="b">
        <v>0</v>
      </c>
      <c r="N1657" t="inlineStr">
        <is>
          <t>ref</t>
        </is>
      </c>
      <c r="O1657" t="n">
        <v>-30</v>
      </c>
      <c r="P1657" t="n">
        <v>0.002808</v>
      </c>
      <c r="Q1657" t="n">
        <v>100</v>
      </c>
      <c r="R1657" t="n">
        <v>0.03766</v>
      </c>
      <c r="S1657">
        <f>IMAGE("https://mitra.stanford.edu/kundaje/oak/projects/neuro-variants/variant_position/credible/roussos_2024/variant_figures/roussos_2024.childhood.GABA/rs113991678_count_position.png",4,220,900)</f>
        <v/>
      </c>
      <c r="T1657">
        <f>IMAGE("https://mitra.stanford.edu/kundaje/oak/projects/neuro-variants/variant_position/credible/roussos_2024/variant_figures/roussos_2024.childhood.GABA/rs113991678_profile_position.png",4,220,900)</f>
        <v/>
      </c>
    </row>
    <row r="1658">
      <c r="A1658" t="inlineStr">
        <is>
          <t>chr17</t>
        </is>
      </c>
      <c r="B1658" t="n">
        <v>45721536</v>
      </c>
      <c r="C1658" t="inlineStr">
        <is>
          <t>C</t>
        </is>
      </c>
      <c r="D1658" t="inlineStr">
        <is>
          <t>T</t>
        </is>
      </c>
      <c r="E1658" t="inlineStr">
        <is>
          <t>rs55838058</t>
        </is>
      </c>
      <c r="F1658" t="n">
        <v>0.1232139013999999</v>
      </c>
      <c r="G1658" t="n">
        <v>0.0226444162288518</v>
      </c>
      <c r="H1658" t="n">
        <v>0.0279332782955384</v>
      </c>
      <c r="I1658" t="n">
        <v>0.0257422428632118</v>
      </c>
      <c r="J1658" t="n">
        <v>0.1475874850788464</v>
      </c>
      <c r="K1658" t="n">
        <v>0.2764483329203627</v>
      </c>
      <c r="L1658" t="b">
        <v>0</v>
      </c>
      <c r="M1658" t="b">
        <v>0</v>
      </c>
      <c r="N1658" t="inlineStr">
        <is>
          <t>alt</t>
        </is>
      </c>
      <c r="O1658" t="n">
        <v>90</v>
      </c>
      <c r="P1658" t="n">
        <v>0.00442</v>
      </c>
      <c r="Q1658" t="n">
        <v>-5</v>
      </c>
      <c r="R1658" t="n">
        <v>0.001221</v>
      </c>
      <c r="S1658">
        <f>IMAGE("https://mitra.stanford.edu/kundaje/oak/projects/neuro-variants/variant_position/credible/roussos_2024/variant_figures/roussos_2024.childhood.GABA/rs55838058_count_position.png",4,220,900)</f>
        <v/>
      </c>
      <c r="T1658">
        <f>IMAGE("https://mitra.stanford.edu/kundaje/oak/projects/neuro-variants/variant_position/credible/roussos_2024/variant_figures/roussos_2024.childhood.GABA/rs55838058_profile_position.png",4,220,900)</f>
        <v/>
      </c>
    </row>
    <row r="1659">
      <c r="A1659" t="inlineStr">
        <is>
          <t>chr17</t>
        </is>
      </c>
      <c r="B1659" t="n">
        <v>45722301</v>
      </c>
      <c r="C1659" t="inlineStr">
        <is>
          <t>C</t>
        </is>
      </c>
      <c r="D1659" t="inlineStr">
        <is>
          <t>A</t>
        </is>
      </c>
      <c r="E1659" t="inlineStr">
        <is>
          <t>rs62054378</t>
        </is>
      </c>
      <c r="F1659" t="n">
        <v>0.0259873784</v>
      </c>
      <c r="G1659" t="n">
        <v>0.3483207932502729</v>
      </c>
      <c r="H1659" t="n">
        <v>0.0295041343464475</v>
      </c>
      <c r="I1659" t="n">
        <v>0.0135766213475033</v>
      </c>
      <c r="J1659" t="n">
        <v>0.5118154593621076</v>
      </c>
      <c r="K1659" t="n">
        <v>0.0491125657330076</v>
      </c>
      <c r="L1659" t="b">
        <v>1</v>
      </c>
      <c r="M1659" t="b">
        <v>0</v>
      </c>
      <c r="N1659" t="inlineStr">
        <is>
          <t>alt</t>
        </is>
      </c>
      <c r="O1659" t="n">
        <v>85</v>
      </c>
      <c r="P1659" t="n">
        <v>0.00928</v>
      </c>
      <c r="Q1659" t="n">
        <v>35</v>
      </c>
      <c r="R1659" t="n">
        <v>0.1655</v>
      </c>
      <c r="S1659">
        <f>IMAGE("https://mitra.stanford.edu/kundaje/oak/projects/neuro-variants/variant_position/credible/roussos_2024/variant_figures/roussos_2024.childhood.GABA/rs62054378_count_position.png",4,220,900)</f>
        <v/>
      </c>
      <c r="T1659">
        <f>IMAGE("https://mitra.stanford.edu/kundaje/oak/projects/neuro-variants/variant_position/credible/roussos_2024/variant_figures/roussos_2024.childhood.GABA/rs62054378_profile_position.png",4,220,900)</f>
        <v/>
      </c>
    </row>
    <row r="1660">
      <c r="A1660" t="inlineStr">
        <is>
          <t>chr17</t>
        </is>
      </c>
      <c r="B1660" t="n">
        <v>45722438</v>
      </c>
      <c r="C1660" t="inlineStr">
        <is>
          <t>C</t>
        </is>
      </c>
      <c r="D1660" t="inlineStr">
        <is>
          <t>A</t>
        </is>
      </c>
      <c r="E1660" t="inlineStr">
        <is>
          <t>rs77819001</t>
        </is>
      </c>
      <c r="F1660" t="n">
        <v>0.0399936156599999</v>
      </c>
      <c r="G1660" t="n">
        <v>0.1926089624693899</v>
      </c>
      <c r="H1660" t="n">
        <v>0.0154079443838639</v>
      </c>
      <c r="I1660" t="n">
        <v>0.2105344931745596</v>
      </c>
      <c r="J1660" t="n">
        <v>0.490636845301669</v>
      </c>
      <c r="K1660" t="n">
        <v>0.0547498993214044</v>
      </c>
      <c r="L1660" t="b">
        <v>0</v>
      </c>
      <c r="M1660" t="b">
        <v>0</v>
      </c>
      <c r="N1660" t="inlineStr">
        <is>
          <t>alt</t>
        </is>
      </c>
      <c r="O1660" t="n">
        <v>40</v>
      </c>
      <c r="P1660" t="n">
        <v>0.003235</v>
      </c>
      <c r="Q1660" t="n">
        <v>40</v>
      </c>
      <c r="R1660" t="n">
        <v>0.04395</v>
      </c>
      <c r="S1660">
        <f>IMAGE("https://mitra.stanford.edu/kundaje/oak/projects/neuro-variants/variant_position/credible/roussos_2024/variant_figures/roussos_2024.childhood.GABA/rs77819001_count_position.png",4,220,900)</f>
        <v/>
      </c>
      <c r="T1660">
        <f>IMAGE("https://mitra.stanford.edu/kundaje/oak/projects/neuro-variants/variant_position/credible/roussos_2024/variant_figures/roussos_2024.childhood.GABA/rs77819001_profile_position.png",4,220,900)</f>
        <v/>
      </c>
    </row>
    <row r="1661">
      <c r="A1661" t="inlineStr">
        <is>
          <t>chr17</t>
        </is>
      </c>
      <c r="B1661" t="n">
        <v>45722444</v>
      </c>
      <c r="C1661" t="inlineStr">
        <is>
          <t>G</t>
        </is>
      </c>
      <c r="D1661" t="inlineStr">
        <is>
          <t>C</t>
        </is>
      </c>
      <c r="E1661" t="inlineStr">
        <is>
          <t>rs76667867</t>
        </is>
      </c>
      <c r="F1661" t="n">
        <v>-0.153005856</v>
      </c>
      <c r="G1661" t="n">
        <v>0.0103659500214929</v>
      </c>
      <c r="H1661" t="n">
        <v>0.0395510893107681</v>
      </c>
      <c r="I1661" t="n">
        <v>0.0054492998676835</v>
      </c>
      <c r="J1661" t="n">
        <v>0.4752717220581768</v>
      </c>
      <c r="K1661" t="n">
        <v>0.0591893949479968</v>
      </c>
      <c r="L1661" t="b">
        <v>1</v>
      </c>
      <c r="M1661" t="b">
        <v>1</v>
      </c>
      <c r="N1661" t="inlineStr">
        <is>
          <t>ref</t>
        </is>
      </c>
      <c r="O1661" t="n">
        <v>35</v>
      </c>
      <c r="P1661" t="n">
        <v>0.004425</v>
      </c>
      <c r="Q1661" t="n">
        <v>35</v>
      </c>
      <c r="R1661" t="n">
        <v>0.03662</v>
      </c>
      <c r="S1661">
        <f>IMAGE("https://mitra.stanford.edu/kundaje/oak/projects/neuro-variants/variant_position/credible/roussos_2024/variant_figures/roussos_2024.childhood.GABA/rs76667867_count_position.png",4,220,900)</f>
        <v/>
      </c>
      <c r="T1661">
        <f>IMAGE("https://mitra.stanford.edu/kundaje/oak/projects/neuro-variants/variant_position/credible/roussos_2024/variant_figures/roussos_2024.childhood.GABA/rs76667867_profile_position.png",4,220,900)</f>
        <v/>
      </c>
    </row>
    <row r="1662">
      <c r="A1662" t="inlineStr">
        <is>
          <t>chr17</t>
        </is>
      </c>
      <c r="B1662" t="n">
        <v>45723819</v>
      </c>
      <c r="C1662" t="inlineStr">
        <is>
          <t>A</t>
        </is>
      </c>
      <c r="D1662" t="inlineStr">
        <is>
          <t>G</t>
        </is>
      </c>
      <c r="E1662" t="inlineStr">
        <is>
          <t>rs62054381</t>
        </is>
      </c>
      <c r="F1662" t="n">
        <v>-0.0508633307999999</v>
      </c>
      <c r="G1662" t="n">
        <v>0.1364596974659631</v>
      </c>
      <c r="H1662" t="n">
        <v>0.016940492938941</v>
      </c>
      <c r="I1662" t="n">
        <v>0.1469803562730869</v>
      </c>
      <c r="J1662" t="n">
        <v>0.0502146551904671</v>
      </c>
      <c r="K1662" t="n">
        <v>0.5178358772266271</v>
      </c>
      <c r="L1662" t="b">
        <v>0</v>
      </c>
      <c r="M1662" t="b">
        <v>0</v>
      </c>
      <c r="N1662" t="inlineStr">
        <is>
          <t>ref</t>
        </is>
      </c>
      <c r="O1662" t="n">
        <v>20</v>
      </c>
      <c r="P1662" t="n">
        <v>0.002724</v>
      </c>
      <c r="Q1662" t="n">
        <v>90</v>
      </c>
      <c r="R1662" t="n">
        <v>0.03088</v>
      </c>
      <c r="S1662">
        <f>IMAGE("https://mitra.stanford.edu/kundaje/oak/projects/neuro-variants/variant_position/credible/roussos_2024/variant_figures/roussos_2024.childhood.GABA/rs62054381_count_position.png",4,220,900)</f>
        <v/>
      </c>
      <c r="T1662">
        <f>IMAGE("https://mitra.stanford.edu/kundaje/oak/projects/neuro-variants/variant_position/credible/roussos_2024/variant_figures/roussos_2024.childhood.GABA/rs62054381_profile_position.png",4,220,900)</f>
        <v/>
      </c>
    </row>
    <row r="1663">
      <c r="A1663" t="inlineStr">
        <is>
          <t>chr17</t>
        </is>
      </c>
      <c r="B1663" t="n">
        <v>45725541</v>
      </c>
      <c r="C1663" t="inlineStr">
        <is>
          <t>T</t>
        </is>
      </c>
      <c r="D1663" t="inlineStr">
        <is>
          <t>C</t>
        </is>
      </c>
      <c r="E1663" t="inlineStr">
        <is>
          <t>rs62054383</t>
        </is>
      </c>
      <c r="F1663" t="n">
        <v>0.134624086</v>
      </c>
      <c r="G1663" t="n">
        <v>0.0133816040827368</v>
      </c>
      <c r="H1663" t="n">
        <v>0.0182017636349346</v>
      </c>
      <c r="I1663" t="n">
        <v>0.112408895941379</v>
      </c>
      <c r="J1663" t="n">
        <v>0.1105097275449728</v>
      </c>
      <c r="K1663" t="n">
        <v>0.3393315210210907</v>
      </c>
      <c r="L1663" t="b">
        <v>1</v>
      </c>
      <c r="M1663" t="b">
        <v>0</v>
      </c>
      <c r="N1663" t="inlineStr">
        <is>
          <t>alt</t>
        </is>
      </c>
      <c r="O1663" t="n">
        <v>-35</v>
      </c>
      <c r="P1663" t="n">
        <v>0.004486</v>
      </c>
      <c r="Q1663" t="n">
        <v>85</v>
      </c>
      <c r="R1663" t="n">
        <v>0.136</v>
      </c>
      <c r="S1663">
        <f>IMAGE("https://mitra.stanford.edu/kundaje/oak/projects/neuro-variants/variant_position/credible/roussos_2024/variant_figures/roussos_2024.childhood.GABA/rs62054383_count_position.png",4,220,900)</f>
        <v/>
      </c>
      <c r="T1663">
        <f>IMAGE("https://mitra.stanford.edu/kundaje/oak/projects/neuro-variants/variant_position/credible/roussos_2024/variant_figures/roussos_2024.childhood.GABA/rs62054383_profile_position.png",4,220,900)</f>
        <v/>
      </c>
    </row>
    <row r="1664">
      <c r="A1664" t="inlineStr">
        <is>
          <t>chr17</t>
        </is>
      </c>
      <c r="B1664" t="n">
        <v>45727253</v>
      </c>
      <c r="C1664" t="inlineStr">
        <is>
          <t>C</t>
        </is>
      </c>
      <c r="D1664" t="inlineStr">
        <is>
          <t>T</t>
        </is>
      </c>
      <c r="E1664" t="inlineStr">
        <is>
          <t>rs56380663</t>
        </is>
      </c>
      <c r="F1664" t="n">
        <v>-0.0589105392</v>
      </c>
      <c r="G1664" t="n">
        <v>0.1061475822979042</v>
      </c>
      <c r="H1664" t="n">
        <v>0.0145643757016633</v>
      </c>
      <c r="I1664" t="n">
        <v>0.248307925415391</v>
      </c>
      <c r="J1664" t="n">
        <v>0.1292873447676488</v>
      </c>
      <c r="K1664" t="n">
        <v>0.3144117913675185</v>
      </c>
      <c r="L1664" t="b">
        <v>0</v>
      </c>
      <c r="M1664" t="b">
        <v>0</v>
      </c>
      <c r="N1664" t="inlineStr">
        <is>
          <t>ref</t>
        </is>
      </c>
      <c r="O1664" t="n">
        <v>55</v>
      </c>
      <c r="P1664" t="n">
        <v>0.006157</v>
      </c>
      <c r="Q1664" t="n">
        <v>100</v>
      </c>
      <c r="R1664" t="n">
        <v>0.0803</v>
      </c>
      <c r="S1664">
        <f>IMAGE("https://mitra.stanford.edu/kundaje/oak/projects/neuro-variants/variant_position/credible/roussos_2024/variant_figures/roussos_2024.childhood.GABA/rs56380663_count_position.png",4,220,900)</f>
        <v/>
      </c>
      <c r="T1664">
        <f>IMAGE("https://mitra.stanford.edu/kundaje/oak/projects/neuro-variants/variant_position/credible/roussos_2024/variant_figures/roussos_2024.childhood.GABA/rs56380663_profile_position.png",4,220,900)</f>
        <v/>
      </c>
    </row>
    <row r="1665">
      <c r="A1665" t="inlineStr">
        <is>
          <t>chr17</t>
        </is>
      </c>
      <c r="B1665" t="n">
        <v>45728224</v>
      </c>
      <c r="C1665" t="inlineStr">
        <is>
          <t>C</t>
        </is>
      </c>
      <c r="D1665" t="inlineStr">
        <is>
          <t>T</t>
        </is>
      </c>
      <c r="E1665" t="inlineStr">
        <is>
          <t>rs62054388</t>
        </is>
      </c>
      <c r="F1665" t="n">
        <v>-0.0547084574</v>
      </c>
      <c r="G1665" t="n">
        <v>0.118612167293649</v>
      </c>
      <c r="H1665" t="n">
        <v>0.0170252960001792</v>
      </c>
      <c r="I1665" t="n">
        <v>0.1432786184740042</v>
      </c>
      <c r="J1665" t="n">
        <v>0.1903091034742727</v>
      </c>
      <c r="K1665" t="n">
        <v>0.2306279686023265</v>
      </c>
      <c r="L1665" t="b">
        <v>0</v>
      </c>
      <c r="M1665" t="b">
        <v>0</v>
      </c>
      <c r="N1665" t="inlineStr">
        <is>
          <t>ref</t>
        </is>
      </c>
      <c r="O1665" t="n">
        <v>-85</v>
      </c>
      <c r="P1665" t="n">
        <v>0.00979</v>
      </c>
      <c r="Q1665" t="n">
        <v>-100</v>
      </c>
      <c r="R1665" t="n">
        <v>0.09045</v>
      </c>
      <c r="S1665">
        <f>IMAGE("https://mitra.stanford.edu/kundaje/oak/projects/neuro-variants/variant_position/credible/roussos_2024/variant_figures/roussos_2024.childhood.GABA/rs62054388_count_position.png",4,220,900)</f>
        <v/>
      </c>
      <c r="T1665">
        <f>IMAGE("https://mitra.stanford.edu/kundaje/oak/projects/neuro-variants/variant_position/credible/roussos_2024/variant_figures/roussos_2024.childhood.GABA/rs62054388_profile_position.png",4,220,900)</f>
        <v/>
      </c>
    </row>
    <row r="1666">
      <c r="A1666" t="inlineStr">
        <is>
          <t>chr17</t>
        </is>
      </c>
      <c r="B1666" t="n">
        <v>45728649</v>
      </c>
      <c r="C1666" t="inlineStr">
        <is>
          <t>G</t>
        </is>
      </c>
      <c r="D1666" t="inlineStr">
        <is>
          <t>A</t>
        </is>
      </c>
      <c r="E1666" t="inlineStr">
        <is>
          <t>rs4401083</t>
        </is>
      </c>
      <c r="F1666" t="n">
        <v>-0.0472886568</v>
      </c>
      <c r="G1666" t="n">
        <v>0.166553648616831</v>
      </c>
      <c r="H1666" t="n">
        <v>0.0171362409706857</v>
      </c>
      <c r="I1666" t="n">
        <v>0.1392711408939053</v>
      </c>
      <c r="J1666" t="n">
        <v>0.1820925216225838</v>
      </c>
      <c r="K1666" t="n">
        <v>0.2432273670326726</v>
      </c>
      <c r="L1666" t="b">
        <v>0</v>
      </c>
      <c r="M1666" t="b">
        <v>0</v>
      </c>
      <c r="N1666" t="inlineStr">
        <is>
          <t>ref</t>
        </is>
      </c>
      <c r="O1666" t="n">
        <v>80</v>
      </c>
      <c r="P1666" t="n">
        <v>0.001578</v>
      </c>
      <c r="Q1666" t="n">
        <v>35</v>
      </c>
      <c r="R1666" t="n">
        <v>0.02454</v>
      </c>
      <c r="S1666">
        <f>IMAGE("https://mitra.stanford.edu/kundaje/oak/projects/neuro-variants/variant_position/credible/roussos_2024/variant_figures/roussos_2024.childhood.GABA/rs4401083_count_position.png",4,220,900)</f>
        <v/>
      </c>
      <c r="T1666">
        <f>IMAGE("https://mitra.stanford.edu/kundaje/oak/projects/neuro-variants/variant_position/credible/roussos_2024/variant_figures/roussos_2024.childhood.GABA/rs4401083_profile_position.png",4,220,900)</f>
        <v/>
      </c>
    </row>
    <row r="1667">
      <c r="A1667" t="inlineStr">
        <is>
          <t>chr17</t>
        </is>
      </c>
      <c r="B1667" t="n">
        <v>45728898</v>
      </c>
      <c r="C1667" t="inlineStr">
        <is>
          <t>C</t>
        </is>
      </c>
      <c r="D1667" t="inlineStr">
        <is>
          <t>T</t>
        </is>
      </c>
      <c r="E1667" t="inlineStr">
        <is>
          <t>rs1880752</t>
        </is>
      </c>
      <c r="F1667" t="n">
        <v>-0.0475948402</v>
      </c>
      <c r="G1667" t="n">
        <v>0.1563298387093369</v>
      </c>
      <c r="H1667" t="n">
        <v>0.0130191317305226</v>
      </c>
      <c r="I1667" t="n">
        <v>0.3540752628207642</v>
      </c>
      <c r="J1667" t="n">
        <v>0.2091694414776654</v>
      </c>
      <c r="K1667" t="n">
        <v>0.214997293834311</v>
      </c>
      <c r="L1667" t="b">
        <v>0</v>
      </c>
      <c r="M1667" t="b">
        <v>0</v>
      </c>
      <c r="N1667" t="inlineStr">
        <is>
          <t>ref</t>
        </is>
      </c>
      <c r="O1667" t="n">
        <v>-50</v>
      </c>
      <c r="P1667" t="n">
        <v>0.00145</v>
      </c>
      <c r="Q1667" t="n">
        <v>20</v>
      </c>
      <c r="R1667" t="n">
        <v>0.02832</v>
      </c>
      <c r="S1667">
        <f>IMAGE("https://mitra.stanford.edu/kundaje/oak/projects/neuro-variants/variant_position/credible/roussos_2024/variant_figures/roussos_2024.childhood.GABA/rs1880752_count_position.png",4,220,900)</f>
        <v/>
      </c>
      <c r="T1667">
        <f>IMAGE("https://mitra.stanford.edu/kundaje/oak/projects/neuro-variants/variant_position/credible/roussos_2024/variant_figures/roussos_2024.childhood.GABA/rs1880752_profile_position.png",4,220,900)</f>
        <v/>
      </c>
    </row>
    <row r="1668">
      <c r="A1668" t="inlineStr">
        <is>
          <t>chr17</t>
        </is>
      </c>
      <c r="B1668" t="n">
        <v>45729697</v>
      </c>
      <c r="C1668" t="inlineStr">
        <is>
          <t>C</t>
        </is>
      </c>
      <c r="D1668" t="inlineStr">
        <is>
          <t>T</t>
        </is>
      </c>
      <c r="E1668" t="inlineStr">
        <is>
          <t>rs2864087</t>
        </is>
      </c>
      <c r="F1668" t="n">
        <v>-0.245787418</v>
      </c>
      <c r="G1668" t="n">
        <v>0.0025552600745303</v>
      </c>
      <c r="H1668" t="n">
        <v>0.047546743023842</v>
      </c>
      <c r="I1668" t="n">
        <v>0.0024777451599904</v>
      </c>
      <c r="J1668" t="n">
        <v>0.3742036815982911</v>
      </c>
      <c r="K1668" t="n">
        <v>0.0974102184970181</v>
      </c>
      <c r="L1668" t="b">
        <v>1</v>
      </c>
      <c r="M1668" t="b">
        <v>1</v>
      </c>
      <c r="N1668" t="inlineStr">
        <is>
          <t>ref</t>
        </is>
      </c>
      <c r="O1668" t="n">
        <v>65</v>
      </c>
      <c r="P1668" t="n">
        <v>0.001968</v>
      </c>
      <c r="Q1668" t="n">
        <v>-80</v>
      </c>
      <c r="R1668" t="n">
        <v>0.05103</v>
      </c>
      <c r="S1668">
        <f>IMAGE("https://mitra.stanford.edu/kundaje/oak/projects/neuro-variants/variant_position/credible/roussos_2024/variant_figures/roussos_2024.childhood.GABA/rs2864087_count_position.png",4,220,900)</f>
        <v/>
      </c>
      <c r="T1668">
        <f>IMAGE("https://mitra.stanford.edu/kundaje/oak/projects/neuro-variants/variant_position/credible/roussos_2024/variant_figures/roussos_2024.childhood.GABA/rs2864087_profile_position.png",4,220,900)</f>
        <v/>
      </c>
    </row>
    <row r="1669">
      <c r="A1669" t="inlineStr">
        <is>
          <t>chr17</t>
        </is>
      </c>
      <c r="B1669" t="n">
        <v>45729747</v>
      </c>
      <c r="C1669" t="inlineStr">
        <is>
          <t>C</t>
        </is>
      </c>
      <c r="D1669" t="inlineStr">
        <is>
          <t>T</t>
        </is>
      </c>
      <c r="E1669" t="inlineStr">
        <is>
          <t>rs4609899</t>
        </is>
      </c>
      <c r="F1669" t="n">
        <v>-0.616176574</v>
      </c>
      <c r="G1669" t="n">
        <v>0.0001269925565058</v>
      </c>
      <c r="H1669" t="n">
        <v>0.0813180258213784</v>
      </c>
      <c r="I1669" t="n">
        <v>0.0005109848113989</v>
      </c>
      <c r="J1669" t="n">
        <v>0.3732916588134279</v>
      </c>
      <c r="K1669" t="n">
        <v>0.09772211314670159</v>
      </c>
      <c r="L1669" t="b">
        <v>1</v>
      </c>
      <c r="M1669" t="b">
        <v>1</v>
      </c>
      <c r="N1669" t="inlineStr">
        <is>
          <t>ref</t>
        </is>
      </c>
      <c r="O1669" t="n">
        <v>-20</v>
      </c>
      <c r="P1669" t="n">
        <v>0.001114</v>
      </c>
      <c r="Q1669" t="n">
        <v>40</v>
      </c>
      <c r="R1669" t="n">
        <v>0.04053</v>
      </c>
      <c r="S1669">
        <f>IMAGE("https://mitra.stanford.edu/kundaje/oak/projects/neuro-variants/variant_position/credible/roussos_2024/variant_figures/roussos_2024.childhood.GABA/rs4609899_count_position.png",4,220,900)</f>
        <v/>
      </c>
      <c r="T1669">
        <f>IMAGE("https://mitra.stanford.edu/kundaje/oak/projects/neuro-variants/variant_position/credible/roussos_2024/variant_figures/roussos_2024.childhood.GABA/rs4609899_profile_position.png",4,220,900)</f>
        <v/>
      </c>
    </row>
    <row r="1670">
      <c r="A1670" t="inlineStr">
        <is>
          <t>chr17</t>
        </is>
      </c>
      <c r="B1670" t="n">
        <v>45731898</v>
      </c>
      <c r="C1670" t="inlineStr">
        <is>
          <t>T</t>
        </is>
      </c>
      <c r="D1670" t="inlineStr">
        <is>
          <t>G</t>
        </is>
      </c>
      <c r="E1670" t="inlineStr">
        <is>
          <t>rs62054393</t>
        </is>
      </c>
      <c r="F1670" t="n">
        <v>-0.0249467437999999</v>
      </c>
      <c r="G1670" t="n">
        <v>0.3709230602773427</v>
      </c>
      <c r="H1670" t="n">
        <v>0.0120154843192233</v>
      </c>
      <c r="I1670" t="n">
        <v>0.4277379540755021</v>
      </c>
      <c r="J1670" t="n">
        <v>0.0632416075056019</v>
      </c>
      <c r="K1670" t="n">
        <v>0.4583958248161966</v>
      </c>
      <c r="L1670" t="b">
        <v>0</v>
      </c>
      <c r="M1670" t="b">
        <v>0</v>
      </c>
      <c r="N1670" t="inlineStr">
        <is>
          <t>ref</t>
        </is>
      </c>
      <c r="O1670" t="n">
        <v>60</v>
      </c>
      <c r="P1670" t="n">
        <v>0.00783</v>
      </c>
      <c r="Q1670" t="n">
        <v>30</v>
      </c>
      <c r="R1670" t="n">
        <v>0.0083</v>
      </c>
      <c r="S1670">
        <f>IMAGE("https://mitra.stanford.edu/kundaje/oak/projects/neuro-variants/variant_position/credible/roussos_2024/variant_figures/roussos_2024.childhood.GABA/rs62054393_count_position.png",4,220,900)</f>
        <v/>
      </c>
      <c r="T1670">
        <f>IMAGE("https://mitra.stanford.edu/kundaje/oak/projects/neuro-variants/variant_position/credible/roussos_2024/variant_figures/roussos_2024.childhood.GABA/rs62054393_profile_position.png",4,220,900)</f>
        <v/>
      </c>
    </row>
    <row r="1671">
      <c r="A1671" t="inlineStr">
        <is>
          <t>chr17</t>
        </is>
      </c>
      <c r="B1671" t="n">
        <v>45733416</v>
      </c>
      <c r="C1671" t="inlineStr">
        <is>
          <t>G</t>
        </is>
      </c>
      <c r="D1671" t="inlineStr">
        <is>
          <t>C</t>
        </is>
      </c>
      <c r="E1671" t="inlineStr">
        <is>
          <t>rs113790915</t>
        </is>
      </c>
      <c r="F1671" t="n">
        <v>0.00747558296</v>
      </c>
      <c r="G1671" t="n">
        <v>0.6352544207276518</v>
      </c>
      <c r="H1671" t="n">
        <v>0.0128051458622168</v>
      </c>
      <c r="I1671" t="n">
        <v>0.3690542815407536</v>
      </c>
      <c r="J1671" t="n">
        <v>0.1614364097086972</v>
      </c>
      <c r="K1671" t="n">
        <v>0.2653433846359456</v>
      </c>
      <c r="L1671" t="b">
        <v>0</v>
      </c>
      <c r="M1671" t="b">
        <v>0</v>
      </c>
      <c r="N1671" t="inlineStr">
        <is>
          <t>alt</t>
        </is>
      </c>
      <c r="O1671" t="n">
        <v>75</v>
      </c>
      <c r="P1671" t="n">
        <v>0.0326</v>
      </c>
      <c r="Q1671" t="n">
        <v>-60</v>
      </c>
      <c r="R1671" t="n">
        <v>0.03555</v>
      </c>
      <c r="S1671">
        <f>IMAGE("https://mitra.stanford.edu/kundaje/oak/projects/neuro-variants/variant_position/credible/roussos_2024/variant_figures/roussos_2024.childhood.GABA/rs113790915_count_position.png",4,220,900)</f>
        <v/>
      </c>
      <c r="T1671">
        <f>IMAGE("https://mitra.stanford.edu/kundaje/oak/projects/neuro-variants/variant_position/credible/roussos_2024/variant_figures/roussos_2024.childhood.GABA/rs113790915_profile_position.png",4,220,900)</f>
        <v/>
      </c>
    </row>
    <row r="1672">
      <c r="A1672" t="inlineStr">
        <is>
          <t>chr17</t>
        </is>
      </c>
      <c r="B1672" t="n">
        <v>45733507</v>
      </c>
      <c r="C1672" t="inlineStr">
        <is>
          <t>A</t>
        </is>
      </c>
      <c r="D1672" t="inlineStr">
        <is>
          <t>T</t>
        </is>
      </c>
      <c r="E1672" t="inlineStr">
        <is>
          <t>rs75022332</t>
        </is>
      </c>
      <c r="F1672" t="n">
        <v>0.0459802124</v>
      </c>
      <c r="G1672" t="n">
        <v>0.1695631170296133</v>
      </c>
      <c r="H1672" t="n">
        <v>0.0178513891077783</v>
      </c>
      <c r="I1672" t="n">
        <v>0.1226791361766193</v>
      </c>
      <c r="J1672" t="n">
        <v>0.160674122007916</v>
      </c>
      <c r="K1672" t="n">
        <v>0.2642572094391872</v>
      </c>
      <c r="L1672" t="b">
        <v>0</v>
      </c>
      <c r="M1672" t="b">
        <v>0</v>
      </c>
      <c r="N1672" t="inlineStr">
        <is>
          <t>alt</t>
        </is>
      </c>
      <c r="O1672" t="n">
        <v>30</v>
      </c>
      <c r="P1672" t="n">
        <v>0.002014</v>
      </c>
      <c r="Q1672" t="n">
        <v>-100</v>
      </c>
      <c r="R1672" t="n">
        <v>0.03278</v>
      </c>
      <c r="S1672">
        <f>IMAGE("https://mitra.stanford.edu/kundaje/oak/projects/neuro-variants/variant_position/credible/roussos_2024/variant_figures/roussos_2024.childhood.GABA/rs75022332_count_position.png",4,220,900)</f>
        <v/>
      </c>
      <c r="T1672">
        <f>IMAGE("https://mitra.stanford.edu/kundaje/oak/projects/neuro-variants/variant_position/credible/roussos_2024/variant_figures/roussos_2024.childhood.GABA/rs75022332_profile_position.png",4,220,900)</f>
        <v/>
      </c>
    </row>
    <row r="1673">
      <c r="A1673" t="inlineStr">
        <is>
          <t>chr17</t>
        </is>
      </c>
      <c r="B1673" t="n">
        <v>45733530</v>
      </c>
      <c r="C1673" t="inlineStr">
        <is>
          <t>C</t>
        </is>
      </c>
      <c r="D1673" t="inlineStr">
        <is>
          <t>T</t>
        </is>
      </c>
      <c r="E1673" t="inlineStr">
        <is>
          <t>rs77804065</t>
        </is>
      </c>
      <c r="F1673" t="n">
        <v>-0.0582098066</v>
      </c>
      <c r="G1673" t="n">
        <v>0.1044204740323528</v>
      </c>
      <c r="H1673" t="n">
        <v>0.0183047026539072</v>
      </c>
      <c r="I1673" t="n">
        <v>0.1072312843705904</v>
      </c>
      <c r="J1673" t="n">
        <v>0.1458000879562731</v>
      </c>
      <c r="K1673" t="n">
        <v>0.2856893862052069</v>
      </c>
      <c r="L1673" t="b">
        <v>0</v>
      </c>
      <c r="M1673" t="b">
        <v>0</v>
      </c>
      <c r="N1673" t="inlineStr">
        <is>
          <t>ref</t>
        </is>
      </c>
      <c r="O1673" t="n">
        <v>10</v>
      </c>
      <c r="P1673" t="n">
        <v>0.000946</v>
      </c>
      <c r="Q1673" t="n">
        <v>-5</v>
      </c>
      <c r="R1673" t="n">
        <v>0.005375</v>
      </c>
      <c r="S1673">
        <f>IMAGE("https://mitra.stanford.edu/kundaje/oak/projects/neuro-variants/variant_position/credible/roussos_2024/variant_figures/roussos_2024.childhood.GABA/rs77804065_count_position.png",4,220,900)</f>
        <v/>
      </c>
      <c r="T1673">
        <f>IMAGE("https://mitra.stanford.edu/kundaje/oak/projects/neuro-variants/variant_position/credible/roussos_2024/variant_figures/roussos_2024.childhood.GABA/rs77804065_profile_position.png",4,220,900)</f>
        <v/>
      </c>
    </row>
    <row r="1674">
      <c r="A1674" t="inlineStr">
        <is>
          <t>chr17</t>
        </is>
      </c>
      <c r="B1674" t="n">
        <v>45735233</v>
      </c>
      <c r="C1674" t="inlineStr">
        <is>
          <t>A</t>
        </is>
      </c>
      <c r="D1674" t="inlineStr">
        <is>
          <t>G</t>
        </is>
      </c>
      <c r="E1674" t="inlineStr">
        <is>
          <t>rs62054398</t>
        </is>
      </c>
      <c r="F1674" t="n">
        <v>0.00432989244</v>
      </c>
      <c r="G1674" t="n">
        <v>0.5881915104933932</v>
      </c>
      <c r="H1674" t="n">
        <v>0.0180341174471196</v>
      </c>
      <c r="I1674" t="n">
        <v>0.1136373007622301</v>
      </c>
      <c r="J1674" t="n">
        <v>0.104302527695755</v>
      </c>
      <c r="K1674" t="n">
        <v>0.366540824135353</v>
      </c>
      <c r="L1674" t="b">
        <v>0</v>
      </c>
      <c r="M1674" t="b">
        <v>0</v>
      </c>
      <c r="N1674" t="inlineStr">
        <is>
          <t>alt</t>
        </is>
      </c>
      <c r="O1674" t="n">
        <v>95</v>
      </c>
      <c r="P1674" t="n">
        <v>0.01587</v>
      </c>
      <c r="Q1674" t="n">
        <v>-25</v>
      </c>
      <c r="R1674" t="n">
        <v>0.02293</v>
      </c>
      <c r="S1674">
        <f>IMAGE("https://mitra.stanford.edu/kundaje/oak/projects/neuro-variants/variant_position/credible/roussos_2024/variant_figures/roussos_2024.childhood.GABA/rs62054398_count_position.png",4,220,900)</f>
        <v/>
      </c>
      <c r="T1674">
        <f>IMAGE("https://mitra.stanford.edu/kundaje/oak/projects/neuro-variants/variant_position/credible/roussos_2024/variant_figures/roussos_2024.childhood.GABA/rs62054398_profile_position.png",4,220,900)</f>
        <v/>
      </c>
    </row>
    <row r="1675">
      <c r="A1675" t="inlineStr">
        <is>
          <t>chr17</t>
        </is>
      </c>
      <c r="B1675" t="n">
        <v>45735258</v>
      </c>
      <c r="C1675" t="inlineStr">
        <is>
          <t>G</t>
        </is>
      </c>
      <c r="D1675" t="inlineStr">
        <is>
          <t>A</t>
        </is>
      </c>
      <c r="E1675" t="inlineStr">
        <is>
          <t>rs62054399</t>
        </is>
      </c>
      <c r="F1675" t="n">
        <v>-0.0233304696</v>
      </c>
      <c r="G1675" t="n">
        <v>0.3240150344319991</v>
      </c>
      <c r="H1675" t="n">
        <v>0.0109966645684959</v>
      </c>
      <c r="I1675" t="n">
        <v>0.5337992427217524</v>
      </c>
      <c r="J1675" t="n">
        <v>0.0967875018324223</v>
      </c>
      <c r="K1675" t="n">
        <v>0.3807832526033429</v>
      </c>
      <c r="L1675" t="b">
        <v>0</v>
      </c>
      <c r="M1675" t="b">
        <v>0</v>
      </c>
      <c r="N1675" t="inlineStr">
        <is>
          <t>ref</t>
        </is>
      </c>
      <c r="O1675" t="n">
        <v>80</v>
      </c>
      <c r="P1675" t="n">
        <v>0.00647</v>
      </c>
      <c r="Q1675" t="n">
        <v>95</v>
      </c>
      <c r="R1675" t="n">
        <v>0.0374</v>
      </c>
      <c r="S1675">
        <f>IMAGE("https://mitra.stanford.edu/kundaje/oak/projects/neuro-variants/variant_position/credible/roussos_2024/variant_figures/roussos_2024.childhood.GABA/rs62054399_count_position.png",4,220,900)</f>
        <v/>
      </c>
      <c r="T1675">
        <f>IMAGE("https://mitra.stanford.edu/kundaje/oak/projects/neuro-variants/variant_position/credible/roussos_2024/variant_figures/roussos_2024.childhood.GABA/rs62054399_profile_position.png",4,220,900)</f>
        <v/>
      </c>
    </row>
    <row r="1676">
      <c r="A1676" t="inlineStr">
        <is>
          <t>chr17</t>
        </is>
      </c>
      <c r="B1676" t="n">
        <v>45737970</v>
      </c>
      <c r="C1676" t="inlineStr">
        <is>
          <t>A</t>
        </is>
      </c>
      <c r="D1676" t="inlineStr">
        <is>
          <t>G</t>
        </is>
      </c>
      <c r="E1676" t="inlineStr">
        <is>
          <t>rs56298110</t>
        </is>
      </c>
      <c r="F1676" t="n">
        <v>0.0370069494</v>
      </c>
      <c r="G1676" t="n">
        <v>0.229330860497379</v>
      </c>
      <c r="H1676" t="n">
        <v>0.008285757965323199</v>
      </c>
      <c r="I1676" t="n">
        <v>0.8263218842904572</v>
      </c>
      <c r="J1676" t="n">
        <v>0.0469686498712068</v>
      </c>
      <c r="K1676" t="n">
        <v>0.500156520321447</v>
      </c>
      <c r="L1676" t="b">
        <v>0</v>
      </c>
      <c r="M1676" t="b">
        <v>0</v>
      </c>
      <c r="N1676" t="inlineStr">
        <is>
          <t>alt</t>
        </is>
      </c>
      <c r="O1676" t="n">
        <v>-95</v>
      </c>
      <c r="P1676" t="n">
        <v>0.002563</v>
      </c>
      <c r="Q1676" t="n">
        <v>100</v>
      </c>
      <c r="R1676" t="n">
        <v>0.1992</v>
      </c>
      <c r="S1676">
        <f>IMAGE("https://mitra.stanford.edu/kundaje/oak/projects/neuro-variants/variant_position/credible/roussos_2024/variant_figures/roussos_2024.childhood.GABA/rs56298110_count_position.png",4,220,900)</f>
        <v/>
      </c>
      <c r="T1676">
        <f>IMAGE("https://mitra.stanford.edu/kundaje/oak/projects/neuro-variants/variant_position/credible/roussos_2024/variant_figures/roussos_2024.childhood.GABA/rs56298110_profile_position.png",4,220,900)</f>
        <v/>
      </c>
    </row>
    <row r="1677">
      <c r="A1677" t="inlineStr">
        <is>
          <t>chr17</t>
        </is>
      </c>
      <c r="B1677" t="n">
        <v>45739239</v>
      </c>
      <c r="C1677" t="inlineStr">
        <is>
          <t>A</t>
        </is>
      </c>
      <c r="D1677" t="inlineStr">
        <is>
          <t>C</t>
        </is>
      </c>
      <c r="E1677" t="inlineStr">
        <is>
          <t>rs62054419</t>
        </is>
      </c>
      <c r="F1677" t="n">
        <v>-0.0301726768999999</v>
      </c>
      <c r="G1677" t="n">
        <v>0.306632468181745</v>
      </c>
      <c r="H1677" t="n">
        <v>0.0217549256108528</v>
      </c>
      <c r="I1677" t="n">
        <v>0.0531759035700317</v>
      </c>
      <c r="J1677" t="n">
        <v>0.0648321501120394</v>
      </c>
      <c r="K1677" t="n">
        <v>0.4412722661614791</v>
      </c>
      <c r="L1677" t="b">
        <v>0</v>
      </c>
      <c r="M1677" t="b">
        <v>0</v>
      </c>
      <c r="N1677" t="inlineStr">
        <is>
          <t>ref</t>
        </is>
      </c>
      <c r="O1677" t="n">
        <v>40</v>
      </c>
      <c r="P1677" t="n">
        <v>0.004616</v>
      </c>
      <c r="Q1677" t="n">
        <v>45</v>
      </c>
      <c r="R1677" t="n">
        <v>0.12317</v>
      </c>
      <c r="S1677">
        <f>IMAGE("https://mitra.stanford.edu/kundaje/oak/projects/neuro-variants/variant_position/credible/roussos_2024/variant_figures/roussos_2024.childhood.GABA/rs62054419_count_position.png",4,220,900)</f>
        <v/>
      </c>
      <c r="T1677">
        <f>IMAGE("https://mitra.stanford.edu/kundaje/oak/projects/neuro-variants/variant_position/credible/roussos_2024/variant_figures/roussos_2024.childhood.GABA/rs62054419_profile_position.png",4,220,900)</f>
        <v/>
      </c>
    </row>
    <row r="1678">
      <c r="A1678" t="inlineStr">
        <is>
          <t>chr17</t>
        </is>
      </c>
      <c r="B1678" t="n">
        <v>45740856</v>
      </c>
      <c r="C1678" t="inlineStr">
        <is>
          <t>C</t>
        </is>
      </c>
      <c r="D1678" t="inlineStr">
        <is>
          <t>A</t>
        </is>
      </c>
      <c r="E1678" t="inlineStr">
        <is>
          <t>rs17563827</t>
        </is>
      </c>
      <c r="F1678" t="n">
        <v>0.0816291636</v>
      </c>
      <c r="G1678" t="n">
        <v>0.0547338658554299</v>
      </c>
      <c r="H1678" t="n">
        <v>0.0263994661436355</v>
      </c>
      <c r="I1678" t="n">
        <v>0.0222864323852689</v>
      </c>
      <c r="J1678" t="n">
        <v>0.7332746958178886</v>
      </c>
      <c r="K1678" t="n">
        <v>0.0114969593137848</v>
      </c>
      <c r="L1678" t="b">
        <v>0</v>
      </c>
      <c r="M1678" t="b">
        <v>0</v>
      </c>
      <c r="N1678" t="inlineStr">
        <is>
          <t>alt</t>
        </is>
      </c>
      <c r="O1678" t="n">
        <v>-100</v>
      </c>
      <c r="P1678" t="n">
        <v>0.08716</v>
      </c>
      <c r="Q1678" t="n">
        <v>-100</v>
      </c>
      <c r="R1678" t="n">
        <v>0.599</v>
      </c>
      <c r="S1678">
        <f>IMAGE("https://mitra.stanford.edu/kundaje/oak/projects/neuro-variants/variant_position/credible/roussos_2024/variant_figures/roussos_2024.childhood.GABA/rs17563827_count_position.png",4,220,900)</f>
        <v/>
      </c>
      <c r="T1678">
        <f>IMAGE("https://mitra.stanford.edu/kundaje/oak/projects/neuro-variants/variant_position/credible/roussos_2024/variant_figures/roussos_2024.childhood.GABA/rs17563827_profile_position.png",4,220,900)</f>
        <v/>
      </c>
    </row>
    <row r="1679">
      <c r="A1679" t="inlineStr">
        <is>
          <t>chr17</t>
        </is>
      </c>
      <c r="B1679" t="n">
        <v>45742018</v>
      </c>
      <c r="C1679" t="inlineStr">
        <is>
          <t>G</t>
        </is>
      </c>
      <c r="D1679" t="inlineStr">
        <is>
          <t>A</t>
        </is>
      </c>
      <c r="E1679" t="inlineStr">
        <is>
          <t>rs62054424</t>
        </is>
      </c>
      <c r="F1679" t="n">
        <v>-0.0878904061999999</v>
      </c>
      <c r="G1679" t="n">
        <v>0.0447344669791957</v>
      </c>
      <c r="H1679" t="n">
        <v>0.0141627991260201</v>
      </c>
      <c r="I1679" t="n">
        <v>0.2727472694676099</v>
      </c>
      <c r="J1679" t="n">
        <v>0.2619777596280706</v>
      </c>
      <c r="K1679" t="n">
        <v>0.1646848777375609</v>
      </c>
      <c r="L1679" t="b">
        <v>0</v>
      </c>
      <c r="M1679" t="b">
        <v>0</v>
      </c>
      <c r="N1679" t="inlineStr">
        <is>
          <t>ref</t>
        </is>
      </c>
      <c r="O1679" t="n">
        <v>-100</v>
      </c>
      <c r="P1679" t="n">
        <v>0.00957</v>
      </c>
      <c r="Q1679" t="n">
        <v>-55</v>
      </c>
      <c r="R1679" t="n">
        <v>0.08309999999999999</v>
      </c>
      <c r="S1679">
        <f>IMAGE("https://mitra.stanford.edu/kundaje/oak/projects/neuro-variants/variant_position/credible/roussos_2024/variant_figures/roussos_2024.childhood.GABA/rs62054424_count_position.png",4,220,900)</f>
        <v/>
      </c>
      <c r="T1679">
        <f>IMAGE("https://mitra.stanford.edu/kundaje/oak/projects/neuro-variants/variant_position/credible/roussos_2024/variant_figures/roussos_2024.childhood.GABA/rs62054424_profile_position.png",4,220,900)</f>
        <v/>
      </c>
    </row>
    <row r="1680">
      <c r="A1680" t="inlineStr">
        <is>
          <t>chr17</t>
        </is>
      </c>
      <c r="B1680" t="n">
        <v>45743375</v>
      </c>
      <c r="C1680" t="inlineStr">
        <is>
          <t>A</t>
        </is>
      </c>
      <c r="D1680" t="inlineStr">
        <is>
          <t>T</t>
        </is>
      </c>
      <c r="E1680" t="inlineStr">
        <is>
          <t>rs62054426</t>
        </is>
      </c>
      <c r="F1680" t="n">
        <v>0.0594687313999999</v>
      </c>
      <c r="G1680" t="n">
        <v>0.0936793561938614</v>
      </c>
      <c r="H1680" t="n">
        <v>0.011529497773031</v>
      </c>
      <c r="I1680" t="n">
        <v>0.4786896231583881</v>
      </c>
      <c r="J1680" t="n">
        <v>0.1495874431949069</v>
      </c>
      <c r="K1680" t="n">
        <v>0.2899217703346532</v>
      </c>
      <c r="L1680" t="b">
        <v>0</v>
      </c>
      <c r="M1680" t="b">
        <v>0</v>
      </c>
      <c r="N1680" t="inlineStr">
        <is>
          <t>alt</t>
        </is>
      </c>
      <c r="O1680" t="n">
        <v>45</v>
      </c>
      <c r="P1680" t="n">
        <v>0.00997</v>
      </c>
      <c r="Q1680" t="n">
        <v>25</v>
      </c>
      <c r="R1680" t="n">
        <v>0.02808</v>
      </c>
      <c r="S1680">
        <f>IMAGE("https://mitra.stanford.edu/kundaje/oak/projects/neuro-variants/variant_position/credible/roussos_2024/variant_figures/roussos_2024.childhood.GABA/rs62054426_count_position.png",4,220,900)</f>
        <v/>
      </c>
      <c r="T1680">
        <f>IMAGE("https://mitra.stanford.edu/kundaje/oak/projects/neuro-variants/variant_position/credible/roussos_2024/variant_figures/roussos_2024.childhood.GABA/rs62054426_profile_position.png",4,220,900)</f>
        <v/>
      </c>
    </row>
    <row r="1681">
      <c r="A1681" t="inlineStr">
        <is>
          <t>chr17</t>
        </is>
      </c>
      <c r="B1681" t="n">
        <v>45744319</v>
      </c>
      <c r="C1681" t="inlineStr">
        <is>
          <t>C</t>
        </is>
      </c>
      <c r="D1681" t="inlineStr">
        <is>
          <t>A</t>
        </is>
      </c>
      <c r="E1681" t="inlineStr">
        <is>
          <t>rs74464991</t>
        </is>
      </c>
      <c r="F1681" t="n">
        <v>0.00763459396</v>
      </c>
      <c r="G1681" t="n">
        <v>0.6166814415168638</v>
      </c>
      <c r="H1681" t="n">
        <v>0.0225820234428604</v>
      </c>
      <c r="I1681" t="n">
        <v>0.0444339609047047</v>
      </c>
      <c r="J1681" t="n">
        <v>0.1378756465833175</v>
      </c>
      <c r="K1681" t="n">
        <v>0.296543371428122</v>
      </c>
      <c r="L1681" t="b">
        <v>0</v>
      </c>
      <c r="M1681" t="b">
        <v>0</v>
      </c>
      <c r="N1681" t="inlineStr">
        <is>
          <t>alt</t>
        </is>
      </c>
      <c r="O1681" t="n">
        <v>65</v>
      </c>
      <c r="P1681" t="n">
        <v>0.02774</v>
      </c>
      <c r="Q1681" t="n">
        <v>-80</v>
      </c>
      <c r="R1681" t="n">
        <v>0.05438</v>
      </c>
      <c r="S1681">
        <f>IMAGE("https://mitra.stanford.edu/kundaje/oak/projects/neuro-variants/variant_position/credible/roussos_2024/variant_figures/roussos_2024.childhood.GABA/rs74464991_count_position.png",4,220,900)</f>
        <v/>
      </c>
      <c r="T1681">
        <f>IMAGE("https://mitra.stanford.edu/kundaje/oak/projects/neuro-variants/variant_position/credible/roussos_2024/variant_figures/roussos_2024.childhood.GABA/rs74464991_profile_position.png",4,220,900)</f>
        <v/>
      </c>
    </row>
    <row r="1682">
      <c r="A1682" t="inlineStr">
        <is>
          <t>chr17</t>
        </is>
      </c>
      <c r="B1682" t="n">
        <v>45745032</v>
      </c>
      <c r="C1682" t="inlineStr">
        <is>
          <t>T</t>
        </is>
      </c>
      <c r="D1682" t="inlineStr">
        <is>
          <t>C</t>
        </is>
      </c>
      <c r="E1682" t="inlineStr">
        <is>
          <t>rs2004260</t>
        </is>
      </c>
      <c r="F1682" t="n">
        <v>0.0491168669999999</v>
      </c>
      <c r="G1682" t="n">
        <v>0.1398931955403276</v>
      </c>
      <c r="H1682" t="n">
        <v>0.0153922689749621</v>
      </c>
      <c r="I1682" t="n">
        <v>0.2135350382414789</v>
      </c>
      <c r="J1682" t="n">
        <v>0.09851521434106079</v>
      </c>
      <c r="K1682" t="n">
        <v>0.3686017981333642</v>
      </c>
      <c r="L1682" t="b">
        <v>0</v>
      </c>
      <c r="M1682" t="b">
        <v>0</v>
      </c>
      <c r="N1682" t="inlineStr">
        <is>
          <t>alt</t>
        </is>
      </c>
      <c r="O1682" t="n">
        <v>-50</v>
      </c>
      <c r="P1682" t="n">
        <v>0.002716</v>
      </c>
      <c r="Q1682" t="n">
        <v>95</v>
      </c>
      <c r="R1682" t="n">
        <v>0.1401</v>
      </c>
      <c r="S1682">
        <f>IMAGE("https://mitra.stanford.edu/kundaje/oak/projects/neuro-variants/variant_position/credible/roussos_2024/variant_figures/roussos_2024.childhood.GABA/rs2004260_count_position.png",4,220,900)</f>
        <v/>
      </c>
      <c r="T1682">
        <f>IMAGE("https://mitra.stanford.edu/kundaje/oak/projects/neuro-variants/variant_position/credible/roussos_2024/variant_figures/roussos_2024.childhood.GABA/rs2004260_profile_position.png",4,220,900)</f>
        <v/>
      </c>
    </row>
    <row r="1683">
      <c r="A1683" t="inlineStr">
        <is>
          <t>chr17</t>
        </is>
      </c>
      <c r="B1683" t="n">
        <v>45748112</v>
      </c>
      <c r="C1683" t="inlineStr">
        <is>
          <t>G</t>
        </is>
      </c>
      <c r="D1683" t="inlineStr">
        <is>
          <t>A</t>
        </is>
      </c>
      <c r="E1683" t="inlineStr">
        <is>
          <t>rs75715199</t>
        </is>
      </c>
      <c r="F1683" t="n">
        <v>-0.00632718088</v>
      </c>
      <c r="G1683" t="n">
        <v>0.5717951655319402</v>
      </c>
      <c r="H1683" t="n">
        <v>0.0164264288978795</v>
      </c>
      <c r="I1683" t="n">
        <v>0.1650074788214996</v>
      </c>
      <c r="J1683" t="n">
        <v>0.3759638541601223</v>
      </c>
      <c r="K1683" t="n">
        <v>0.0963455548597182</v>
      </c>
      <c r="L1683" t="b">
        <v>0</v>
      </c>
      <c r="M1683" t="b">
        <v>0</v>
      </c>
      <c r="N1683" t="inlineStr">
        <is>
          <t>ref</t>
        </is>
      </c>
      <c r="O1683" t="n">
        <v>-30</v>
      </c>
      <c r="P1683" t="n">
        <v>0.00406</v>
      </c>
      <c r="Q1683" t="n">
        <v>-25</v>
      </c>
      <c r="R1683" t="n">
        <v>0.03613</v>
      </c>
      <c r="S1683">
        <f>IMAGE("https://mitra.stanford.edu/kundaje/oak/projects/neuro-variants/variant_position/credible/roussos_2024/variant_figures/roussos_2024.childhood.GABA/rs75715199_count_position.png",4,220,900)</f>
        <v/>
      </c>
      <c r="T1683">
        <f>IMAGE("https://mitra.stanford.edu/kundaje/oak/projects/neuro-variants/variant_position/credible/roussos_2024/variant_figures/roussos_2024.childhood.GABA/rs75715199_profile_position.png",4,220,900)</f>
        <v/>
      </c>
    </row>
    <row r="1684">
      <c r="A1684" t="inlineStr">
        <is>
          <t>chr17</t>
        </is>
      </c>
      <c r="B1684" t="n">
        <v>45748359</v>
      </c>
      <c r="C1684" t="inlineStr">
        <is>
          <t>G</t>
        </is>
      </c>
      <c r="D1684" t="inlineStr">
        <is>
          <t>T</t>
        </is>
      </c>
      <c r="E1684" t="inlineStr">
        <is>
          <t>rs62054439</t>
        </is>
      </c>
      <c r="F1684" t="n">
        <v>-0.01207587</v>
      </c>
      <c r="G1684" t="n">
        <v>0.5736321402490316</v>
      </c>
      <c r="H1684" t="n">
        <v>0.0139373770365327</v>
      </c>
      <c r="I1684" t="n">
        <v>0.282534946362818</v>
      </c>
      <c r="J1684" t="n">
        <v>0.4294747753973739</v>
      </c>
      <c r="K1684" t="n">
        <v>0.0747598033621233</v>
      </c>
      <c r="L1684" t="b">
        <v>0</v>
      </c>
      <c r="M1684" t="b">
        <v>0</v>
      </c>
      <c r="N1684" t="inlineStr">
        <is>
          <t>ref</t>
        </is>
      </c>
      <c r="O1684" t="n">
        <v>-100</v>
      </c>
      <c r="P1684" t="n">
        <v>0.02002</v>
      </c>
      <c r="Q1684" t="n">
        <v>-100</v>
      </c>
      <c r="R1684" t="n">
        <v>0.2307</v>
      </c>
      <c r="S1684">
        <f>IMAGE("https://mitra.stanford.edu/kundaje/oak/projects/neuro-variants/variant_position/credible/roussos_2024/variant_figures/roussos_2024.childhood.GABA/rs62054439_count_position.png",4,220,900)</f>
        <v/>
      </c>
      <c r="T1684">
        <f>IMAGE("https://mitra.stanford.edu/kundaje/oak/projects/neuro-variants/variant_position/credible/roussos_2024/variant_figures/roussos_2024.childhood.GABA/rs62054439_profile_position.png",4,220,900)</f>
        <v/>
      </c>
    </row>
    <row r="1685">
      <c r="A1685" t="inlineStr">
        <is>
          <t>chr17</t>
        </is>
      </c>
      <c r="B1685" t="n">
        <v>45748985</v>
      </c>
      <c r="C1685" t="inlineStr">
        <is>
          <t>A</t>
        </is>
      </c>
      <c r="D1685" t="inlineStr">
        <is>
          <t>G</t>
        </is>
      </c>
      <c r="E1685" t="inlineStr">
        <is>
          <t>rs12150363</t>
        </is>
      </c>
      <c r="F1685" t="n">
        <v>0.0929554428</v>
      </c>
      <c r="G1685" t="n">
        <v>0.0350480780132263</v>
      </c>
      <c r="H1685" t="n">
        <v>0.0174817411354294</v>
      </c>
      <c r="I1685" t="n">
        <v>0.1302072085430444</v>
      </c>
      <c r="J1685" t="n">
        <v>0.4569118971330443</v>
      </c>
      <c r="K1685" t="n">
        <v>0.0647052421892871</v>
      </c>
      <c r="L1685" t="b">
        <v>0</v>
      </c>
      <c r="M1685" t="b">
        <v>0</v>
      </c>
      <c r="N1685" t="inlineStr">
        <is>
          <t>alt</t>
        </is>
      </c>
      <c r="O1685" t="n">
        <v>80</v>
      </c>
      <c r="P1685" t="n">
        <v>0.00225</v>
      </c>
      <c r="Q1685" t="n">
        <v>-35</v>
      </c>
      <c r="R1685" t="n">
        <v>0.001221</v>
      </c>
      <c r="S1685">
        <f>IMAGE("https://mitra.stanford.edu/kundaje/oak/projects/neuro-variants/variant_position/credible/roussos_2024/variant_figures/roussos_2024.childhood.GABA/rs12150363_count_position.png",4,220,900)</f>
        <v/>
      </c>
      <c r="T1685">
        <f>IMAGE("https://mitra.stanford.edu/kundaje/oak/projects/neuro-variants/variant_position/credible/roussos_2024/variant_figures/roussos_2024.childhood.GABA/rs12150363_profile_position.png",4,220,900)</f>
        <v/>
      </c>
    </row>
    <row r="1686">
      <c r="A1686" t="inlineStr">
        <is>
          <t>chr17</t>
        </is>
      </c>
      <c r="B1686" t="n">
        <v>45750025</v>
      </c>
      <c r="C1686" t="inlineStr">
        <is>
          <t>G</t>
        </is>
      </c>
      <c r="D1686" t="inlineStr">
        <is>
          <t>C</t>
        </is>
      </c>
      <c r="E1686" t="inlineStr">
        <is>
          <t>rs62054440</t>
        </is>
      </c>
      <c r="F1686" t="n">
        <v>0.0140667539224</v>
      </c>
      <c r="G1686" t="n">
        <v>0.4624679186787603</v>
      </c>
      <c r="H1686" t="n">
        <v>0.0146204380956388</v>
      </c>
      <c r="I1686" t="n">
        <v>0.243366021028541</v>
      </c>
      <c r="J1686" t="n">
        <v>0.3760758936985612</v>
      </c>
      <c r="K1686" t="n">
        <v>0.0965487461480706</v>
      </c>
      <c r="L1686" t="b">
        <v>0</v>
      </c>
      <c r="M1686" t="b">
        <v>0</v>
      </c>
      <c r="N1686" t="inlineStr">
        <is>
          <t>alt</t>
        </is>
      </c>
      <c r="O1686" t="n">
        <v>-65</v>
      </c>
      <c r="P1686" t="n">
        <v>0.007042</v>
      </c>
      <c r="Q1686" t="n">
        <v>-100</v>
      </c>
      <c r="R1686" t="n">
        <v>0.1421</v>
      </c>
      <c r="S1686">
        <f>IMAGE("https://mitra.stanford.edu/kundaje/oak/projects/neuro-variants/variant_position/credible/roussos_2024/variant_figures/roussos_2024.childhood.GABA/rs62054440_count_position.png",4,220,900)</f>
        <v/>
      </c>
      <c r="T1686">
        <f>IMAGE("https://mitra.stanford.edu/kundaje/oak/projects/neuro-variants/variant_position/credible/roussos_2024/variant_figures/roussos_2024.childhood.GABA/rs62054440_profile_position.png",4,220,900)</f>
        <v/>
      </c>
    </row>
    <row r="1687">
      <c r="A1687" t="inlineStr">
        <is>
          <t>chr17</t>
        </is>
      </c>
      <c r="B1687" t="n">
        <v>45750855</v>
      </c>
      <c r="C1687" t="inlineStr">
        <is>
          <t>T</t>
        </is>
      </c>
      <c r="D1687" t="inlineStr">
        <is>
          <t>A</t>
        </is>
      </c>
      <c r="E1687" t="inlineStr">
        <is>
          <t>rs12150604</t>
        </is>
      </c>
      <c r="F1687" t="n">
        <v>0.01257365682</v>
      </c>
      <c r="G1687" t="n">
        <v>0.5763475009330888</v>
      </c>
      <c r="H1687" t="n">
        <v>0.0084317459693014</v>
      </c>
      <c r="I1687" t="n">
        <v>0.8165297855339643</v>
      </c>
      <c r="J1687" t="n">
        <v>0.3418001717241523</v>
      </c>
      <c r="K1687" t="n">
        <v>0.1133423276633908</v>
      </c>
      <c r="L1687" t="b">
        <v>0</v>
      </c>
      <c r="M1687" t="b">
        <v>0</v>
      </c>
      <c r="N1687" t="inlineStr">
        <is>
          <t>alt</t>
        </is>
      </c>
      <c r="O1687" t="n">
        <v>90</v>
      </c>
      <c r="P1687" t="n">
        <v>0.006</v>
      </c>
      <c r="Q1687" t="n">
        <v>-15</v>
      </c>
      <c r="R1687" t="n">
        <v>0.01369</v>
      </c>
      <c r="S1687">
        <f>IMAGE("https://mitra.stanford.edu/kundaje/oak/projects/neuro-variants/variant_position/credible/roussos_2024/variant_figures/roussos_2024.childhood.GABA/rs12150604_count_position.png",4,220,900)</f>
        <v/>
      </c>
      <c r="T1687">
        <f>IMAGE("https://mitra.stanford.edu/kundaje/oak/projects/neuro-variants/variant_position/credible/roussos_2024/variant_figures/roussos_2024.childhood.GABA/rs12150604_profile_position.png",4,220,900)</f>
        <v/>
      </c>
    </row>
    <row r="1688">
      <c r="A1688" t="inlineStr">
        <is>
          <t>chr17</t>
        </is>
      </c>
      <c r="B1688" t="n">
        <v>45751332</v>
      </c>
      <c r="C1688" t="inlineStr">
        <is>
          <t>C</t>
        </is>
      </c>
      <c r="D1688" t="inlineStr">
        <is>
          <t>T</t>
        </is>
      </c>
      <c r="E1688" t="inlineStr">
        <is>
          <t>rs17426064</t>
        </is>
      </c>
      <c r="F1688" t="n">
        <v>-0.0991888108</v>
      </c>
      <c r="G1688" t="n">
        <v>0.0303277028336233</v>
      </c>
      <c r="H1688" t="n">
        <v>0.0164547139710076</v>
      </c>
      <c r="I1688" t="n">
        <v>0.1618360459151092</v>
      </c>
      <c r="J1688" t="n">
        <v>0.4529203576888442</v>
      </c>
      <c r="K1688" t="n">
        <v>0.0657043427038753</v>
      </c>
      <c r="L1688" t="b">
        <v>0</v>
      </c>
      <c r="M1688" t="b">
        <v>0</v>
      </c>
      <c r="N1688" t="inlineStr">
        <is>
          <t>ref</t>
        </is>
      </c>
      <c r="O1688" t="n">
        <v>90</v>
      </c>
      <c r="P1688" t="n">
        <v>0.003967</v>
      </c>
      <c r="Q1688" t="n">
        <v>5</v>
      </c>
      <c r="R1688" t="n">
        <v>0.001099</v>
      </c>
      <c r="S1688">
        <f>IMAGE("https://mitra.stanford.edu/kundaje/oak/projects/neuro-variants/variant_position/credible/roussos_2024/variant_figures/roussos_2024.childhood.GABA/rs17426064_count_position.png",4,220,900)</f>
        <v/>
      </c>
      <c r="T1688">
        <f>IMAGE("https://mitra.stanford.edu/kundaje/oak/projects/neuro-variants/variant_position/credible/roussos_2024/variant_figures/roussos_2024.childhood.GABA/rs17426064_profile_position.png",4,220,900)</f>
        <v/>
      </c>
    </row>
    <row r="1689">
      <c r="A1689" t="inlineStr">
        <is>
          <t>chr17</t>
        </is>
      </c>
      <c r="B1689" t="n">
        <v>45751987</v>
      </c>
      <c r="C1689" t="inlineStr">
        <is>
          <t>A</t>
        </is>
      </c>
      <c r="D1689" t="inlineStr">
        <is>
          <t>G</t>
        </is>
      </c>
      <c r="E1689" t="inlineStr">
        <is>
          <t>rs62054442</t>
        </is>
      </c>
      <c r="F1689" t="n">
        <v>0.0350183952</v>
      </c>
      <c r="G1689" t="n">
        <v>0.2388307639006152</v>
      </c>
      <c r="H1689" t="n">
        <v>0.0139971635218793</v>
      </c>
      <c r="I1689" t="n">
        <v>0.285333602295272</v>
      </c>
      <c r="J1689" t="n">
        <v>0.4529255931812946</v>
      </c>
      <c r="K1689" t="n">
        <v>0.0662191463889442</v>
      </c>
      <c r="L1689" t="b">
        <v>0</v>
      </c>
      <c r="M1689" t="b">
        <v>0</v>
      </c>
      <c r="N1689" t="inlineStr">
        <is>
          <t>alt</t>
        </is>
      </c>
      <c r="O1689" t="n">
        <v>-100</v>
      </c>
      <c r="P1689" t="n">
        <v>0.0125</v>
      </c>
      <c r="Q1689" t="n">
        <v>100</v>
      </c>
      <c r="R1689" t="n">
        <v>0.04102</v>
      </c>
      <c r="S1689">
        <f>IMAGE("https://mitra.stanford.edu/kundaje/oak/projects/neuro-variants/variant_position/credible/roussos_2024/variant_figures/roussos_2024.childhood.GABA/rs62054442_count_position.png",4,220,900)</f>
        <v/>
      </c>
      <c r="T1689">
        <f>IMAGE("https://mitra.stanford.edu/kundaje/oak/projects/neuro-variants/variant_position/credible/roussos_2024/variant_figures/roussos_2024.childhood.GABA/rs62054442_profile_position.png",4,220,900)</f>
        <v/>
      </c>
    </row>
    <row r="1690">
      <c r="A1690" t="inlineStr">
        <is>
          <t>chr17</t>
        </is>
      </c>
      <c r="B1690" t="n">
        <v>45754971</v>
      </c>
      <c r="C1690" t="inlineStr">
        <is>
          <t>A</t>
        </is>
      </c>
      <c r="D1690" t="inlineStr">
        <is>
          <t>G</t>
        </is>
      </c>
      <c r="E1690" t="inlineStr">
        <is>
          <t>rs35631660</t>
        </is>
      </c>
      <c r="F1690" t="n">
        <v>0.0543960774</v>
      </c>
      <c r="G1690" t="n">
        <v>0.1171278639435198</v>
      </c>
      <c r="H1690" t="n">
        <v>0.0115138852029207</v>
      </c>
      <c r="I1690" t="n">
        <v>0.4875742064577104</v>
      </c>
      <c r="J1690" t="n">
        <v>0.1898274381688341</v>
      </c>
      <c r="K1690" t="n">
        <v>0.2290124166268687</v>
      </c>
      <c r="L1690" t="b">
        <v>0</v>
      </c>
      <c r="M1690" t="b">
        <v>0</v>
      </c>
      <c r="N1690" t="inlineStr">
        <is>
          <t>alt</t>
        </is>
      </c>
      <c r="O1690" t="n">
        <v>-75</v>
      </c>
      <c r="P1690" t="n">
        <v>0.01458</v>
      </c>
      <c r="Q1690" t="n">
        <v>100</v>
      </c>
      <c r="R1690" t="n">
        <v>0.0398</v>
      </c>
      <c r="S1690">
        <f>IMAGE("https://mitra.stanford.edu/kundaje/oak/projects/neuro-variants/variant_position/credible/roussos_2024/variant_figures/roussos_2024.childhood.GABA/rs35631660_count_position.png",4,220,900)</f>
        <v/>
      </c>
      <c r="T1690">
        <f>IMAGE("https://mitra.stanford.edu/kundaje/oak/projects/neuro-variants/variant_position/credible/roussos_2024/variant_figures/roussos_2024.childhood.GABA/rs35631660_profile_position.png",4,220,900)</f>
        <v/>
      </c>
    </row>
    <row r="1691">
      <c r="A1691" t="inlineStr">
        <is>
          <t>chr17</t>
        </is>
      </c>
      <c r="B1691" t="n">
        <v>45755574</v>
      </c>
      <c r="C1691" t="inlineStr">
        <is>
          <t>A</t>
        </is>
      </c>
      <c r="D1691" t="inlineStr">
        <is>
          <t>G</t>
        </is>
      </c>
      <c r="E1691" t="inlineStr">
        <is>
          <t>rs62055876</t>
        </is>
      </c>
      <c r="F1691" t="n">
        <v>0.09553939419999991</v>
      </c>
      <c r="G1691" t="n">
        <v>0.0316894936081845</v>
      </c>
      <c r="H1691" t="n">
        <v>0.0143534662886265</v>
      </c>
      <c r="I1691" t="n">
        <v>0.2643328533512986</v>
      </c>
      <c r="J1691" t="n">
        <v>0.3113547360264706</v>
      </c>
      <c r="K1691" t="n">
        <v>0.1316145682475837</v>
      </c>
      <c r="L1691" t="b">
        <v>0</v>
      </c>
      <c r="M1691" t="b">
        <v>0</v>
      </c>
      <c r="N1691" t="inlineStr">
        <is>
          <t>alt</t>
        </is>
      </c>
      <c r="O1691" t="n">
        <v>-70</v>
      </c>
      <c r="P1691" t="n">
        <v>0.003395</v>
      </c>
      <c r="Q1691" t="n">
        <v>-100</v>
      </c>
      <c r="R1691" t="n">
        <v>0.03162</v>
      </c>
      <c r="S1691">
        <f>IMAGE("https://mitra.stanford.edu/kundaje/oak/projects/neuro-variants/variant_position/credible/roussos_2024/variant_figures/roussos_2024.childhood.GABA/rs62055876_count_position.png",4,220,900)</f>
        <v/>
      </c>
      <c r="T1691">
        <f>IMAGE("https://mitra.stanford.edu/kundaje/oak/projects/neuro-variants/variant_position/credible/roussos_2024/variant_figures/roussos_2024.childhood.GABA/rs62055876_profile_position.png",4,220,900)</f>
        <v/>
      </c>
    </row>
    <row r="1692">
      <c r="A1692" t="inlineStr">
        <is>
          <t>chr17</t>
        </is>
      </c>
      <c r="B1692" t="n">
        <v>45756615</v>
      </c>
      <c r="C1692" t="inlineStr">
        <is>
          <t>A</t>
        </is>
      </c>
      <c r="D1692" t="inlineStr">
        <is>
          <t>G</t>
        </is>
      </c>
      <c r="E1692" t="inlineStr">
        <is>
          <t>rs34579278</t>
        </is>
      </c>
      <c r="F1692" t="n">
        <v>0.10949666</v>
      </c>
      <c r="G1692" t="n">
        <v>0.0239122961785906</v>
      </c>
      <c r="H1692" t="n">
        <v>0.0162625164452373</v>
      </c>
      <c r="I1692" t="n">
        <v>0.1765059188303485</v>
      </c>
      <c r="J1692" t="n">
        <v>0.3973058155850139</v>
      </c>
      <c r="K1692" t="n">
        <v>0.0861592555687119</v>
      </c>
      <c r="L1692" t="b">
        <v>0</v>
      </c>
      <c r="M1692" t="b">
        <v>0</v>
      </c>
      <c r="N1692" t="inlineStr">
        <is>
          <t>alt</t>
        </is>
      </c>
      <c r="O1692" t="n">
        <v>100</v>
      </c>
      <c r="P1692" t="n">
        <v>0.001011</v>
      </c>
      <c r="Q1692" t="n">
        <v>100</v>
      </c>
      <c r="R1692" t="n">
        <v>0.1233</v>
      </c>
      <c r="S1692">
        <f>IMAGE("https://mitra.stanford.edu/kundaje/oak/projects/neuro-variants/variant_position/credible/roussos_2024/variant_figures/roussos_2024.childhood.GABA/rs34579278_count_position.png",4,220,900)</f>
        <v/>
      </c>
      <c r="T1692">
        <f>IMAGE("https://mitra.stanford.edu/kundaje/oak/projects/neuro-variants/variant_position/credible/roussos_2024/variant_figures/roussos_2024.childhood.GABA/rs34579278_profile_position.png",4,220,900)</f>
        <v/>
      </c>
    </row>
    <row r="1693">
      <c r="A1693" t="inlineStr">
        <is>
          <t>chr17</t>
        </is>
      </c>
      <c r="B1693" t="n">
        <v>45756708</v>
      </c>
      <c r="C1693" t="inlineStr">
        <is>
          <t>C</t>
        </is>
      </c>
      <c r="D1693" t="inlineStr">
        <is>
          <t>G</t>
        </is>
      </c>
      <c r="E1693" t="inlineStr">
        <is>
          <t>rs34211253</t>
        </is>
      </c>
      <c r="F1693" t="n">
        <v>0.126221595</v>
      </c>
      <c r="G1693" t="n">
        <v>0.0168101318942657</v>
      </c>
      <c r="H1693" t="n">
        <v>0.0247077540666757</v>
      </c>
      <c r="I1693" t="n">
        <v>0.0307322912279494</v>
      </c>
      <c r="J1693" t="n">
        <v>0.3890661975665431</v>
      </c>
      <c r="K1693" t="n">
        <v>0.0898523966294438</v>
      </c>
      <c r="L1693" t="b">
        <v>1</v>
      </c>
      <c r="M1693" t="b">
        <v>0</v>
      </c>
      <c r="N1693" t="inlineStr">
        <is>
          <t>alt</t>
        </is>
      </c>
      <c r="O1693" t="n">
        <v>95</v>
      </c>
      <c r="P1693" t="n">
        <v>0.00894</v>
      </c>
      <c r="Q1693" t="n">
        <v>65</v>
      </c>
      <c r="R1693" t="n">
        <v>0.1432</v>
      </c>
      <c r="S1693">
        <f>IMAGE("https://mitra.stanford.edu/kundaje/oak/projects/neuro-variants/variant_position/credible/roussos_2024/variant_figures/roussos_2024.childhood.GABA/rs34211253_count_position.png",4,220,900)</f>
        <v/>
      </c>
      <c r="T1693">
        <f>IMAGE("https://mitra.stanford.edu/kundaje/oak/projects/neuro-variants/variant_position/credible/roussos_2024/variant_figures/roussos_2024.childhood.GABA/rs34211253_profile_position.png",4,220,900)</f>
        <v/>
      </c>
    </row>
    <row r="1694">
      <c r="A1694" t="inlineStr">
        <is>
          <t>chr17</t>
        </is>
      </c>
      <c r="B1694" t="n">
        <v>45757985</v>
      </c>
      <c r="C1694" t="inlineStr">
        <is>
          <t>T</t>
        </is>
      </c>
      <c r="D1694" t="inlineStr">
        <is>
          <t>C</t>
        </is>
      </c>
      <c r="E1694" t="inlineStr">
        <is>
          <t>rs11079717</t>
        </is>
      </c>
      <c r="F1694" t="n">
        <v>0.06593818360000001</v>
      </c>
      <c r="G1694" t="n">
        <v>0.08091429176106139</v>
      </c>
      <c r="H1694" t="n">
        <v>0.0116482521587387</v>
      </c>
      <c r="I1694" t="n">
        <v>0.4719436387162543</v>
      </c>
      <c r="J1694" t="n">
        <v>0.3634583568930493</v>
      </c>
      <c r="K1694" t="n">
        <v>0.1017955251203878</v>
      </c>
      <c r="L1694" t="b">
        <v>0</v>
      </c>
      <c r="M1694" t="b">
        <v>0</v>
      </c>
      <c r="N1694" t="inlineStr">
        <is>
          <t>alt</t>
        </is>
      </c>
      <c r="O1694" t="n">
        <v>-50</v>
      </c>
      <c r="P1694" t="n">
        <v>0.002071</v>
      </c>
      <c r="Q1694" t="n">
        <v>95</v>
      </c>
      <c r="R1694" t="n">
        <v>0.0751</v>
      </c>
      <c r="S1694">
        <f>IMAGE("https://mitra.stanford.edu/kundaje/oak/projects/neuro-variants/variant_position/credible/roussos_2024/variant_figures/roussos_2024.childhood.GABA/rs11079717_count_position.png",4,220,900)</f>
        <v/>
      </c>
      <c r="T1694">
        <f>IMAGE("https://mitra.stanford.edu/kundaje/oak/projects/neuro-variants/variant_position/credible/roussos_2024/variant_figures/roussos_2024.childhood.GABA/rs11079717_profile_position.png",4,220,900)</f>
        <v/>
      </c>
    </row>
    <row r="1695">
      <c r="A1695" t="inlineStr">
        <is>
          <t>chr17</t>
        </is>
      </c>
      <c r="B1695" t="n">
        <v>45759725</v>
      </c>
      <c r="C1695" t="inlineStr">
        <is>
          <t>T</t>
        </is>
      </c>
      <c r="D1695" t="inlineStr">
        <is>
          <t>C</t>
        </is>
      </c>
      <c r="E1695" t="inlineStr">
        <is>
          <t>rs56168907</t>
        </is>
      </c>
      <c r="F1695" t="n">
        <v>-0.0452449332</v>
      </c>
      <c r="G1695" t="n">
        <v>0.201425933832171</v>
      </c>
      <c r="H1695" t="n">
        <v>0.0208798018227234</v>
      </c>
      <c r="I1695" t="n">
        <v>0.0643758940903664</v>
      </c>
      <c r="J1695" t="n">
        <v>0.2344704822935645</v>
      </c>
      <c r="K1695" t="n">
        <v>0.1862700037745153</v>
      </c>
      <c r="L1695" t="b">
        <v>0</v>
      </c>
      <c r="M1695" t="b">
        <v>0</v>
      </c>
      <c r="N1695" t="inlineStr">
        <is>
          <t>ref</t>
        </is>
      </c>
      <c r="O1695" t="n">
        <v>-30</v>
      </c>
      <c r="P1695" t="n">
        <v>0.001755</v>
      </c>
      <c r="Q1695" t="n">
        <v>45</v>
      </c>
      <c r="R1695" t="n">
        <v>0.344</v>
      </c>
      <c r="S1695">
        <f>IMAGE("https://mitra.stanford.edu/kundaje/oak/projects/neuro-variants/variant_position/credible/roussos_2024/variant_figures/roussos_2024.childhood.GABA/rs56168907_count_position.png",4,220,900)</f>
        <v/>
      </c>
      <c r="T1695">
        <f>IMAGE("https://mitra.stanford.edu/kundaje/oak/projects/neuro-variants/variant_position/credible/roussos_2024/variant_figures/roussos_2024.childhood.GABA/rs56168907_profile_position.png",4,220,900)</f>
        <v/>
      </c>
    </row>
    <row r="1696">
      <c r="A1696" t="inlineStr">
        <is>
          <t>chr17</t>
        </is>
      </c>
      <c r="B1696" t="n">
        <v>45759871</v>
      </c>
      <c r="C1696" t="inlineStr">
        <is>
          <t>A</t>
        </is>
      </c>
      <c r="D1696" t="inlineStr">
        <is>
          <t>G</t>
        </is>
      </c>
      <c r="E1696" t="inlineStr">
        <is>
          <t>rs55801356</t>
        </is>
      </c>
      <c r="F1696" t="n">
        <v>-0.149690645</v>
      </c>
      <c r="G1696" t="n">
        <v>0.0103925098515326</v>
      </c>
      <c r="H1696" t="n">
        <v>0.0267365543384624</v>
      </c>
      <c r="I1696" t="n">
        <v>0.0216672820017955</v>
      </c>
      <c r="J1696" t="n">
        <v>0.2690708047998994</v>
      </c>
      <c r="K1696" t="n">
        <v>0.159936005151953</v>
      </c>
      <c r="L1696" t="b">
        <v>1</v>
      </c>
      <c r="M1696" t="b">
        <v>0</v>
      </c>
      <c r="N1696" t="inlineStr">
        <is>
          <t>ref</t>
        </is>
      </c>
      <c r="O1696" t="n">
        <v>55</v>
      </c>
      <c r="P1696" t="n">
        <v>0.008385</v>
      </c>
      <c r="Q1696" t="n">
        <v>40</v>
      </c>
      <c r="R1696" t="n">
        <v>0.2289</v>
      </c>
      <c r="S1696">
        <f>IMAGE("https://mitra.stanford.edu/kundaje/oak/projects/neuro-variants/variant_position/credible/roussos_2024/variant_figures/roussos_2024.childhood.GABA/rs55801356_count_position.png",4,220,900)</f>
        <v/>
      </c>
      <c r="T1696">
        <f>IMAGE("https://mitra.stanford.edu/kundaje/oak/projects/neuro-variants/variant_position/credible/roussos_2024/variant_figures/roussos_2024.childhood.GABA/rs55801356_profile_position.png",4,220,900)</f>
        <v/>
      </c>
    </row>
    <row r="1697">
      <c r="A1697" t="inlineStr">
        <is>
          <t>chr17</t>
        </is>
      </c>
      <c r="B1697" t="n">
        <v>45763315</v>
      </c>
      <c r="C1697" t="inlineStr">
        <is>
          <t>C</t>
        </is>
      </c>
      <c r="D1697" t="inlineStr">
        <is>
          <t>T</t>
        </is>
      </c>
      <c r="E1697" t="inlineStr">
        <is>
          <t>rs62055890</t>
        </is>
      </c>
      <c r="F1697" t="n">
        <v>-0.0763924262</v>
      </c>
      <c r="G1697" t="n">
        <v>0.06492754432113421</v>
      </c>
      <c r="H1697" t="n">
        <v>0.0136531829727115</v>
      </c>
      <c r="I1697" t="n">
        <v>0.3024638022899145</v>
      </c>
      <c r="J1697" t="n">
        <v>0.297582249586396</v>
      </c>
      <c r="K1697" t="n">
        <v>0.1386144905504786</v>
      </c>
      <c r="L1697" t="b">
        <v>0</v>
      </c>
      <c r="M1697" t="b">
        <v>0</v>
      </c>
      <c r="N1697" t="inlineStr">
        <is>
          <t>ref</t>
        </is>
      </c>
      <c r="O1697" t="n">
        <v>-100</v>
      </c>
      <c r="P1697" t="n">
        <v>0.007797</v>
      </c>
      <c r="Q1697" t="n">
        <v>-35</v>
      </c>
      <c r="R1697" t="n">
        <v>0.01099</v>
      </c>
      <c r="S1697">
        <f>IMAGE("https://mitra.stanford.edu/kundaje/oak/projects/neuro-variants/variant_position/credible/roussos_2024/variant_figures/roussos_2024.childhood.GABA/rs62055890_count_position.png",4,220,900)</f>
        <v/>
      </c>
      <c r="T1697">
        <f>IMAGE("https://mitra.stanford.edu/kundaje/oak/projects/neuro-variants/variant_position/credible/roussos_2024/variant_figures/roussos_2024.childhood.GABA/rs62055890_profile_position.png",4,220,900)</f>
        <v/>
      </c>
    </row>
    <row r="1698">
      <c r="A1698" t="inlineStr">
        <is>
          <t>chr17</t>
        </is>
      </c>
      <c r="B1698" t="n">
        <v>45764205</v>
      </c>
      <c r="C1698" t="inlineStr">
        <is>
          <t>T</t>
        </is>
      </c>
      <c r="D1698" t="inlineStr">
        <is>
          <t>A</t>
        </is>
      </c>
      <c r="E1698" t="inlineStr">
        <is>
          <t>rs56369036</t>
        </is>
      </c>
      <c r="F1698" t="n">
        <v>-0.0022053981999999</v>
      </c>
      <c r="G1698" t="n">
        <v>0.7025703817844727</v>
      </c>
      <c r="H1698" t="n">
        <v>0.008371280575016101</v>
      </c>
      <c r="I1698" t="n">
        <v>0.8015702687273719</v>
      </c>
      <c r="J1698" t="n">
        <v>0.0447686959435403</v>
      </c>
      <c r="K1698" t="n">
        <v>0.5507695367732042</v>
      </c>
      <c r="L1698" t="b">
        <v>0</v>
      </c>
      <c r="M1698" t="b">
        <v>0</v>
      </c>
      <c r="N1698" t="inlineStr">
        <is>
          <t>ref</t>
        </is>
      </c>
      <c r="O1698" t="n">
        <v>-95</v>
      </c>
      <c r="P1698" t="n">
        <v>0.04745</v>
      </c>
      <c r="Q1698" t="n">
        <v>50</v>
      </c>
      <c r="R1698" t="n">
        <v>0.0379</v>
      </c>
      <c r="S1698">
        <f>IMAGE("https://mitra.stanford.edu/kundaje/oak/projects/neuro-variants/variant_position/credible/roussos_2024/variant_figures/roussos_2024.childhood.GABA/rs56369036_count_position.png",4,220,900)</f>
        <v/>
      </c>
      <c r="T1698">
        <f>IMAGE("https://mitra.stanford.edu/kundaje/oak/projects/neuro-variants/variant_position/credible/roussos_2024/variant_figures/roussos_2024.childhood.GABA/rs56369036_profile_position.png",4,220,900)</f>
        <v/>
      </c>
    </row>
    <row r="1699">
      <c r="A1699" t="inlineStr">
        <is>
          <t>chr17</t>
        </is>
      </c>
      <c r="B1699" t="n">
        <v>45765096</v>
      </c>
      <c r="C1699" t="inlineStr">
        <is>
          <t>T</t>
        </is>
      </c>
      <c r="D1699" t="inlineStr">
        <is>
          <t>C</t>
        </is>
      </c>
      <c r="E1699" t="inlineStr">
        <is>
          <t>rs55707339</t>
        </is>
      </c>
      <c r="F1699" t="n">
        <v>0.077142829</v>
      </c>
      <c r="G1699" t="n">
        <v>0.054985069257729</v>
      </c>
      <c r="H1699" t="n">
        <v>0.0158586429602473</v>
      </c>
      <c r="I1699" t="n">
        <v>0.182613628990752</v>
      </c>
      <c r="J1699" t="n">
        <v>0.1337312307595652</v>
      </c>
      <c r="K1699" t="n">
        <v>0.3040789143441642</v>
      </c>
      <c r="L1699" t="b">
        <v>0</v>
      </c>
      <c r="M1699" t="b">
        <v>0</v>
      </c>
      <c r="N1699" t="inlineStr">
        <is>
          <t>alt</t>
        </is>
      </c>
      <c r="O1699" t="n">
        <v>-90</v>
      </c>
      <c r="P1699" t="n">
        <v>0.015</v>
      </c>
      <c r="Q1699" t="n">
        <v>-100</v>
      </c>
      <c r="R1699" t="n">
        <v>0.0293</v>
      </c>
      <c r="S1699">
        <f>IMAGE("https://mitra.stanford.edu/kundaje/oak/projects/neuro-variants/variant_position/credible/roussos_2024/variant_figures/roussos_2024.childhood.GABA/rs55707339_count_position.png",4,220,900)</f>
        <v/>
      </c>
      <c r="T1699">
        <f>IMAGE("https://mitra.stanford.edu/kundaje/oak/projects/neuro-variants/variant_position/credible/roussos_2024/variant_figures/roussos_2024.childhood.GABA/rs55707339_profile_position.png",4,220,900)</f>
        <v/>
      </c>
    </row>
    <row r="1700">
      <c r="A1700" t="inlineStr">
        <is>
          <t>chr17</t>
        </is>
      </c>
      <c r="B1700" t="n">
        <v>45766577</v>
      </c>
      <c r="C1700" t="inlineStr">
        <is>
          <t>G</t>
        </is>
      </c>
      <c r="D1700" t="inlineStr">
        <is>
          <t>A</t>
        </is>
      </c>
      <c r="E1700" t="inlineStr">
        <is>
          <t>rs62055894</t>
        </is>
      </c>
      <c r="F1700" t="n">
        <v>-0.0291872346</v>
      </c>
      <c r="G1700" t="n">
        <v>0.2440905239767761</v>
      </c>
      <c r="H1700" t="n">
        <v>0.0105982918161075</v>
      </c>
      <c r="I1700" t="n">
        <v>0.565975405340666</v>
      </c>
      <c r="J1700" t="n">
        <v>0.2027779522941927</v>
      </c>
      <c r="K1700" t="n">
        <v>0.2131186773321218</v>
      </c>
      <c r="L1700" t="b">
        <v>0</v>
      </c>
      <c r="M1700" t="b">
        <v>0</v>
      </c>
      <c r="N1700" t="inlineStr">
        <is>
          <t>ref</t>
        </is>
      </c>
      <c r="O1700" t="n">
        <v>-55</v>
      </c>
      <c r="P1700" t="n">
        <v>0.002739</v>
      </c>
      <c r="Q1700" t="n">
        <v>35</v>
      </c>
      <c r="R1700" t="n">
        <v>0.007446</v>
      </c>
      <c r="S1700">
        <f>IMAGE("https://mitra.stanford.edu/kundaje/oak/projects/neuro-variants/variant_position/credible/roussos_2024/variant_figures/roussos_2024.childhood.GABA/rs62055894_count_position.png",4,220,900)</f>
        <v/>
      </c>
      <c r="T1700">
        <f>IMAGE("https://mitra.stanford.edu/kundaje/oak/projects/neuro-variants/variant_position/credible/roussos_2024/variant_figures/roussos_2024.childhood.GABA/rs62055894_profile_position.png",4,220,900)</f>
        <v/>
      </c>
    </row>
    <row r="1701">
      <c r="A1701" t="inlineStr">
        <is>
          <t>chr17</t>
        </is>
      </c>
      <c r="B1701" t="n">
        <v>45766678</v>
      </c>
      <c r="C1701" t="inlineStr">
        <is>
          <t>A</t>
        </is>
      </c>
      <c r="D1701" t="inlineStr">
        <is>
          <t>G</t>
        </is>
      </c>
      <c r="E1701" t="inlineStr">
        <is>
          <t>rs62055895</t>
        </is>
      </c>
      <c r="F1701" t="n">
        <v>0.05209004</v>
      </c>
      <c r="G1701" t="n">
        <v>0.1284537281910863</v>
      </c>
      <c r="H1701" t="n">
        <v>0.0127486459381827</v>
      </c>
      <c r="I1701" t="n">
        <v>0.3619187542140888</v>
      </c>
      <c r="J1701" t="n">
        <v>0.2058951644991727</v>
      </c>
      <c r="K1701" t="n">
        <v>0.210461946488656</v>
      </c>
      <c r="L1701" t="b">
        <v>0</v>
      </c>
      <c r="M1701" t="b">
        <v>0</v>
      </c>
      <c r="N1701" t="inlineStr">
        <is>
          <t>alt</t>
        </is>
      </c>
      <c r="O1701" t="n">
        <v>-100</v>
      </c>
      <c r="P1701" t="n">
        <v>0.00611</v>
      </c>
      <c r="Q1701" t="n">
        <v>-90</v>
      </c>
      <c r="R1701" t="n">
        <v>0.1267</v>
      </c>
      <c r="S1701">
        <f>IMAGE("https://mitra.stanford.edu/kundaje/oak/projects/neuro-variants/variant_position/credible/roussos_2024/variant_figures/roussos_2024.childhood.GABA/rs62055895_count_position.png",4,220,900)</f>
        <v/>
      </c>
      <c r="T1701">
        <f>IMAGE("https://mitra.stanford.edu/kundaje/oak/projects/neuro-variants/variant_position/credible/roussos_2024/variant_figures/roussos_2024.childhood.GABA/rs62055895_profile_position.png",4,220,900)</f>
        <v/>
      </c>
    </row>
    <row r="1702">
      <c r="A1702" t="inlineStr">
        <is>
          <t>chr17</t>
        </is>
      </c>
      <c r="B1702" t="n">
        <v>45767194</v>
      </c>
      <c r="C1702" t="inlineStr">
        <is>
          <t>T</t>
        </is>
      </c>
      <c r="D1702" t="inlineStr">
        <is>
          <t>G</t>
        </is>
      </c>
      <c r="E1702" t="inlineStr">
        <is>
          <t>rs55657917</t>
        </is>
      </c>
      <c r="F1702" t="n">
        <v>0.00535045586</v>
      </c>
      <c r="G1702" t="n">
        <v>0.6522129028978457</v>
      </c>
      <c r="H1702" t="n">
        <v>0.008977992498067</v>
      </c>
      <c r="I1702" t="n">
        <v>0.7478761034732616</v>
      </c>
      <c r="J1702" t="n">
        <v>0.1751230340725848</v>
      </c>
      <c r="K1702" t="n">
        <v>0.2491153144577177</v>
      </c>
      <c r="L1702" t="b">
        <v>0</v>
      </c>
      <c r="M1702" t="b">
        <v>0</v>
      </c>
      <c r="N1702" t="inlineStr">
        <is>
          <t>alt</t>
        </is>
      </c>
      <c r="O1702" t="n">
        <v>-95</v>
      </c>
      <c r="P1702" t="n">
        <v>0.01541</v>
      </c>
      <c r="Q1702" t="n">
        <v>100</v>
      </c>
      <c r="R1702" t="n">
        <v>0.05756</v>
      </c>
      <c r="S1702">
        <f>IMAGE("https://mitra.stanford.edu/kundaje/oak/projects/neuro-variants/variant_position/credible/roussos_2024/variant_figures/roussos_2024.childhood.GABA/rs55657917_count_position.png",4,220,900)</f>
        <v/>
      </c>
      <c r="T1702">
        <f>IMAGE("https://mitra.stanford.edu/kundaje/oak/projects/neuro-variants/variant_position/credible/roussos_2024/variant_figures/roussos_2024.childhood.GABA/rs55657917_profile_position.png",4,220,900)</f>
        <v/>
      </c>
    </row>
    <row r="1703">
      <c r="A1703" t="inlineStr">
        <is>
          <t>chr17</t>
        </is>
      </c>
      <c r="B1703" t="n">
        <v>45767493</v>
      </c>
      <c r="C1703" t="inlineStr">
        <is>
          <t>A</t>
        </is>
      </c>
      <c r="D1703" t="inlineStr">
        <is>
          <t>G</t>
        </is>
      </c>
      <c r="E1703" t="inlineStr">
        <is>
          <t>rs56109643</t>
        </is>
      </c>
      <c r="F1703" t="n">
        <v>0.00799241042</v>
      </c>
      <c r="G1703" t="n">
        <v>0.5595047923196005</v>
      </c>
      <c r="H1703" t="n">
        <v>0.0091205522594841</v>
      </c>
      <c r="I1703" t="n">
        <v>0.7454191916619655</v>
      </c>
      <c r="J1703" t="n">
        <v>0.2106353793637829</v>
      </c>
      <c r="K1703" t="n">
        <v>0.2115615644368261</v>
      </c>
      <c r="L1703" t="b">
        <v>0</v>
      </c>
      <c r="M1703" t="b">
        <v>0</v>
      </c>
      <c r="N1703" t="inlineStr">
        <is>
          <t>alt</t>
        </is>
      </c>
      <c r="O1703" t="n">
        <v>80</v>
      </c>
      <c r="P1703" t="n">
        <v>0.001642</v>
      </c>
      <c r="Q1703" t="n">
        <v>-80</v>
      </c>
      <c r="R1703" t="n">
        <v>0.09143</v>
      </c>
      <c r="S1703">
        <f>IMAGE("https://mitra.stanford.edu/kundaje/oak/projects/neuro-variants/variant_position/credible/roussos_2024/variant_figures/roussos_2024.childhood.GABA/rs56109643_count_position.png",4,220,900)</f>
        <v/>
      </c>
      <c r="T1703">
        <f>IMAGE("https://mitra.stanford.edu/kundaje/oak/projects/neuro-variants/variant_position/credible/roussos_2024/variant_figures/roussos_2024.childhood.GABA/rs56109643_profile_position.png",4,220,900)</f>
        <v/>
      </c>
    </row>
    <row r="1704">
      <c r="A1704" t="inlineStr">
        <is>
          <t>chr17</t>
        </is>
      </c>
      <c r="B1704" t="n">
        <v>45771384</v>
      </c>
      <c r="C1704" t="inlineStr">
        <is>
          <t>T</t>
        </is>
      </c>
      <c r="D1704" t="inlineStr">
        <is>
          <t>C</t>
        </is>
      </c>
      <c r="E1704" t="inlineStr">
        <is>
          <t>rs62055935</t>
        </is>
      </c>
      <c r="F1704" t="n">
        <v>-0.061888747</v>
      </c>
      <c r="G1704" t="n">
        <v>0.0964385219257937</v>
      </c>
      <c r="H1704" t="n">
        <v>0.0250349992184421</v>
      </c>
      <c r="I1704" t="n">
        <v>0.0299976776207822</v>
      </c>
      <c r="J1704" t="n">
        <v>0.6147483822328328</v>
      </c>
      <c r="K1704" t="n">
        <v>0.0267693655409278</v>
      </c>
      <c r="L1704" t="b">
        <v>0</v>
      </c>
      <c r="M1704" t="b">
        <v>0</v>
      </c>
      <c r="N1704" t="inlineStr">
        <is>
          <t>ref</t>
        </is>
      </c>
      <c r="O1704" t="n">
        <v>-60</v>
      </c>
      <c r="P1704" t="n">
        <v>0.0006104</v>
      </c>
      <c r="Q1704" t="n">
        <v>85</v>
      </c>
      <c r="R1704" t="n">
        <v>0.03198</v>
      </c>
      <c r="S1704">
        <f>IMAGE("https://mitra.stanford.edu/kundaje/oak/projects/neuro-variants/variant_position/credible/roussos_2024/variant_figures/roussos_2024.childhood.GABA/rs62055935_count_position.png",4,220,900)</f>
        <v/>
      </c>
      <c r="T1704">
        <f>IMAGE("https://mitra.stanford.edu/kundaje/oak/projects/neuro-variants/variant_position/credible/roussos_2024/variant_figures/roussos_2024.childhood.GABA/rs62055935_profile_position.png",4,220,900)</f>
        <v/>
      </c>
    </row>
    <row r="1705">
      <c r="A1705" t="inlineStr">
        <is>
          <t>chr17</t>
        </is>
      </c>
      <c r="B1705" t="n">
        <v>45775255</v>
      </c>
      <c r="C1705" t="inlineStr">
        <is>
          <t>T</t>
        </is>
      </c>
      <c r="D1705" t="inlineStr">
        <is>
          <t>C</t>
        </is>
      </c>
      <c r="E1705" t="inlineStr">
        <is>
          <t>rs62055948</t>
        </is>
      </c>
      <c r="F1705" t="n">
        <v>0.119436194</v>
      </c>
      <c r="G1705" t="n">
        <v>0.0206034765442954</v>
      </c>
      <c r="H1705" t="n">
        <v>0.0142894591805872</v>
      </c>
      <c r="I1705" t="n">
        <v>0.2587680240875918</v>
      </c>
      <c r="J1705" t="n">
        <v>0.474626709388285</v>
      </c>
      <c r="K1705" t="n">
        <v>0.0586125151902586</v>
      </c>
      <c r="L1705" t="b">
        <v>0</v>
      </c>
      <c r="M1705" t="b">
        <v>0</v>
      </c>
      <c r="N1705" t="inlineStr">
        <is>
          <t>alt</t>
        </is>
      </c>
      <c r="O1705" t="n">
        <v>60</v>
      </c>
      <c r="P1705" t="n">
        <v>0.001335</v>
      </c>
      <c r="Q1705" t="n">
        <v>30</v>
      </c>
      <c r="R1705" t="n">
        <v>0.05078</v>
      </c>
      <c r="S1705">
        <f>IMAGE("https://mitra.stanford.edu/kundaje/oak/projects/neuro-variants/variant_position/credible/roussos_2024/variant_figures/roussos_2024.childhood.GABA/rs62055948_count_position.png",4,220,900)</f>
        <v/>
      </c>
      <c r="T1705">
        <f>IMAGE("https://mitra.stanford.edu/kundaje/oak/projects/neuro-variants/variant_position/credible/roussos_2024/variant_figures/roussos_2024.childhood.GABA/rs62055948_profile_position.png",4,220,900)</f>
        <v/>
      </c>
    </row>
    <row r="1706">
      <c r="A1706" t="inlineStr">
        <is>
          <t>chr17</t>
        </is>
      </c>
      <c r="B1706" t="n">
        <v>45775743</v>
      </c>
      <c r="C1706" t="inlineStr">
        <is>
          <t>G</t>
        </is>
      </c>
      <c r="D1706" t="inlineStr">
        <is>
          <t>A</t>
        </is>
      </c>
      <c r="E1706" t="inlineStr">
        <is>
          <t>rs55787105</t>
        </is>
      </c>
      <c r="F1706" t="n">
        <v>-0.029286474</v>
      </c>
      <c r="G1706" t="n">
        <v>0.3141937903902582</v>
      </c>
      <c r="H1706" t="n">
        <v>0.0145002077738737</v>
      </c>
      <c r="I1706" t="n">
        <v>0.2523568916889948</v>
      </c>
      <c r="J1706" t="n">
        <v>0.4108353751753889</v>
      </c>
      <c r="K1706" t="n">
        <v>0.0819680313483331</v>
      </c>
      <c r="L1706" t="b">
        <v>0</v>
      </c>
      <c r="M1706" t="b">
        <v>0</v>
      </c>
      <c r="N1706" t="inlineStr">
        <is>
          <t>ref</t>
        </is>
      </c>
      <c r="O1706" t="n">
        <v>65</v>
      </c>
      <c r="P1706" t="n">
        <v>0.003036</v>
      </c>
      <c r="Q1706" t="n">
        <v>100</v>
      </c>
      <c r="R1706" t="n">
        <v>0.0537</v>
      </c>
      <c r="S1706">
        <f>IMAGE("https://mitra.stanford.edu/kundaje/oak/projects/neuro-variants/variant_position/credible/roussos_2024/variant_figures/roussos_2024.childhood.GABA/rs55787105_count_position.png",4,220,900)</f>
        <v/>
      </c>
      <c r="T1706">
        <f>IMAGE("https://mitra.stanford.edu/kundaje/oak/projects/neuro-variants/variant_position/credible/roussos_2024/variant_figures/roussos_2024.childhood.GABA/rs55787105_profile_position.png",4,220,900)</f>
        <v/>
      </c>
    </row>
    <row r="1707">
      <c r="A1707" t="inlineStr">
        <is>
          <t>chr17</t>
        </is>
      </c>
      <c r="B1707" t="n">
        <v>45775767</v>
      </c>
      <c r="C1707" t="inlineStr">
        <is>
          <t>T</t>
        </is>
      </c>
      <c r="D1707" t="inlineStr">
        <is>
          <t>C</t>
        </is>
      </c>
      <c r="E1707" t="inlineStr">
        <is>
          <t>rs62055950</t>
        </is>
      </c>
      <c r="F1707" t="n">
        <v>-0.00118432961</v>
      </c>
      <c r="G1707" t="n">
        <v>0.8748010356010596</v>
      </c>
      <c r="H1707" t="n">
        <v>0.0151978644808302</v>
      </c>
      <c r="I1707" t="n">
        <v>0.2193059571076062</v>
      </c>
      <c r="J1707" t="n">
        <v>0.3988586626458085</v>
      </c>
      <c r="K1707" t="n">
        <v>0.0868102346039881</v>
      </c>
      <c r="L1707" t="b">
        <v>0</v>
      </c>
      <c r="M1707" t="b">
        <v>0</v>
      </c>
      <c r="N1707" t="inlineStr">
        <is>
          <t>ref</t>
        </is>
      </c>
      <c r="O1707" t="n">
        <v>40</v>
      </c>
      <c r="P1707" t="n">
        <v>0.001686</v>
      </c>
      <c r="Q1707" t="n">
        <v>80</v>
      </c>
      <c r="R1707" t="n">
        <v>0.0698</v>
      </c>
      <c r="S1707">
        <f>IMAGE("https://mitra.stanford.edu/kundaje/oak/projects/neuro-variants/variant_position/credible/roussos_2024/variant_figures/roussos_2024.childhood.GABA/rs62055950_count_position.png",4,220,900)</f>
        <v/>
      </c>
      <c r="T1707">
        <f>IMAGE("https://mitra.stanford.edu/kundaje/oak/projects/neuro-variants/variant_position/credible/roussos_2024/variant_figures/roussos_2024.childhood.GABA/rs62055950_profile_position.png",4,220,900)</f>
        <v/>
      </c>
    </row>
    <row r="1708">
      <c r="A1708" t="inlineStr">
        <is>
          <t>chr17</t>
        </is>
      </c>
      <c r="B1708" t="n">
        <v>45780960</v>
      </c>
      <c r="C1708" t="inlineStr">
        <is>
          <t>C</t>
        </is>
      </c>
      <c r="D1708" t="inlineStr">
        <is>
          <t>T</t>
        </is>
      </c>
      <c r="E1708" t="inlineStr">
        <is>
          <t>rs62057067</t>
        </is>
      </c>
      <c r="F1708" t="n">
        <v>0.0023444250399999</v>
      </c>
      <c r="G1708" t="n">
        <v>0.8314390066517435</v>
      </c>
      <c r="H1708" t="n">
        <v>0.0252906686870403</v>
      </c>
      <c r="I1708" t="n">
        <v>0.0268366066684681</v>
      </c>
      <c r="J1708" t="n">
        <v>0.08023496890117481</v>
      </c>
      <c r="K1708" t="n">
        <v>0.4029112311520662</v>
      </c>
      <c r="L1708" t="b">
        <v>0</v>
      </c>
      <c r="M1708" t="b">
        <v>0</v>
      </c>
      <c r="N1708" t="inlineStr">
        <is>
          <t>alt</t>
        </is>
      </c>
      <c r="O1708" t="n">
        <v>-100</v>
      </c>
      <c r="P1708" t="n">
        <v>0.0271</v>
      </c>
      <c r="Q1708" t="n">
        <v>100</v>
      </c>
      <c r="R1708" t="n">
        <v>0.0791</v>
      </c>
      <c r="S1708">
        <f>IMAGE("https://mitra.stanford.edu/kundaje/oak/projects/neuro-variants/variant_position/credible/roussos_2024/variant_figures/roussos_2024.childhood.GABA/rs62057067_count_position.png",4,220,900)</f>
        <v/>
      </c>
      <c r="T1708">
        <f>IMAGE("https://mitra.stanford.edu/kundaje/oak/projects/neuro-variants/variant_position/credible/roussos_2024/variant_figures/roussos_2024.childhood.GABA/rs62057067_profile_position.png",4,220,900)</f>
        <v/>
      </c>
    </row>
    <row r="1709">
      <c r="A1709" t="inlineStr">
        <is>
          <t>chr17</t>
        </is>
      </c>
      <c r="B1709" t="n">
        <v>45815893</v>
      </c>
      <c r="C1709" t="inlineStr">
        <is>
          <t>G</t>
        </is>
      </c>
      <c r="D1709" t="inlineStr">
        <is>
          <t>A</t>
        </is>
      </c>
      <c r="E1709" t="inlineStr">
        <is>
          <t>rs117365970</t>
        </is>
      </c>
      <c r="F1709" t="n">
        <v>-0.112519194</v>
      </c>
      <c r="G1709" t="n">
        <v>0.027621598044891</v>
      </c>
      <c r="H1709" t="n">
        <v>0.0176539096221374</v>
      </c>
      <c r="I1709" t="n">
        <v>0.1305999823784982</v>
      </c>
      <c r="J1709" t="n">
        <v>0.3403017737848421</v>
      </c>
      <c r="K1709" t="n">
        <v>0.1148622870322456</v>
      </c>
      <c r="L1709" t="b">
        <v>0</v>
      </c>
      <c r="M1709" t="b">
        <v>0</v>
      </c>
      <c r="N1709" t="inlineStr">
        <is>
          <t>ref</t>
        </is>
      </c>
      <c r="O1709" t="n">
        <v>-100</v>
      </c>
      <c r="P1709" t="n">
        <v>0.00903</v>
      </c>
      <c r="Q1709" t="n">
        <v>5</v>
      </c>
      <c r="R1709" t="n">
        <v>0.001831</v>
      </c>
      <c r="S1709">
        <f>IMAGE("https://mitra.stanford.edu/kundaje/oak/projects/neuro-variants/variant_position/credible/roussos_2024/variant_figures/roussos_2024.childhood.GABA/rs117365970_count_position.png",4,220,900)</f>
        <v/>
      </c>
      <c r="T1709">
        <f>IMAGE("https://mitra.stanford.edu/kundaje/oak/projects/neuro-variants/variant_position/credible/roussos_2024/variant_figures/roussos_2024.childhood.GABA/rs117365970_profile_position.png",4,220,900)</f>
        <v/>
      </c>
    </row>
    <row r="1710">
      <c r="A1710" t="inlineStr">
        <is>
          <t>chr17</t>
        </is>
      </c>
      <c r="B1710" t="n">
        <v>45815894</v>
      </c>
      <c r="C1710" t="inlineStr">
        <is>
          <t>T</t>
        </is>
      </c>
      <c r="D1710" t="inlineStr">
        <is>
          <t>C</t>
        </is>
      </c>
      <c r="E1710" t="inlineStr">
        <is>
          <t>rs117646503</t>
        </is>
      </c>
      <c r="F1710" t="n">
        <v>-0.04717434316</v>
      </c>
      <c r="G1710" t="n">
        <v>0.1823031142126022</v>
      </c>
      <c r="H1710" t="n">
        <v>0.0223647175222741</v>
      </c>
      <c r="I1710" t="n">
        <v>0.0499850131280694</v>
      </c>
      <c r="J1710" t="n">
        <v>0.3412075139787648</v>
      </c>
      <c r="K1710" t="n">
        <v>0.1143222465679623</v>
      </c>
      <c r="L1710" t="b">
        <v>0</v>
      </c>
      <c r="M1710" t="b">
        <v>0</v>
      </c>
      <c r="N1710" t="inlineStr">
        <is>
          <t>ref</t>
        </is>
      </c>
      <c r="O1710" t="n">
        <v>-100</v>
      </c>
      <c r="P1710" t="n">
        <v>0.008070000000000001</v>
      </c>
      <c r="Q1710" t="n">
        <v>5</v>
      </c>
      <c r="R1710" t="n">
        <v>0.006714</v>
      </c>
      <c r="S1710">
        <f>IMAGE("https://mitra.stanford.edu/kundaje/oak/projects/neuro-variants/variant_position/credible/roussos_2024/variant_figures/roussos_2024.childhood.GABA/rs117646503_count_position.png",4,220,900)</f>
        <v/>
      </c>
      <c r="T1710">
        <f>IMAGE("https://mitra.stanford.edu/kundaje/oak/projects/neuro-variants/variant_position/credible/roussos_2024/variant_figures/roussos_2024.childhood.GABA/rs117646503_profile_position.png",4,220,900)</f>
        <v/>
      </c>
    </row>
    <row r="1711">
      <c r="A1711" t="inlineStr">
        <is>
          <t>chr17</t>
        </is>
      </c>
      <c r="B1711" t="n">
        <v>45816793</v>
      </c>
      <c r="C1711" t="inlineStr">
        <is>
          <t>C</t>
        </is>
      </c>
      <c r="D1711" t="inlineStr">
        <is>
          <t>T</t>
        </is>
      </c>
      <c r="E1711" t="inlineStr">
        <is>
          <t>rs28364023</t>
        </is>
      </c>
      <c r="F1711" t="n">
        <v>-0.039596343</v>
      </c>
      <c r="G1711" t="n">
        <v>0.2085101156530014</v>
      </c>
      <c r="H1711" t="n">
        <v>0.0087451657367381</v>
      </c>
      <c r="I1711" t="n">
        <v>0.7815887013187579</v>
      </c>
      <c r="J1711" t="n">
        <v>0.3884054784193</v>
      </c>
      <c r="K1711" t="n">
        <v>0.09095845242603</v>
      </c>
      <c r="L1711" t="b">
        <v>0</v>
      </c>
      <c r="M1711" t="b">
        <v>0</v>
      </c>
      <c r="N1711" t="inlineStr">
        <is>
          <t>ref</t>
        </is>
      </c>
      <c r="O1711" t="n">
        <v>10</v>
      </c>
      <c r="P1711" t="n">
        <v>0.0005245</v>
      </c>
      <c r="Q1711" t="n">
        <v>-30</v>
      </c>
      <c r="R1711" t="n">
        <v>0.04825</v>
      </c>
      <c r="S1711">
        <f>IMAGE("https://mitra.stanford.edu/kundaje/oak/projects/neuro-variants/variant_position/credible/roussos_2024/variant_figures/roussos_2024.childhood.GABA/rs28364023_count_position.png",4,220,900)</f>
        <v/>
      </c>
      <c r="T1711">
        <f>IMAGE("https://mitra.stanford.edu/kundaje/oak/projects/neuro-variants/variant_position/credible/roussos_2024/variant_figures/roussos_2024.childhood.GABA/rs28364023_profile_position.png",4,220,900)</f>
        <v/>
      </c>
    </row>
    <row r="1712">
      <c r="A1712" t="inlineStr">
        <is>
          <t>chr17</t>
        </is>
      </c>
      <c r="B1712" t="n">
        <v>45817243</v>
      </c>
      <c r="C1712" t="inlineStr">
        <is>
          <t>A</t>
        </is>
      </c>
      <c r="D1712" t="inlineStr">
        <is>
          <t>G</t>
        </is>
      </c>
      <c r="E1712" t="inlineStr">
        <is>
          <t>rs56099546</t>
        </is>
      </c>
      <c r="F1712" t="n">
        <v>0.0566403494</v>
      </c>
      <c r="G1712" t="n">
        <v>0.1032144055573577</v>
      </c>
      <c r="H1712" t="n">
        <v>0.0148791361357003</v>
      </c>
      <c r="I1712" t="n">
        <v>0.2312761753522575</v>
      </c>
      <c r="J1712" t="n">
        <v>0.3966660384075726</v>
      </c>
      <c r="K1712" t="n">
        <v>0.0873012203786912</v>
      </c>
      <c r="L1712" t="b">
        <v>0</v>
      </c>
      <c r="M1712" t="b">
        <v>0</v>
      </c>
      <c r="N1712" t="inlineStr">
        <is>
          <t>alt</t>
        </is>
      </c>
      <c r="O1712" t="n">
        <v>-60</v>
      </c>
      <c r="P1712" t="n">
        <v>0.001465</v>
      </c>
      <c r="Q1712" t="n">
        <v>10</v>
      </c>
      <c r="R1712" t="n">
        <v>0.00757</v>
      </c>
      <c r="S1712">
        <f>IMAGE("https://mitra.stanford.edu/kundaje/oak/projects/neuro-variants/variant_position/credible/roussos_2024/variant_figures/roussos_2024.childhood.GABA/rs56099546_count_position.png",4,220,900)</f>
        <v/>
      </c>
      <c r="T1712">
        <f>IMAGE("https://mitra.stanford.edu/kundaje/oak/projects/neuro-variants/variant_position/credible/roussos_2024/variant_figures/roussos_2024.childhood.GABA/rs56099546_profile_position.png",4,220,900)</f>
        <v/>
      </c>
    </row>
    <row r="1713">
      <c r="A1713" t="inlineStr">
        <is>
          <t>chr17</t>
        </is>
      </c>
      <c r="B1713" t="n">
        <v>45818287</v>
      </c>
      <c r="C1713" t="inlineStr">
        <is>
          <t>A</t>
        </is>
      </c>
      <c r="D1713" t="inlineStr">
        <is>
          <t>G</t>
        </is>
      </c>
      <c r="E1713" t="inlineStr">
        <is>
          <t>rs4277389</t>
        </is>
      </c>
      <c r="F1713" t="n">
        <v>0.0291777118</v>
      </c>
      <c r="G1713" t="n">
        <v>0.2934419148113407</v>
      </c>
      <c r="H1713" t="n">
        <v>0.0133600256384455</v>
      </c>
      <c r="I1713" t="n">
        <v>0.3216072345973076</v>
      </c>
      <c r="J1713" t="n">
        <v>0.4057370526271701</v>
      </c>
      <c r="K1713" t="n">
        <v>0.083142300142209</v>
      </c>
      <c r="L1713" t="b">
        <v>0</v>
      </c>
      <c r="M1713" t="b">
        <v>0</v>
      </c>
      <c r="N1713" t="inlineStr">
        <is>
          <t>alt</t>
        </is>
      </c>
      <c r="O1713" t="n">
        <v>50</v>
      </c>
      <c r="P1713" t="n">
        <v>0.001507</v>
      </c>
      <c r="Q1713" t="n">
        <v>-85</v>
      </c>
      <c r="R1713" t="n">
        <v>0.05157</v>
      </c>
      <c r="S1713">
        <f>IMAGE("https://mitra.stanford.edu/kundaje/oak/projects/neuro-variants/variant_position/credible/roussos_2024/variant_figures/roussos_2024.childhood.GABA/rs4277389_count_position.png",4,220,900)</f>
        <v/>
      </c>
      <c r="T1713">
        <f>IMAGE("https://mitra.stanford.edu/kundaje/oak/projects/neuro-variants/variant_position/credible/roussos_2024/variant_figures/roussos_2024.childhood.GABA/rs4277389_profile_position.png",4,220,900)</f>
        <v/>
      </c>
    </row>
    <row r="1714">
      <c r="A1714" t="inlineStr">
        <is>
          <t>chr17</t>
        </is>
      </c>
      <c r="B1714" t="n">
        <v>45818431</v>
      </c>
      <c r="C1714" t="inlineStr">
        <is>
          <t>T</t>
        </is>
      </c>
      <c r="D1714" t="inlineStr">
        <is>
          <t>C</t>
        </is>
      </c>
      <c r="E1714" t="inlineStr">
        <is>
          <t>rs4309444</t>
        </is>
      </c>
      <c r="F1714" t="n">
        <v>0.0310508626999999</v>
      </c>
      <c r="G1714" t="n">
        <v>0.2936079288739918</v>
      </c>
      <c r="H1714" t="n">
        <v>0.0091981126039939</v>
      </c>
      <c r="I1714" t="n">
        <v>0.7270633558806385</v>
      </c>
      <c r="J1714" t="n">
        <v>0.4523339825343971</v>
      </c>
      <c r="K1714" t="n">
        <v>0.0662445623455982</v>
      </c>
      <c r="L1714" t="b">
        <v>0</v>
      </c>
      <c r="M1714" t="b">
        <v>0</v>
      </c>
      <c r="N1714" t="inlineStr">
        <is>
          <t>alt</t>
        </is>
      </c>
      <c r="O1714" t="n">
        <v>45</v>
      </c>
      <c r="P1714" t="n">
        <v>0.002563</v>
      </c>
      <c r="Q1714" t="n">
        <v>-75</v>
      </c>
      <c r="R1714" t="n">
        <v>0.06660000000000001</v>
      </c>
      <c r="S1714">
        <f>IMAGE("https://mitra.stanford.edu/kundaje/oak/projects/neuro-variants/variant_position/credible/roussos_2024/variant_figures/roussos_2024.childhood.GABA/rs4309444_count_position.png",4,220,900)</f>
        <v/>
      </c>
      <c r="T1714">
        <f>IMAGE("https://mitra.stanford.edu/kundaje/oak/projects/neuro-variants/variant_position/credible/roussos_2024/variant_figures/roussos_2024.childhood.GABA/rs4309444_profile_position.png",4,220,900)</f>
        <v/>
      </c>
    </row>
    <row r="1715">
      <c r="A1715" t="inlineStr">
        <is>
          <t>chr17</t>
        </is>
      </c>
      <c r="B1715" t="n">
        <v>45822245</v>
      </c>
      <c r="C1715" t="inlineStr">
        <is>
          <t>C</t>
        </is>
      </c>
      <c r="D1715" t="inlineStr">
        <is>
          <t>T</t>
        </is>
      </c>
      <c r="E1715" t="inlineStr">
        <is>
          <t>rs78917479</t>
        </is>
      </c>
      <c r="F1715" t="n">
        <v>0.04419493688</v>
      </c>
      <c r="G1715" t="n">
        <v>0.1805003629334489</v>
      </c>
      <c r="H1715" t="n">
        <v>0.0318435711733335</v>
      </c>
      <c r="I1715" t="n">
        <v>0.0106825420539955</v>
      </c>
      <c r="J1715" t="n">
        <v>0.3022627798370714</v>
      </c>
      <c r="K1715" t="n">
        <v>0.1359462889104651</v>
      </c>
      <c r="L1715" t="b">
        <v>1</v>
      </c>
      <c r="M1715" t="b">
        <v>0</v>
      </c>
      <c r="N1715" t="inlineStr">
        <is>
          <t>alt</t>
        </is>
      </c>
      <c r="O1715" t="n">
        <v>-20</v>
      </c>
      <c r="P1715" t="n">
        <v>0.001083</v>
      </c>
      <c r="Q1715" t="n">
        <v>100</v>
      </c>
      <c r="R1715" t="n">
        <v>0.1555</v>
      </c>
      <c r="S1715">
        <f>IMAGE("https://mitra.stanford.edu/kundaje/oak/projects/neuro-variants/variant_position/credible/roussos_2024/variant_figures/roussos_2024.childhood.GABA/rs78917479_count_position.png",4,220,900)</f>
        <v/>
      </c>
      <c r="T1715">
        <f>IMAGE("https://mitra.stanford.edu/kundaje/oak/projects/neuro-variants/variant_position/credible/roussos_2024/variant_figures/roussos_2024.childhood.GABA/rs78917479_profile_position.png",4,220,900)</f>
        <v/>
      </c>
    </row>
    <row r="1716">
      <c r="A1716" t="inlineStr">
        <is>
          <t>chr17</t>
        </is>
      </c>
      <c r="B1716" t="n">
        <v>45824850</v>
      </c>
      <c r="C1716" t="inlineStr">
        <is>
          <t>C</t>
        </is>
      </c>
      <c r="D1716" t="inlineStr">
        <is>
          <t>T</t>
        </is>
      </c>
      <c r="E1716" t="inlineStr">
        <is>
          <t>rs4335809</t>
        </is>
      </c>
      <c r="F1716" t="n">
        <v>-0.0266629691999999</v>
      </c>
      <c r="G1716" t="n">
        <v>0.3329571137659501</v>
      </c>
      <c r="H1716" t="n">
        <v>0.0111941823990216</v>
      </c>
      <c r="I1716" t="n">
        <v>0.5180539418982609</v>
      </c>
      <c r="J1716" t="n">
        <v>0.4691514313836359</v>
      </c>
      <c r="K1716" t="n">
        <v>0.0604666859162833</v>
      </c>
      <c r="L1716" t="b">
        <v>0</v>
      </c>
      <c r="M1716" t="b">
        <v>0</v>
      </c>
      <c r="N1716" t="inlineStr">
        <is>
          <t>ref</t>
        </is>
      </c>
      <c r="O1716" t="n">
        <v>100</v>
      </c>
      <c r="P1716" t="n">
        <v>0.02048</v>
      </c>
      <c r="Q1716" t="n">
        <v>100</v>
      </c>
      <c r="R1716" t="n">
        <v>0.1715</v>
      </c>
      <c r="S1716">
        <f>IMAGE("https://mitra.stanford.edu/kundaje/oak/projects/neuro-variants/variant_position/credible/roussos_2024/variant_figures/roussos_2024.childhood.GABA/rs4335809_count_position.png",4,220,900)</f>
        <v/>
      </c>
      <c r="T1716">
        <f>IMAGE("https://mitra.stanford.edu/kundaje/oak/projects/neuro-variants/variant_position/credible/roussos_2024/variant_figures/roussos_2024.childhood.GABA/rs4335809_profile_position.png",4,220,900)</f>
        <v/>
      </c>
    </row>
    <row r="1717">
      <c r="A1717" t="inlineStr">
        <is>
          <t>chr17</t>
        </is>
      </c>
      <c r="B1717" t="n">
        <v>45825156</v>
      </c>
      <c r="C1717" t="inlineStr">
        <is>
          <t>G</t>
        </is>
      </c>
      <c r="D1717" t="inlineStr">
        <is>
          <t>A</t>
        </is>
      </c>
      <c r="E1717" t="inlineStr">
        <is>
          <t>rs4523962</t>
        </is>
      </c>
      <c r="F1717" t="n">
        <v>-0.0636128078</v>
      </c>
      <c r="G1717" t="n">
        <v>0.0901979009626365</v>
      </c>
      <c r="H1717" t="n">
        <v>0.0121518694057356</v>
      </c>
      <c r="I1717" t="n">
        <v>0.4260593101609013</v>
      </c>
      <c r="J1717" t="n">
        <v>0.5049789533203494</v>
      </c>
      <c r="K1717" t="n">
        <v>0.0501611994063904</v>
      </c>
      <c r="L1717" t="b">
        <v>0</v>
      </c>
      <c r="M1717" t="b">
        <v>0</v>
      </c>
      <c r="N1717" t="inlineStr">
        <is>
          <t>ref</t>
        </is>
      </c>
      <c r="O1717" t="n">
        <v>-85</v>
      </c>
      <c r="P1717" t="n">
        <v>0.013306</v>
      </c>
      <c r="Q1717" t="n">
        <v>-100</v>
      </c>
      <c r="R1717" t="n">
        <v>0.1423</v>
      </c>
      <c r="S1717">
        <f>IMAGE("https://mitra.stanford.edu/kundaje/oak/projects/neuro-variants/variant_position/credible/roussos_2024/variant_figures/roussos_2024.childhood.GABA/rs4523962_count_position.png",4,220,900)</f>
        <v/>
      </c>
      <c r="T1717">
        <f>IMAGE("https://mitra.stanford.edu/kundaje/oak/projects/neuro-variants/variant_position/credible/roussos_2024/variant_figures/roussos_2024.childhood.GABA/rs4523962_profile_position.png",4,220,900)</f>
        <v/>
      </c>
    </row>
    <row r="1718">
      <c r="A1718" t="inlineStr">
        <is>
          <t>chr17</t>
        </is>
      </c>
      <c r="B1718" t="n">
        <v>45825372</v>
      </c>
      <c r="C1718" t="inlineStr">
        <is>
          <t>C</t>
        </is>
      </c>
      <c r="D1718" t="inlineStr">
        <is>
          <t>A</t>
        </is>
      </c>
      <c r="E1718" t="inlineStr">
        <is>
          <t>rs3885074</t>
        </is>
      </c>
      <c r="F1718" t="n">
        <v>-0.026391757</v>
      </c>
      <c r="G1718" t="n">
        <v>0.3376315601485461</v>
      </c>
      <c r="H1718" t="n">
        <v>0.0115588280714779</v>
      </c>
      <c r="I1718" t="n">
        <v>0.4773155945604435</v>
      </c>
      <c r="J1718" t="n">
        <v>0.509390379259073</v>
      </c>
      <c r="K1718" t="n">
        <v>0.0489196193974963</v>
      </c>
      <c r="L1718" t="b">
        <v>0</v>
      </c>
      <c r="M1718" t="b">
        <v>0</v>
      </c>
      <c r="N1718" t="inlineStr">
        <is>
          <t>ref</t>
        </is>
      </c>
      <c r="O1718" t="n">
        <v>-100</v>
      </c>
      <c r="P1718" t="n">
        <v>0.0033</v>
      </c>
      <c r="Q1718" t="n">
        <v>50</v>
      </c>
      <c r="R1718" t="n">
        <v>0.01376</v>
      </c>
      <c r="S1718">
        <f>IMAGE("https://mitra.stanford.edu/kundaje/oak/projects/neuro-variants/variant_position/credible/roussos_2024/variant_figures/roussos_2024.childhood.GABA/rs3885074_count_position.png",4,220,900)</f>
        <v/>
      </c>
      <c r="T1718">
        <f>IMAGE("https://mitra.stanford.edu/kundaje/oak/projects/neuro-variants/variant_position/credible/roussos_2024/variant_figures/roussos_2024.childhood.GABA/rs3885074_profile_position.png",4,220,900)</f>
        <v/>
      </c>
    </row>
    <row r="1719">
      <c r="A1719" t="inlineStr">
        <is>
          <t>chr17</t>
        </is>
      </c>
      <c r="B1719" t="n">
        <v>45825932</v>
      </c>
      <c r="C1719" t="inlineStr">
        <is>
          <t>G</t>
        </is>
      </c>
      <c r="D1719" t="inlineStr">
        <is>
          <t>A</t>
        </is>
      </c>
      <c r="E1719" t="inlineStr">
        <is>
          <t>rs62057147</t>
        </is>
      </c>
      <c r="F1719" t="n">
        <v>-0.0446673694</v>
      </c>
      <c r="G1719" t="n">
        <v>0.1740083283571879</v>
      </c>
      <c r="H1719" t="n">
        <v>0.015588452648418</v>
      </c>
      <c r="I1719" t="n">
        <v>0.1976332837921236</v>
      </c>
      <c r="J1719" t="n">
        <v>0.436633787774078</v>
      </c>
      <c r="K1719" t="n">
        <v>0.0707908755108316</v>
      </c>
      <c r="L1719" t="b">
        <v>0</v>
      </c>
      <c r="M1719" t="b">
        <v>0</v>
      </c>
      <c r="N1719" t="inlineStr">
        <is>
          <t>ref</t>
        </is>
      </c>
      <c r="O1719" t="n">
        <v>-35</v>
      </c>
      <c r="P1719" t="n">
        <v>0.001454</v>
      </c>
      <c r="Q1719" t="n">
        <v>95</v>
      </c>
      <c r="R1719" t="n">
        <v>0.0185</v>
      </c>
      <c r="S1719">
        <f>IMAGE("https://mitra.stanford.edu/kundaje/oak/projects/neuro-variants/variant_position/credible/roussos_2024/variant_figures/roussos_2024.childhood.GABA/rs62057147_count_position.png",4,220,900)</f>
        <v/>
      </c>
      <c r="T1719">
        <f>IMAGE("https://mitra.stanford.edu/kundaje/oak/projects/neuro-variants/variant_position/credible/roussos_2024/variant_figures/roussos_2024.childhood.GABA/rs62057147_profile_position.png",4,220,900)</f>
        <v/>
      </c>
    </row>
    <row r="1720">
      <c r="A1720" t="inlineStr">
        <is>
          <t>chr17</t>
        </is>
      </c>
      <c r="B1720" t="n">
        <v>45825970</v>
      </c>
      <c r="C1720" t="inlineStr">
        <is>
          <t>G</t>
        </is>
      </c>
      <c r="D1720" t="inlineStr">
        <is>
          <t>A</t>
        </is>
      </c>
      <c r="E1720" t="inlineStr">
        <is>
          <t>rs17763050</t>
        </is>
      </c>
      <c r="F1720" t="n">
        <v>-0.0279451899999999</v>
      </c>
      <c r="G1720" t="n">
        <v>0.3278227960947573</v>
      </c>
      <c r="H1720" t="n">
        <v>0.0126912837413664</v>
      </c>
      <c r="I1720" t="n">
        <v>0.3795211558069654</v>
      </c>
      <c r="J1720" t="n">
        <v>0.4306579966911688</v>
      </c>
      <c r="K1720" t="n">
        <v>0.07297869571691409</v>
      </c>
      <c r="L1720" t="b">
        <v>0</v>
      </c>
      <c r="M1720" t="b">
        <v>0</v>
      </c>
      <c r="N1720" t="inlineStr">
        <is>
          <t>ref</t>
        </is>
      </c>
      <c r="O1720" t="n">
        <v>45</v>
      </c>
      <c r="P1720" t="n">
        <v>0.001202</v>
      </c>
      <c r="Q1720" t="n">
        <v>70</v>
      </c>
      <c r="R1720" t="n">
        <v>0.06710000000000001</v>
      </c>
      <c r="S1720">
        <f>IMAGE("https://mitra.stanford.edu/kundaje/oak/projects/neuro-variants/variant_position/credible/roussos_2024/variant_figures/roussos_2024.childhood.GABA/rs17763050_count_position.png",4,220,900)</f>
        <v/>
      </c>
      <c r="T1720">
        <f>IMAGE("https://mitra.stanford.edu/kundaje/oak/projects/neuro-variants/variant_position/credible/roussos_2024/variant_figures/roussos_2024.childhood.GABA/rs17763050_profile_position.png",4,220,900)</f>
        <v/>
      </c>
    </row>
    <row r="1721">
      <c r="A1721" t="inlineStr">
        <is>
          <t>chr17</t>
        </is>
      </c>
      <c r="B1721" t="n">
        <v>45826182</v>
      </c>
      <c r="C1721" t="inlineStr">
        <is>
          <t>C</t>
        </is>
      </c>
      <c r="D1721" t="inlineStr">
        <is>
          <t>T</t>
        </is>
      </c>
      <c r="E1721" t="inlineStr">
        <is>
          <t>rs62057150</t>
        </is>
      </c>
      <c r="F1721" t="n">
        <v>-0.0467894306</v>
      </c>
      <c r="G1721" t="n">
        <v>0.164033674813492</v>
      </c>
      <c r="H1721" t="n">
        <v>0.0159159978578015</v>
      </c>
      <c r="I1721" t="n">
        <v>0.1850264872022161</v>
      </c>
      <c r="J1721" t="n">
        <v>0.3863573537726958</v>
      </c>
      <c r="K1721" t="n">
        <v>0.09102650334374709</v>
      </c>
      <c r="L1721" t="b">
        <v>0</v>
      </c>
      <c r="M1721" t="b">
        <v>0</v>
      </c>
      <c r="N1721" t="inlineStr">
        <is>
          <t>ref</t>
        </is>
      </c>
      <c r="O1721" t="n">
        <v>-100</v>
      </c>
      <c r="P1721" t="n">
        <v>0.004955</v>
      </c>
      <c r="Q1721" t="n">
        <v>-90</v>
      </c>
      <c r="R1721" t="n">
        <v>0.0956</v>
      </c>
      <c r="S1721">
        <f>IMAGE("https://mitra.stanford.edu/kundaje/oak/projects/neuro-variants/variant_position/credible/roussos_2024/variant_figures/roussos_2024.childhood.GABA/rs62057150_count_position.png",4,220,900)</f>
        <v/>
      </c>
      <c r="T1721">
        <f>IMAGE("https://mitra.stanford.edu/kundaje/oak/projects/neuro-variants/variant_position/credible/roussos_2024/variant_figures/roussos_2024.childhood.GABA/rs62057150_profile_position.png",4,220,900)</f>
        <v/>
      </c>
    </row>
    <row r="1722">
      <c r="A1722" t="inlineStr">
        <is>
          <t>chr17</t>
        </is>
      </c>
      <c r="B1722" t="n">
        <v>45826476</v>
      </c>
      <c r="C1722" t="inlineStr">
        <is>
          <t>C</t>
        </is>
      </c>
      <c r="D1722" t="inlineStr">
        <is>
          <t>T</t>
        </is>
      </c>
      <c r="E1722" t="inlineStr">
        <is>
          <t>rs62057151</t>
        </is>
      </c>
      <c r="F1722" t="n">
        <v>-0.0711085712</v>
      </c>
      <c r="G1722" t="n">
        <v>0.06985338366544561</v>
      </c>
      <c r="H1722" t="n">
        <v>0.0139055160765143</v>
      </c>
      <c r="I1722" t="n">
        <v>0.2858708739274343</v>
      </c>
      <c r="J1722" t="n">
        <v>0.3680928148101611</v>
      </c>
      <c r="K1722" t="n">
        <v>0.0997342297600067</v>
      </c>
      <c r="L1722" t="b">
        <v>0</v>
      </c>
      <c r="M1722" t="b">
        <v>0</v>
      </c>
      <c r="N1722" t="inlineStr">
        <is>
          <t>ref</t>
        </is>
      </c>
      <c r="O1722" t="n">
        <v>-95</v>
      </c>
      <c r="P1722" t="n">
        <v>0.00458</v>
      </c>
      <c r="Q1722" t="n">
        <v>100</v>
      </c>
      <c r="R1722" t="n">
        <v>0.03342</v>
      </c>
      <c r="S1722">
        <f>IMAGE("https://mitra.stanford.edu/kundaje/oak/projects/neuro-variants/variant_position/credible/roussos_2024/variant_figures/roussos_2024.childhood.GABA/rs62057151_count_position.png",4,220,900)</f>
        <v/>
      </c>
      <c r="T1722">
        <f>IMAGE("https://mitra.stanford.edu/kundaje/oak/projects/neuro-variants/variant_position/credible/roussos_2024/variant_figures/roussos_2024.childhood.GABA/rs62057151_profile_position.png",4,220,900)</f>
        <v/>
      </c>
    </row>
    <row r="1723">
      <c r="A1723" t="inlineStr">
        <is>
          <t>chr17</t>
        </is>
      </c>
      <c r="B1723" t="n">
        <v>45827162</v>
      </c>
      <c r="C1723" t="inlineStr">
        <is>
          <t>T</t>
        </is>
      </c>
      <c r="D1723" t="inlineStr">
        <is>
          <t>C</t>
        </is>
      </c>
      <c r="E1723" t="inlineStr">
        <is>
          <t>rs62057153</t>
        </is>
      </c>
      <c r="F1723" t="n">
        <v>0.0644195982</v>
      </c>
      <c r="G1723" t="n">
        <v>0.0841381393938964</v>
      </c>
      <c r="H1723" t="n">
        <v>0.0104236337556947</v>
      </c>
      <c r="I1723" t="n">
        <v>0.5915944844058351</v>
      </c>
      <c r="J1723" t="n">
        <v>0.4829888379300957</v>
      </c>
      <c r="K1723" t="n">
        <v>0.0563696102862986</v>
      </c>
      <c r="L1723" t="b">
        <v>0</v>
      </c>
      <c r="M1723" t="b">
        <v>0</v>
      </c>
      <c r="N1723" t="inlineStr">
        <is>
          <t>alt</t>
        </is>
      </c>
      <c r="O1723" t="n">
        <v>-95</v>
      </c>
      <c r="P1723" t="n">
        <v>0.009186</v>
      </c>
      <c r="Q1723" t="n">
        <v>35</v>
      </c>
      <c r="R1723" t="n">
        <v>0.05176</v>
      </c>
      <c r="S1723">
        <f>IMAGE("https://mitra.stanford.edu/kundaje/oak/projects/neuro-variants/variant_position/credible/roussos_2024/variant_figures/roussos_2024.childhood.GABA/rs62057153_count_position.png",4,220,900)</f>
        <v/>
      </c>
      <c r="T1723">
        <f>IMAGE("https://mitra.stanford.edu/kundaje/oak/projects/neuro-variants/variant_position/credible/roussos_2024/variant_figures/roussos_2024.childhood.GABA/rs62057153_profile_position.png",4,220,900)</f>
        <v/>
      </c>
    </row>
    <row r="1724">
      <c r="A1724" t="inlineStr">
        <is>
          <t>chr17</t>
        </is>
      </c>
      <c r="B1724" t="n">
        <v>45827307</v>
      </c>
      <c r="C1724" t="inlineStr">
        <is>
          <t>C</t>
        </is>
      </c>
      <c r="D1724" t="inlineStr">
        <is>
          <t>T</t>
        </is>
      </c>
      <c r="E1724" t="inlineStr">
        <is>
          <t>rs62057155</t>
        </is>
      </c>
      <c r="F1724" t="n">
        <v>-0.0018290875999999</v>
      </c>
      <c r="G1724" t="n">
        <v>0.8265818527517227</v>
      </c>
      <c r="H1724" t="n">
        <v>0.008256708303246599</v>
      </c>
      <c r="I1724" t="n">
        <v>0.8212788759169587</v>
      </c>
      <c r="J1724" t="n">
        <v>0.4576542899625139</v>
      </c>
      <c r="K1724" t="n">
        <v>0.0640650111007537</v>
      </c>
      <c r="L1724" t="b">
        <v>0</v>
      </c>
      <c r="M1724" t="b">
        <v>0</v>
      </c>
      <c r="N1724" t="inlineStr">
        <is>
          <t>ref</t>
        </is>
      </c>
      <c r="O1724" t="n">
        <v>0</v>
      </c>
      <c r="P1724" t="n">
        <v>0</v>
      </c>
      <c r="Q1724" t="n">
        <v>-100</v>
      </c>
      <c r="R1724" t="n">
        <v>0.1545</v>
      </c>
      <c r="S1724">
        <f>IMAGE("https://mitra.stanford.edu/kundaje/oak/projects/neuro-variants/variant_position/credible/roussos_2024/variant_figures/roussos_2024.childhood.GABA/rs62057155_count_position.png",4,220,900)</f>
        <v/>
      </c>
      <c r="T1724">
        <f>IMAGE("https://mitra.stanford.edu/kundaje/oak/projects/neuro-variants/variant_position/credible/roussos_2024/variant_figures/roussos_2024.childhood.GABA/rs62057155_profile_position.png",4,220,900)</f>
        <v/>
      </c>
    </row>
    <row r="1725">
      <c r="A1725" t="inlineStr">
        <is>
          <t>chr17</t>
        </is>
      </c>
      <c r="B1725" t="n">
        <v>45834077</v>
      </c>
      <c r="C1725" t="inlineStr">
        <is>
          <t>T</t>
        </is>
      </c>
      <c r="D1725" t="inlineStr">
        <is>
          <t>C</t>
        </is>
      </c>
      <c r="E1725" t="inlineStr">
        <is>
          <t>rs1876829</t>
        </is>
      </c>
      <c r="F1725" t="n">
        <v>0.00408833526</v>
      </c>
      <c r="G1725" t="n">
        <v>0.7025940525230243</v>
      </c>
      <c r="H1725" t="n">
        <v>0.0082335851997962</v>
      </c>
      <c r="I1725" t="n">
        <v>0.8391724477285782</v>
      </c>
      <c r="J1725" t="n">
        <v>0.4853940231618187</v>
      </c>
      <c r="K1725" t="n">
        <v>0.0555356413023399</v>
      </c>
      <c r="L1725" t="b">
        <v>0</v>
      </c>
      <c r="M1725" t="b">
        <v>0</v>
      </c>
      <c r="N1725" t="inlineStr">
        <is>
          <t>alt</t>
        </is>
      </c>
      <c r="O1725" t="n">
        <v>100</v>
      </c>
      <c r="P1725" t="n">
        <v>0.002853</v>
      </c>
      <c r="Q1725" t="n">
        <v>100</v>
      </c>
      <c r="R1725" t="n">
        <v>0.0779</v>
      </c>
      <c r="S1725">
        <f>IMAGE("https://mitra.stanford.edu/kundaje/oak/projects/neuro-variants/variant_position/credible/roussos_2024/variant_figures/roussos_2024.childhood.GABA/rs1876829_count_position.png",4,220,900)</f>
        <v/>
      </c>
      <c r="T1725">
        <f>IMAGE("https://mitra.stanford.edu/kundaje/oak/projects/neuro-variants/variant_position/credible/roussos_2024/variant_figures/roussos_2024.childhood.GABA/rs1876829_profile_position.png",4,220,900)</f>
        <v/>
      </c>
    </row>
    <row r="1726">
      <c r="A1726" t="inlineStr">
        <is>
          <t>chr17</t>
        </is>
      </c>
      <c r="B1726" t="n">
        <v>45835216</v>
      </c>
      <c r="C1726" t="inlineStr">
        <is>
          <t>C</t>
        </is>
      </c>
      <c r="D1726" t="inlineStr">
        <is>
          <t>T</t>
        </is>
      </c>
      <c r="E1726" t="inlineStr">
        <is>
          <t>rs878887</t>
        </is>
      </c>
      <c r="F1726" t="n">
        <v>-0.082277641</v>
      </c>
      <c r="G1726" t="n">
        <v>0.0490223309410016</v>
      </c>
      <c r="H1726" t="n">
        <v>0.0158981947494168</v>
      </c>
      <c r="I1726" t="n">
        <v>0.1834011074282093</v>
      </c>
      <c r="J1726" t="n">
        <v>0.416421645619987</v>
      </c>
      <c r="K1726" t="n">
        <v>0.0791279746666316</v>
      </c>
      <c r="L1726" t="b">
        <v>0</v>
      </c>
      <c r="M1726" t="b">
        <v>0</v>
      </c>
      <c r="N1726" t="inlineStr">
        <is>
          <t>ref</t>
        </is>
      </c>
      <c r="O1726" t="n">
        <v>75</v>
      </c>
      <c r="P1726" t="n">
        <v>0.003809</v>
      </c>
      <c r="Q1726" t="n">
        <v>-100</v>
      </c>
      <c r="R1726" t="n">
        <v>0.004807</v>
      </c>
      <c r="S1726">
        <f>IMAGE("https://mitra.stanford.edu/kundaje/oak/projects/neuro-variants/variant_position/credible/roussos_2024/variant_figures/roussos_2024.childhood.GABA/rs878887_count_position.png",4,220,900)</f>
        <v/>
      </c>
      <c r="T1726">
        <f>IMAGE("https://mitra.stanford.edu/kundaje/oak/projects/neuro-variants/variant_position/credible/roussos_2024/variant_figures/roussos_2024.childhood.GABA/rs878887_profile_position.png",4,220,900)</f>
        <v/>
      </c>
    </row>
    <row r="1727">
      <c r="A1727" t="inlineStr">
        <is>
          <t>chr17</t>
        </is>
      </c>
      <c r="B1727" t="n">
        <v>45836191</v>
      </c>
      <c r="C1727" t="inlineStr">
        <is>
          <t>T</t>
        </is>
      </c>
      <c r="D1727" t="inlineStr">
        <is>
          <t>G</t>
        </is>
      </c>
      <c r="E1727" t="inlineStr">
        <is>
          <t>rs75104593</t>
        </is>
      </c>
      <c r="F1727" t="n">
        <v>-0.0823193352</v>
      </c>
      <c r="G1727" t="n">
        <v>0.07928826894173389</v>
      </c>
      <c r="H1727" t="n">
        <v>0.0251468216004194</v>
      </c>
      <c r="I1727" t="n">
        <v>0.0372239507610473</v>
      </c>
      <c r="J1727" t="n">
        <v>0.47319218445687</v>
      </c>
      <c r="K1727" t="n">
        <v>0.0595925640950411</v>
      </c>
      <c r="L1727" t="b">
        <v>0</v>
      </c>
      <c r="M1727" t="b">
        <v>0</v>
      </c>
      <c r="N1727" t="inlineStr">
        <is>
          <t>ref</t>
        </is>
      </c>
      <c r="O1727" t="n">
        <v>-5</v>
      </c>
      <c r="P1727" t="n">
        <v>9.54e-06</v>
      </c>
      <c r="Q1727" t="n">
        <v>-75</v>
      </c>
      <c r="R1727" t="n">
        <v>0.04913</v>
      </c>
      <c r="S1727">
        <f>IMAGE("https://mitra.stanford.edu/kundaje/oak/projects/neuro-variants/variant_position/credible/roussos_2024/variant_figures/roussos_2024.childhood.GABA/rs75104593_count_position.png",4,220,900)</f>
        <v/>
      </c>
      <c r="T1727">
        <f>IMAGE("https://mitra.stanford.edu/kundaje/oak/projects/neuro-variants/variant_position/credible/roussos_2024/variant_figures/roussos_2024.childhood.GABA/rs75104593_profile_position.png",4,220,900)</f>
        <v/>
      </c>
    </row>
    <row r="1728">
      <c r="A1728" t="inlineStr">
        <is>
          <t>chr17</t>
        </is>
      </c>
      <c r="B1728" t="n">
        <v>45836192</v>
      </c>
      <c r="C1728" t="inlineStr">
        <is>
          <t>T</t>
        </is>
      </c>
      <c r="D1728" t="inlineStr">
        <is>
          <t>G</t>
        </is>
      </c>
      <c r="E1728" t="inlineStr">
        <is>
          <t>rs74998289</t>
        </is>
      </c>
      <c r="F1728" t="n">
        <v>-0.10868272</v>
      </c>
      <c r="G1728" t="n">
        <v>0.0378141885212031</v>
      </c>
      <c r="H1728" t="n">
        <v>0.0253810580399699</v>
      </c>
      <c r="I1728" t="n">
        <v>0.0371840499830659</v>
      </c>
      <c r="J1728" t="n">
        <v>0.473205796737241</v>
      </c>
      <c r="K1728" t="n">
        <v>0.0595873500337677</v>
      </c>
      <c r="L1728" t="b">
        <v>0</v>
      </c>
      <c r="M1728" t="b">
        <v>0</v>
      </c>
      <c r="N1728" t="inlineStr">
        <is>
          <t>ref</t>
        </is>
      </c>
      <c r="O1728" t="n">
        <v>0</v>
      </c>
      <c r="P1728" t="n">
        <v>0</v>
      </c>
      <c r="Q1728" t="n">
        <v>75</v>
      </c>
      <c r="R1728" t="n">
        <v>0.0465</v>
      </c>
      <c r="S1728">
        <f>IMAGE("https://mitra.stanford.edu/kundaje/oak/projects/neuro-variants/variant_position/credible/roussos_2024/variant_figures/roussos_2024.childhood.GABA/rs74998289_count_position.png",4,220,900)</f>
        <v/>
      </c>
      <c r="T1728">
        <f>IMAGE("https://mitra.stanford.edu/kundaje/oak/projects/neuro-variants/variant_position/credible/roussos_2024/variant_figures/roussos_2024.childhood.GABA/rs74998289_profile_position.png",4,220,900)</f>
        <v/>
      </c>
    </row>
    <row r="1729">
      <c r="A1729" t="inlineStr">
        <is>
          <t>chr17</t>
        </is>
      </c>
      <c r="B1729" t="n">
        <v>45837443</v>
      </c>
      <c r="C1729" t="inlineStr">
        <is>
          <t>C</t>
        </is>
      </c>
      <c r="D1729" t="inlineStr">
        <is>
          <t>T</t>
        </is>
      </c>
      <c r="E1729" t="inlineStr">
        <is>
          <t>rs62054804</t>
        </is>
      </c>
      <c r="F1729" t="n">
        <v>-0.0462133964</v>
      </c>
      <c r="G1729" t="n">
        <v>0.1644096958783833</v>
      </c>
      <c r="H1729" t="n">
        <v>0.0111485435244969</v>
      </c>
      <c r="I1729" t="n">
        <v>0.5246063870586353</v>
      </c>
      <c r="J1729" t="n">
        <v>0.4934797177022471</v>
      </c>
      <c r="K1729" t="n">
        <v>0.0528639565266376</v>
      </c>
      <c r="L1729" t="b">
        <v>0</v>
      </c>
      <c r="M1729" t="b">
        <v>0</v>
      </c>
      <c r="N1729" t="inlineStr">
        <is>
          <t>ref</t>
        </is>
      </c>
      <c r="O1729" t="n">
        <v>95</v>
      </c>
      <c r="P1729" t="n">
        <v>0.005573</v>
      </c>
      <c r="Q1729" t="n">
        <v>30</v>
      </c>
      <c r="R1729" t="n">
        <v>0.03357</v>
      </c>
      <c r="S1729">
        <f>IMAGE("https://mitra.stanford.edu/kundaje/oak/projects/neuro-variants/variant_position/credible/roussos_2024/variant_figures/roussos_2024.childhood.GABA/rs62054804_count_position.png",4,220,900)</f>
        <v/>
      </c>
      <c r="T1729">
        <f>IMAGE("https://mitra.stanford.edu/kundaje/oak/projects/neuro-variants/variant_position/credible/roussos_2024/variant_figures/roussos_2024.childhood.GABA/rs62054804_profile_position.png",4,220,900)</f>
        <v/>
      </c>
    </row>
    <row r="1730">
      <c r="A1730" t="inlineStr">
        <is>
          <t>chr17</t>
        </is>
      </c>
      <c r="B1730" t="n">
        <v>45841158</v>
      </c>
      <c r="C1730" t="inlineStr">
        <is>
          <t>A</t>
        </is>
      </c>
      <c r="D1730" t="inlineStr">
        <is>
          <t>G</t>
        </is>
      </c>
      <c r="E1730" t="inlineStr">
        <is>
          <t>rs74922289</t>
        </is>
      </c>
      <c r="F1730" t="n">
        <v>0.0084680104</v>
      </c>
      <c r="G1730" t="n">
        <v>0.6477494161689143</v>
      </c>
      <c r="H1730" t="n">
        <v>0.0221867325333183</v>
      </c>
      <c r="I1730" t="n">
        <v>0.0482949129225872</v>
      </c>
      <c r="J1730" t="n">
        <v>0.1552637641096521</v>
      </c>
      <c r="K1730" t="n">
        <v>0.2701827438671237</v>
      </c>
      <c r="L1730" t="b">
        <v>0</v>
      </c>
      <c r="M1730" t="b">
        <v>0</v>
      </c>
      <c r="N1730" t="inlineStr">
        <is>
          <t>alt</t>
        </is>
      </c>
      <c r="O1730" t="n">
        <v>-100</v>
      </c>
      <c r="P1730" t="n">
        <v>0.02496</v>
      </c>
      <c r="Q1730" t="n">
        <v>95</v>
      </c>
      <c r="R1730" t="n">
        <v>0.2305</v>
      </c>
      <c r="S1730">
        <f>IMAGE("https://mitra.stanford.edu/kundaje/oak/projects/neuro-variants/variant_position/credible/roussos_2024/variant_figures/roussos_2024.childhood.GABA/rs74922289_count_position.png",4,220,900)</f>
        <v/>
      </c>
      <c r="T1730">
        <f>IMAGE("https://mitra.stanford.edu/kundaje/oak/projects/neuro-variants/variant_position/credible/roussos_2024/variant_figures/roussos_2024.childhood.GABA/rs74922289_profile_position.png",4,220,900)</f>
        <v/>
      </c>
    </row>
    <row r="1731">
      <c r="A1731" t="inlineStr">
        <is>
          <t>chr17</t>
        </is>
      </c>
      <c r="B1731" t="n">
        <v>45841247</v>
      </c>
      <c r="C1731" t="inlineStr">
        <is>
          <t>T</t>
        </is>
      </c>
      <c r="D1731" t="inlineStr">
        <is>
          <t>C</t>
        </is>
      </c>
      <c r="E1731" t="inlineStr">
        <is>
          <t>rs56971664</t>
        </is>
      </c>
      <c r="F1731" t="n">
        <v>0.12795942</v>
      </c>
      <c r="G1731" t="n">
        <v>0.0158996443824756</v>
      </c>
      <c r="H1731" t="n">
        <v>0.0202067901243684</v>
      </c>
      <c r="I1731" t="n">
        <v>0.0795931959900735</v>
      </c>
      <c r="J1731" t="n">
        <v>0.2105840715377687</v>
      </c>
      <c r="K1731" t="n">
        <v>0.2064966716728663</v>
      </c>
      <c r="L1731" t="b">
        <v>1</v>
      </c>
      <c r="M1731" t="b">
        <v>0</v>
      </c>
      <c r="N1731" t="inlineStr">
        <is>
          <t>alt</t>
        </is>
      </c>
      <c r="O1731" t="n">
        <v>-100</v>
      </c>
      <c r="P1731" t="n">
        <v>0.004807</v>
      </c>
      <c r="Q1731" t="n">
        <v>95</v>
      </c>
      <c r="R1731" t="n">
        <v>0.1019</v>
      </c>
      <c r="S1731">
        <f>IMAGE("https://mitra.stanford.edu/kundaje/oak/projects/neuro-variants/variant_position/credible/roussos_2024/variant_figures/roussos_2024.childhood.GABA/rs56971664_count_position.png",4,220,900)</f>
        <v/>
      </c>
      <c r="T1731">
        <f>IMAGE("https://mitra.stanford.edu/kundaje/oak/projects/neuro-variants/variant_position/credible/roussos_2024/variant_figures/roussos_2024.childhood.GABA/rs56971664_profile_position.png",4,220,900)</f>
        <v/>
      </c>
    </row>
    <row r="1732">
      <c r="A1732" t="inlineStr">
        <is>
          <t>chr17</t>
        </is>
      </c>
      <c r="B1732" t="n">
        <v>45843844</v>
      </c>
      <c r="C1732" t="inlineStr">
        <is>
          <t>G</t>
        </is>
      </c>
      <c r="D1732" t="inlineStr">
        <is>
          <t>T</t>
        </is>
      </c>
      <c r="E1732" t="inlineStr">
        <is>
          <t>rs17763596</t>
        </is>
      </c>
      <c r="F1732" t="n">
        <v>0.0679795518</v>
      </c>
      <c r="G1732" t="n">
        <v>0.0756698178608263</v>
      </c>
      <c r="H1732" t="n">
        <v>0.0361134008874388</v>
      </c>
      <c r="I1732" t="n">
        <v>0.0058974950547043</v>
      </c>
      <c r="J1732" t="n">
        <v>0.0816527402567485</v>
      </c>
      <c r="K1732" t="n">
        <v>0.4162065617201205</v>
      </c>
      <c r="L1732" t="b">
        <v>1</v>
      </c>
      <c r="M1732" t="b">
        <v>1</v>
      </c>
      <c r="N1732" t="inlineStr">
        <is>
          <t>alt</t>
        </is>
      </c>
      <c r="O1732" t="n">
        <v>-100</v>
      </c>
      <c r="P1732" t="n">
        <v>0.002296</v>
      </c>
      <c r="Q1732" t="n">
        <v>-70</v>
      </c>
      <c r="R1732" t="n">
        <v>0.04736</v>
      </c>
      <c r="S1732">
        <f>IMAGE("https://mitra.stanford.edu/kundaje/oak/projects/neuro-variants/variant_position/credible/roussos_2024/variant_figures/roussos_2024.childhood.GABA/rs17763596_count_position.png",4,220,900)</f>
        <v/>
      </c>
      <c r="T1732">
        <f>IMAGE("https://mitra.stanford.edu/kundaje/oak/projects/neuro-variants/variant_position/credible/roussos_2024/variant_figures/roussos_2024.childhood.GABA/rs17763596_profile_position.png",4,220,900)</f>
        <v/>
      </c>
    </row>
    <row r="1733">
      <c r="A1733" t="inlineStr">
        <is>
          <t>chr17</t>
        </is>
      </c>
      <c r="B1733" t="n">
        <v>45845900</v>
      </c>
      <c r="C1733" t="inlineStr">
        <is>
          <t>G</t>
        </is>
      </c>
      <c r="D1733" t="inlineStr">
        <is>
          <t>A</t>
        </is>
      </c>
      <c r="E1733" t="inlineStr">
        <is>
          <t>rs62054815</t>
        </is>
      </c>
      <c r="F1733" t="n">
        <v>-0.127340498</v>
      </c>
      <c r="G1733" t="n">
        <v>0.0154462032956351</v>
      </c>
      <c r="H1733" t="n">
        <v>0.0159248585844932</v>
      </c>
      <c r="I1733" t="n">
        <v>0.1794714290188859</v>
      </c>
      <c r="J1733" t="n">
        <v>0.5521779648593746</v>
      </c>
      <c r="K1733" t="n">
        <v>0.0379555052558243</v>
      </c>
      <c r="L1733" t="b">
        <v>1</v>
      </c>
      <c r="M1733" t="b">
        <v>0</v>
      </c>
      <c r="N1733" t="inlineStr">
        <is>
          <t>ref</t>
        </is>
      </c>
      <c r="O1733" t="n">
        <v>100</v>
      </c>
      <c r="P1733" t="n">
        <v>0.004826</v>
      </c>
      <c r="Q1733" t="n">
        <v>0</v>
      </c>
      <c r="R1733" t="n">
        <v>0</v>
      </c>
      <c r="S1733">
        <f>IMAGE("https://mitra.stanford.edu/kundaje/oak/projects/neuro-variants/variant_position/credible/roussos_2024/variant_figures/roussos_2024.childhood.GABA/rs62054815_count_position.png",4,220,900)</f>
        <v/>
      </c>
      <c r="T1733">
        <f>IMAGE("https://mitra.stanford.edu/kundaje/oak/projects/neuro-variants/variant_position/credible/roussos_2024/variant_figures/roussos_2024.childhood.GABA/rs62054815_profile_position.png",4,220,900)</f>
        <v/>
      </c>
    </row>
    <row r="1734">
      <c r="A1734" t="inlineStr">
        <is>
          <t>chr17</t>
        </is>
      </c>
      <c r="B1734" t="n">
        <v>45846568</v>
      </c>
      <c r="C1734" t="inlineStr">
        <is>
          <t>T</t>
        </is>
      </c>
      <c r="D1734" t="inlineStr">
        <is>
          <t>C</t>
        </is>
      </c>
      <c r="E1734" t="inlineStr">
        <is>
          <t>rs11079725</t>
        </is>
      </c>
      <c r="F1734" t="n">
        <v>0.021597674082</v>
      </c>
      <c r="G1734" t="n">
        <v>0.3692106411184848</v>
      </c>
      <c r="H1734" t="n">
        <v>0.0122167275576526</v>
      </c>
      <c r="I1734" t="n">
        <v>0.4105897633437425</v>
      </c>
      <c r="J1734" t="n">
        <v>0.4288967770308475</v>
      </c>
      <c r="K1734" t="n">
        <v>0.07340513910494741</v>
      </c>
      <c r="L1734" t="b">
        <v>0</v>
      </c>
      <c r="M1734" t="b">
        <v>0</v>
      </c>
      <c r="N1734" t="inlineStr">
        <is>
          <t>alt</t>
        </is>
      </c>
      <c r="O1734" t="n">
        <v>95</v>
      </c>
      <c r="P1734" t="n">
        <v>0.003708</v>
      </c>
      <c r="Q1734" t="n">
        <v>25</v>
      </c>
      <c r="R1734" t="n">
        <v>0.03647</v>
      </c>
      <c r="S1734">
        <f>IMAGE("https://mitra.stanford.edu/kundaje/oak/projects/neuro-variants/variant_position/credible/roussos_2024/variant_figures/roussos_2024.childhood.GABA/rs11079725_count_position.png",4,220,900)</f>
        <v/>
      </c>
      <c r="T1734">
        <f>IMAGE("https://mitra.stanford.edu/kundaje/oak/projects/neuro-variants/variant_position/credible/roussos_2024/variant_figures/roussos_2024.childhood.GABA/rs11079725_profile_position.png",4,220,900)</f>
        <v/>
      </c>
    </row>
    <row r="1735">
      <c r="A1735" t="inlineStr">
        <is>
          <t>chr17</t>
        </is>
      </c>
      <c r="B1735" t="n">
        <v>45847410</v>
      </c>
      <c r="C1735" t="inlineStr">
        <is>
          <t>C</t>
        </is>
      </c>
      <c r="D1735" t="inlineStr">
        <is>
          <t>T</t>
        </is>
      </c>
      <c r="E1735" t="inlineStr">
        <is>
          <t>rs55943825</t>
        </is>
      </c>
      <c r="F1735" t="n">
        <v>0.0159726837</v>
      </c>
      <c r="G1735" t="n">
        <v>0.4740431222234619</v>
      </c>
      <c r="H1735" t="n">
        <v>0.0069218546109378</v>
      </c>
      <c r="I1735" t="n">
        <v>0.9463996846362944</v>
      </c>
      <c r="J1735" t="n">
        <v>0.4505696215786056</v>
      </c>
      <c r="K1735" t="n">
        <v>0.06638450137840129</v>
      </c>
      <c r="L1735" t="b">
        <v>0</v>
      </c>
      <c r="M1735" t="b">
        <v>0</v>
      </c>
      <c r="N1735" t="inlineStr">
        <is>
          <t>alt</t>
        </is>
      </c>
      <c r="O1735" t="n">
        <v>50</v>
      </c>
      <c r="P1735" t="n">
        <v>0.00893</v>
      </c>
      <c r="Q1735" t="n">
        <v>60</v>
      </c>
      <c r="R1735" t="n">
        <v>0.04016</v>
      </c>
      <c r="S1735">
        <f>IMAGE("https://mitra.stanford.edu/kundaje/oak/projects/neuro-variants/variant_position/credible/roussos_2024/variant_figures/roussos_2024.childhood.GABA/rs55943825_count_position.png",4,220,900)</f>
        <v/>
      </c>
      <c r="T1735">
        <f>IMAGE("https://mitra.stanford.edu/kundaje/oak/projects/neuro-variants/variant_position/credible/roussos_2024/variant_figures/roussos_2024.childhood.GABA/rs55943825_profile_position.png",4,220,900)</f>
        <v/>
      </c>
    </row>
    <row r="1736">
      <c r="A1736" t="inlineStr">
        <is>
          <t>chr17</t>
        </is>
      </c>
      <c r="B1736" t="n">
        <v>45848600</v>
      </c>
      <c r="C1736" t="inlineStr">
        <is>
          <t>G</t>
        </is>
      </c>
      <c r="D1736" t="inlineStr">
        <is>
          <t>A</t>
        </is>
      </c>
      <c r="E1736" t="inlineStr">
        <is>
          <t>rs62054817</t>
        </is>
      </c>
      <c r="F1736" t="n">
        <v>0.1025532312</v>
      </c>
      <c r="G1736" t="n">
        <v>0.0518352040058875</v>
      </c>
      <c r="H1736" t="n">
        <v>0.0387514840933351</v>
      </c>
      <c r="I1736" t="n">
        <v>0.0065967255525032</v>
      </c>
      <c r="J1736" t="n">
        <v>0.4857793554061695</v>
      </c>
      <c r="K1736" t="n">
        <v>0.0555541304517357</v>
      </c>
      <c r="L1736" t="b">
        <v>1</v>
      </c>
      <c r="M1736" t="b">
        <v>1</v>
      </c>
      <c r="N1736" t="inlineStr">
        <is>
          <t>alt</t>
        </is>
      </c>
      <c r="O1736" t="n">
        <v>-5</v>
      </c>
      <c r="P1736" t="n">
        <v>0.000351</v>
      </c>
      <c r="Q1736" t="n">
        <v>-95</v>
      </c>
      <c r="R1736" t="n">
        <v>0.115</v>
      </c>
      <c r="S1736">
        <f>IMAGE("https://mitra.stanford.edu/kundaje/oak/projects/neuro-variants/variant_position/credible/roussos_2024/variant_figures/roussos_2024.childhood.GABA/rs62054817_count_position.png",4,220,900)</f>
        <v/>
      </c>
      <c r="T1736">
        <f>IMAGE("https://mitra.stanford.edu/kundaje/oak/projects/neuro-variants/variant_position/credible/roussos_2024/variant_figures/roussos_2024.childhood.GABA/rs62054817_profile_position.png",4,220,900)</f>
        <v/>
      </c>
    </row>
    <row r="1737">
      <c r="A1737" t="inlineStr">
        <is>
          <t>chr17</t>
        </is>
      </c>
      <c r="B1737" t="n">
        <v>45852626</v>
      </c>
      <c r="C1737" t="inlineStr">
        <is>
          <t>C</t>
        </is>
      </c>
      <c r="D1737" t="inlineStr">
        <is>
          <t>T</t>
        </is>
      </c>
      <c r="E1737" t="inlineStr">
        <is>
          <t>rs62054824</t>
        </is>
      </c>
      <c r="F1737" t="n">
        <v>0.01274010504</v>
      </c>
      <c r="G1737" t="n">
        <v>0.5603874172216941</v>
      </c>
      <c r="H1737" t="n">
        <v>0.010620263648975</v>
      </c>
      <c r="I1737" t="n">
        <v>0.5763216797695816</v>
      </c>
      <c r="J1737" t="n">
        <v>0.6363573537726959</v>
      </c>
      <c r="K1737" t="n">
        <v>0.0232738082981474</v>
      </c>
      <c r="L1737" t="b">
        <v>0</v>
      </c>
      <c r="M1737" t="b">
        <v>0</v>
      </c>
      <c r="N1737" t="inlineStr">
        <is>
          <t>alt</t>
        </is>
      </c>
      <c r="O1737" t="n">
        <v>90</v>
      </c>
      <c r="P1737" t="n">
        <v>0.03348</v>
      </c>
      <c r="Q1737" t="n">
        <v>90</v>
      </c>
      <c r="R1737" t="n">
        <v>0.1085</v>
      </c>
      <c r="S1737">
        <f>IMAGE("https://mitra.stanford.edu/kundaje/oak/projects/neuro-variants/variant_position/credible/roussos_2024/variant_figures/roussos_2024.childhood.GABA/rs62054824_count_position.png",4,220,900)</f>
        <v/>
      </c>
      <c r="T1737">
        <f>IMAGE("https://mitra.stanford.edu/kundaje/oak/projects/neuro-variants/variant_position/credible/roussos_2024/variant_figures/roussos_2024.childhood.GABA/rs62054824_profile_position.png",4,220,900)</f>
        <v/>
      </c>
    </row>
    <row r="1738">
      <c r="A1738" t="inlineStr">
        <is>
          <t>chr17</t>
        </is>
      </c>
      <c r="B1738" t="n">
        <v>45852667</v>
      </c>
      <c r="C1738" t="inlineStr">
        <is>
          <t>G</t>
        </is>
      </c>
      <c r="D1738" t="inlineStr">
        <is>
          <t>A</t>
        </is>
      </c>
      <c r="E1738" t="inlineStr">
        <is>
          <t>rs62054825</t>
        </is>
      </c>
      <c r="F1738" t="n">
        <v>-0.250735062</v>
      </c>
      <c r="G1738" t="n">
        <v>0.0024914768277251</v>
      </c>
      <c r="H1738" t="n">
        <v>0.0331348028257485</v>
      </c>
      <c r="I1738" t="n">
        <v>0.009858419296687499</v>
      </c>
      <c r="J1738" t="n">
        <v>0.6406410336956294</v>
      </c>
      <c r="K1738" t="n">
        <v>0.0226225974255839</v>
      </c>
      <c r="L1738" t="b">
        <v>1</v>
      </c>
      <c r="M1738" t="b">
        <v>1</v>
      </c>
      <c r="N1738" t="inlineStr">
        <is>
          <t>ref</t>
        </is>
      </c>
      <c r="O1738" t="n">
        <v>100</v>
      </c>
      <c r="P1738" t="n">
        <v>0.34</v>
      </c>
      <c r="Q1738" t="n">
        <v>100</v>
      </c>
      <c r="R1738" t="n">
        <v>0.8506</v>
      </c>
      <c r="S1738">
        <f>IMAGE("https://mitra.stanford.edu/kundaje/oak/projects/neuro-variants/variant_position/credible/roussos_2024/variant_figures/roussos_2024.childhood.GABA/rs62054825_count_position.png",4,220,900)</f>
        <v/>
      </c>
      <c r="T1738">
        <f>IMAGE("https://mitra.stanford.edu/kundaje/oak/projects/neuro-variants/variant_position/credible/roussos_2024/variant_figures/roussos_2024.childhood.GABA/rs62054825_profile_position.png",4,220,900)</f>
        <v/>
      </c>
    </row>
    <row r="1739">
      <c r="A1739" t="inlineStr">
        <is>
          <t>chr17</t>
        </is>
      </c>
      <c r="B1739" t="n">
        <v>45853878</v>
      </c>
      <c r="C1739" t="inlineStr">
        <is>
          <t>G</t>
        </is>
      </c>
      <c r="D1739" t="inlineStr">
        <is>
          <t>C</t>
        </is>
      </c>
      <c r="E1739" t="inlineStr">
        <is>
          <t>rs56026128</t>
        </is>
      </c>
      <c r="F1739" t="n">
        <v>0.1055314672</v>
      </c>
      <c r="G1739" t="n">
        <v>0.0279208400527423</v>
      </c>
      <c r="H1739" t="n">
        <v>0.031971781525658</v>
      </c>
      <c r="I1739" t="n">
        <v>0.0100650476538614</v>
      </c>
      <c r="J1739" t="n">
        <v>0.2029339699692152</v>
      </c>
      <c r="K1739" t="n">
        <v>0.222056855266217</v>
      </c>
      <c r="L1739" t="b">
        <v>1</v>
      </c>
      <c r="M1739" t="b">
        <v>0</v>
      </c>
      <c r="N1739" t="inlineStr">
        <is>
          <t>alt</t>
        </is>
      </c>
      <c r="O1739" t="n">
        <v>-80</v>
      </c>
      <c r="P1739" t="n">
        <v>0.002762</v>
      </c>
      <c r="Q1739" t="n">
        <v>100</v>
      </c>
      <c r="R1739" t="n">
        <v>0.04785</v>
      </c>
      <c r="S1739">
        <f>IMAGE("https://mitra.stanford.edu/kundaje/oak/projects/neuro-variants/variant_position/credible/roussos_2024/variant_figures/roussos_2024.childhood.GABA/rs56026128_count_position.png",4,220,900)</f>
        <v/>
      </c>
      <c r="T1739">
        <f>IMAGE("https://mitra.stanford.edu/kundaje/oak/projects/neuro-variants/variant_position/credible/roussos_2024/variant_figures/roussos_2024.childhood.GABA/rs56026128_profile_position.png",4,220,900)</f>
        <v/>
      </c>
    </row>
    <row r="1740">
      <c r="A1740" t="inlineStr">
        <is>
          <t>chr17</t>
        </is>
      </c>
      <c r="B1740" t="n">
        <v>45853879</v>
      </c>
      <c r="C1740" t="inlineStr">
        <is>
          <t>G</t>
        </is>
      </c>
      <c r="D1740" t="inlineStr">
        <is>
          <t>A</t>
        </is>
      </c>
      <c r="E1740" t="inlineStr">
        <is>
          <t>rs56329743</t>
        </is>
      </c>
      <c r="F1740" t="n">
        <v>0.0280364126559999</v>
      </c>
      <c r="G1740" t="n">
        <v>0.3469876873033056</v>
      </c>
      <c r="H1740" t="n">
        <v>0.0241648954685924</v>
      </c>
      <c r="I1740" t="n">
        <v>0.0340826174786492</v>
      </c>
      <c r="J1740" t="n">
        <v>0.1776852840778203</v>
      </c>
      <c r="K1740" t="n">
        <v>0.2517928982854598</v>
      </c>
      <c r="L1740" t="b">
        <v>0</v>
      </c>
      <c r="M1740" t="b">
        <v>0</v>
      </c>
      <c r="N1740" t="inlineStr">
        <is>
          <t>alt</t>
        </is>
      </c>
      <c r="O1740" t="n">
        <v>-90</v>
      </c>
      <c r="P1740" t="n">
        <v>0.002586</v>
      </c>
      <c r="Q1740" t="n">
        <v>100</v>
      </c>
      <c r="R1740" t="n">
        <v>0.04083</v>
      </c>
      <c r="S1740">
        <f>IMAGE("https://mitra.stanford.edu/kundaje/oak/projects/neuro-variants/variant_position/credible/roussos_2024/variant_figures/roussos_2024.childhood.GABA/rs56329743_count_position.png",4,220,900)</f>
        <v/>
      </c>
      <c r="T1740">
        <f>IMAGE("https://mitra.stanford.edu/kundaje/oak/projects/neuro-variants/variant_position/credible/roussos_2024/variant_figures/roussos_2024.childhood.GABA/rs56329743_profile_position.png",4,220,900)</f>
        <v/>
      </c>
    </row>
    <row r="1741">
      <c r="A1741" t="inlineStr">
        <is>
          <t>chr17</t>
        </is>
      </c>
      <c r="B1741" t="n">
        <v>45859967</v>
      </c>
      <c r="C1741" t="inlineStr">
        <is>
          <t>T</t>
        </is>
      </c>
      <c r="D1741" t="inlineStr">
        <is>
          <t>G</t>
        </is>
      </c>
      <c r="E1741" t="inlineStr">
        <is>
          <t>rs62054844</t>
        </is>
      </c>
      <c r="F1741" t="n">
        <v>0.0082449125499999</v>
      </c>
      <c r="G1741" t="n">
        <v>0.6532560486037545</v>
      </c>
      <c r="H1741" t="n">
        <v>0.009187231147833499</v>
      </c>
      <c r="I1741" t="n">
        <v>0.7357382670002577</v>
      </c>
      <c r="J1741" t="n">
        <v>0.0532365814328495</v>
      </c>
      <c r="K1741" t="n">
        <v>0.5116408894232752</v>
      </c>
      <c r="L1741" t="b">
        <v>0</v>
      </c>
      <c r="M1741" t="b">
        <v>0</v>
      </c>
      <c r="N1741" t="inlineStr">
        <is>
          <t>alt</t>
        </is>
      </c>
      <c r="O1741" t="n">
        <v>35</v>
      </c>
      <c r="P1741" t="n">
        <v>0.00393</v>
      </c>
      <c r="Q1741" t="n">
        <v>100</v>
      </c>
      <c r="R1741" t="n">
        <v>0.08246000000000001</v>
      </c>
      <c r="S1741">
        <f>IMAGE("https://mitra.stanford.edu/kundaje/oak/projects/neuro-variants/variant_position/credible/roussos_2024/variant_figures/roussos_2024.childhood.GABA/rs62054844_count_position.png",4,220,900)</f>
        <v/>
      </c>
      <c r="T1741">
        <f>IMAGE("https://mitra.stanford.edu/kundaje/oak/projects/neuro-variants/variant_position/credible/roussos_2024/variant_figures/roussos_2024.childhood.GABA/rs62054844_profile_position.png",4,220,900)</f>
        <v/>
      </c>
    </row>
    <row r="1742">
      <c r="A1742" t="inlineStr">
        <is>
          <t>chr17</t>
        </is>
      </c>
      <c r="B1742" t="n">
        <v>45860094</v>
      </c>
      <c r="C1742" t="inlineStr">
        <is>
          <t>G</t>
        </is>
      </c>
      <c r="D1742" t="inlineStr">
        <is>
          <t>A</t>
        </is>
      </c>
      <c r="E1742" t="inlineStr">
        <is>
          <t>rs76627340</t>
        </is>
      </c>
      <c r="F1742" t="n">
        <v>-0.063227832</v>
      </c>
      <c r="G1742" t="n">
        <v>0.08896903164386399</v>
      </c>
      <c r="H1742" t="n">
        <v>0.014857030929998</v>
      </c>
      <c r="I1742" t="n">
        <v>0.2334206808095751</v>
      </c>
      <c r="J1742" t="n">
        <v>0.0411446880693597</v>
      </c>
      <c r="K1742" t="n">
        <v>0.5576682970324451</v>
      </c>
      <c r="L1742" t="b">
        <v>0</v>
      </c>
      <c r="M1742" t="b">
        <v>0</v>
      </c>
      <c r="N1742" t="inlineStr">
        <is>
          <t>ref</t>
        </is>
      </c>
      <c r="O1742" t="n">
        <v>5</v>
      </c>
      <c r="P1742" t="n">
        <v>0.000454</v>
      </c>
      <c r="Q1742" t="n">
        <v>70</v>
      </c>
      <c r="R1742" t="n">
        <v>0.05368</v>
      </c>
      <c r="S1742">
        <f>IMAGE("https://mitra.stanford.edu/kundaje/oak/projects/neuro-variants/variant_position/credible/roussos_2024/variant_figures/roussos_2024.childhood.GABA/rs76627340_count_position.png",4,220,900)</f>
        <v/>
      </c>
      <c r="T1742">
        <f>IMAGE("https://mitra.stanford.edu/kundaje/oak/projects/neuro-variants/variant_position/credible/roussos_2024/variant_figures/roussos_2024.childhood.GABA/rs76627340_profile_position.png",4,220,900)</f>
        <v/>
      </c>
    </row>
    <row r="1743">
      <c r="A1743" t="inlineStr">
        <is>
          <t>chr17</t>
        </is>
      </c>
      <c r="B1743" t="n">
        <v>45861268</v>
      </c>
      <c r="C1743" t="inlineStr">
        <is>
          <t>A</t>
        </is>
      </c>
      <c r="D1743" t="inlineStr">
        <is>
          <t>G</t>
        </is>
      </c>
      <c r="E1743" t="inlineStr">
        <is>
          <t>rs62054846</t>
        </is>
      </c>
      <c r="F1743" t="n">
        <v>0.0309596506</v>
      </c>
      <c r="G1743" t="n">
        <v>0.2461702951160188</v>
      </c>
      <c r="H1743" t="n">
        <v>0.0110018099667978</v>
      </c>
      <c r="I1743" t="n">
        <v>0.531983100127023</v>
      </c>
      <c r="J1743" t="n">
        <v>0.4457958995623127</v>
      </c>
      <c r="K1743" t="n">
        <v>0.0688770753190622</v>
      </c>
      <c r="L1743" t="b">
        <v>0</v>
      </c>
      <c r="M1743" t="b">
        <v>0</v>
      </c>
      <c r="N1743" t="inlineStr">
        <is>
          <t>alt</t>
        </is>
      </c>
      <c r="O1743" t="n">
        <v>100</v>
      </c>
      <c r="P1743" t="n">
        <v>0.007446</v>
      </c>
      <c r="Q1743" t="n">
        <v>-45</v>
      </c>
      <c r="R1743" t="n">
        <v>0.104</v>
      </c>
      <c r="S1743">
        <f>IMAGE("https://mitra.stanford.edu/kundaje/oak/projects/neuro-variants/variant_position/credible/roussos_2024/variant_figures/roussos_2024.childhood.GABA/rs62054846_count_position.png",4,220,900)</f>
        <v/>
      </c>
      <c r="T1743">
        <f>IMAGE("https://mitra.stanford.edu/kundaje/oak/projects/neuro-variants/variant_position/credible/roussos_2024/variant_figures/roussos_2024.childhood.GABA/rs62054846_profile_position.png",4,220,900)</f>
        <v/>
      </c>
    </row>
    <row r="1744">
      <c r="A1744" t="inlineStr">
        <is>
          <t>chr17</t>
        </is>
      </c>
      <c r="B1744" t="n">
        <v>45862243</v>
      </c>
      <c r="C1744" t="inlineStr">
        <is>
          <t>A</t>
        </is>
      </c>
      <c r="D1744" t="inlineStr">
        <is>
          <t>T</t>
        </is>
      </c>
      <c r="E1744" t="inlineStr">
        <is>
          <t>rs56227067</t>
        </is>
      </c>
      <c r="F1744" t="n">
        <v>-0.0224441851599999</v>
      </c>
      <c r="G1744" t="n">
        <v>0.2197469728506338</v>
      </c>
      <c r="H1744" t="n">
        <v>0.013145788292442</v>
      </c>
      <c r="I1744" t="n">
        <v>0.3366806678825449</v>
      </c>
      <c r="J1744" t="n">
        <v>0.5980523968084438</v>
      </c>
      <c r="K1744" t="n">
        <v>0.0296534645550305</v>
      </c>
      <c r="L1744" t="b">
        <v>0</v>
      </c>
      <c r="M1744" t="b">
        <v>0</v>
      </c>
      <c r="N1744" t="inlineStr">
        <is>
          <t>ref</t>
        </is>
      </c>
      <c r="O1744" t="n">
        <v>-20</v>
      </c>
      <c r="P1744" t="n">
        <v>0.00537</v>
      </c>
      <c r="Q1744" t="n">
        <v>-15</v>
      </c>
      <c r="R1744" t="n">
        <v>0.09032999999999999</v>
      </c>
      <c r="S1744">
        <f>IMAGE("https://mitra.stanford.edu/kundaje/oak/projects/neuro-variants/variant_position/credible/roussos_2024/variant_figures/roussos_2024.childhood.GABA/rs56227067_count_position.png",4,220,900)</f>
        <v/>
      </c>
      <c r="T1744">
        <f>IMAGE("https://mitra.stanford.edu/kundaje/oak/projects/neuro-variants/variant_position/credible/roussos_2024/variant_figures/roussos_2024.childhood.GABA/rs56227067_profile_position.png",4,220,900)</f>
        <v/>
      </c>
    </row>
    <row r="1745">
      <c r="A1745" t="inlineStr">
        <is>
          <t>chr17</t>
        </is>
      </c>
      <c r="B1745" t="n">
        <v>45862272</v>
      </c>
      <c r="C1745" t="inlineStr">
        <is>
          <t>G</t>
        </is>
      </c>
      <c r="D1745" t="inlineStr">
        <is>
          <t>A</t>
        </is>
      </c>
      <c r="E1745" t="inlineStr">
        <is>
          <t>rs55719714</t>
        </is>
      </c>
      <c r="F1745" t="n">
        <v>-0.1521903587999999</v>
      </c>
      <c r="G1745" t="n">
        <v>0.009908694215151099</v>
      </c>
      <c r="H1745" t="n">
        <v>0.0175617279212684</v>
      </c>
      <c r="I1745" t="n">
        <v>0.1269365513399943</v>
      </c>
      <c r="J1745" t="n">
        <v>0.5811574626709388</v>
      </c>
      <c r="K1745" t="n">
        <v>0.0327786194208609</v>
      </c>
      <c r="L1745" t="b">
        <v>1</v>
      </c>
      <c r="M1745" t="b">
        <v>1</v>
      </c>
      <c r="N1745" t="inlineStr">
        <is>
          <t>ref</t>
        </is>
      </c>
      <c r="O1745" t="n">
        <v>-50</v>
      </c>
      <c r="P1745" t="n">
        <v>0.009639999999999999</v>
      </c>
      <c r="Q1745" t="n">
        <v>-50</v>
      </c>
      <c r="R1745" t="n">
        <v>0.1807</v>
      </c>
      <c r="S1745">
        <f>IMAGE("https://mitra.stanford.edu/kundaje/oak/projects/neuro-variants/variant_position/credible/roussos_2024/variant_figures/roussos_2024.childhood.GABA/rs55719714_count_position.png",4,220,900)</f>
        <v/>
      </c>
      <c r="T1745">
        <f>IMAGE("https://mitra.stanford.edu/kundaje/oak/projects/neuro-variants/variant_position/credible/roussos_2024/variant_figures/roussos_2024.childhood.GABA/rs55719714_profile_position.png",4,220,900)</f>
        <v/>
      </c>
    </row>
    <row r="1746">
      <c r="A1746" t="inlineStr">
        <is>
          <t>chr17</t>
        </is>
      </c>
      <c r="B1746" t="n">
        <v>45863319</v>
      </c>
      <c r="C1746" t="inlineStr">
        <is>
          <t>G</t>
        </is>
      </c>
      <c r="D1746" t="inlineStr">
        <is>
          <t>A</t>
        </is>
      </c>
      <c r="E1746" t="inlineStr">
        <is>
          <t>rs62054859</t>
        </is>
      </c>
      <c r="F1746" t="n">
        <v>-0.034333931</v>
      </c>
      <c r="G1746" t="n">
        <v>0.2619020420671487</v>
      </c>
      <c r="H1746" t="n">
        <v>0.011518603774786</v>
      </c>
      <c r="I1746" t="n">
        <v>0.4833122806865744</v>
      </c>
      <c r="J1746" t="n">
        <v>0.0379374253942325</v>
      </c>
      <c r="K1746" t="n">
        <v>0.5635860317734938</v>
      </c>
      <c r="L1746" t="b">
        <v>0</v>
      </c>
      <c r="M1746" t="b">
        <v>0</v>
      </c>
      <c r="N1746" t="inlineStr">
        <is>
          <t>ref</t>
        </is>
      </c>
      <c r="O1746" t="n">
        <v>100</v>
      </c>
      <c r="P1746" t="n">
        <v>0.006607</v>
      </c>
      <c r="Q1746" t="n">
        <v>45</v>
      </c>
      <c r="R1746" t="n">
        <v>0.09357</v>
      </c>
      <c r="S1746">
        <f>IMAGE("https://mitra.stanford.edu/kundaje/oak/projects/neuro-variants/variant_position/credible/roussos_2024/variant_figures/roussos_2024.childhood.GABA/rs62054859_count_position.png",4,220,900)</f>
        <v/>
      </c>
      <c r="T1746">
        <f>IMAGE("https://mitra.stanford.edu/kundaje/oak/projects/neuro-variants/variant_position/credible/roussos_2024/variant_figures/roussos_2024.childhood.GABA/rs62054859_profile_position.png",4,220,900)</f>
        <v/>
      </c>
    </row>
    <row r="1747">
      <c r="A1747" t="inlineStr">
        <is>
          <t>chr17</t>
        </is>
      </c>
      <c r="B1747" t="n">
        <v>45866289</v>
      </c>
      <c r="C1747" t="inlineStr">
        <is>
          <t>A</t>
        </is>
      </c>
      <c r="D1747" t="inlineStr">
        <is>
          <t>C</t>
        </is>
      </c>
      <c r="E1747" t="inlineStr">
        <is>
          <t>rs62055469</t>
        </is>
      </c>
      <c r="F1747" t="n">
        <v>0.0055177353</v>
      </c>
      <c r="G1747" t="n">
        <v>0.7603607838512152</v>
      </c>
      <c r="H1747" t="n">
        <v>0.0182918980339623</v>
      </c>
      <c r="I1747" t="n">
        <v>0.1084873062752577</v>
      </c>
      <c r="J1747" t="n">
        <v>0.0400672237230633</v>
      </c>
      <c r="K1747" t="n">
        <v>0.5379952846711019</v>
      </c>
      <c r="L1747" t="b">
        <v>0</v>
      </c>
      <c r="M1747" t="b">
        <v>0</v>
      </c>
      <c r="N1747" t="inlineStr">
        <is>
          <t>alt</t>
        </is>
      </c>
      <c r="O1747" t="n">
        <v>75</v>
      </c>
      <c r="P1747" t="n">
        <v>0.004482</v>
      </c>
      <c r="Q1747" t="n">
        <v>-20</v>
      </c>
      <c r="R1747" t="n">
        <v>0.02142</v>
      </c>
      <c r="S1747">
        <f>IMAGE("https://mitra.stanford.edu/kundaje/oak/projects/neuro-variants/variant_position/credible/roussos_2024/variant_figures/roussos_2024.childhood.GABA/rs62055469_count_position.png",4,220,900)</f>
        <v/>
      </c>
      <c r="T1747">
        <f>IMAGE("https://mitra.stanford.edu/kundaje/oak/projects/neuro-variants/variant_position/credible/roussos_2024/variant_figures/roussos_2024.childhood.GABA/rs62055469_profile_position.png",4,220,900)</f>
        <v/>
      </c>
    </row>
    <row r="1748">
      <c r="A1748" t="inlineStr">
        <is>
          <t>chr17</t>
        </is>
      </c>
      <c r="B1748" t="n">
        <v>45866591</v>
      </c>
      <c r="C1748" t="inlineStr">
        <is>
          <t>G</t>
        </is>
      </c>
      <c r="D1748" t="inlineStr">
        <is>
          <t>C</t>
        </is>
      </c>
      <c r="E1748" t="inlineStr">
        <is>
          <t>rs56327054</t>
        </is>
      </c>
      <c r="F1748" t="n">
        <v>0.076959052</v>
      </c>
      <c r="G1748" t="n">
        <v>0.0562195342550499</v>
      </c>
      <c r="H1748" t="n">
        <v>0.0159621241057543</v>
      </c>
      <c r="I1748" t="n">
        <v>0.1833247677355281</v>
      </c>
      <c r="J1748" t="n">
        <v>0.0391195995895373</v>
      </c>
      <c r="K1748" t="n">
        <v>0.5383576558278484</v>
      </c>
      <c r="L1748" t="b">
        <v>0</v>
      </c>
      <c r="M1748" t="b">
        <v>0</v>
      </c>
      <c r="N1748" t="inlineStr">
        <is>
          <t>alt</t>
        </is>
      </c>
      <c r="O1748" t="n">
        <v>25</v>
      </c>
      <c r="P1748" t="n">
        <v>0.0146</v>
      </c>
      <c r="Q1748" t="n">
        <v>80</v>
      </c>
      <c r="R1748" t="n">
        <v>0.02643</v>
      </c>
      <c r="S1748">
        <f>IMAGE("https://mitra.stanford.edu/kundaje/oak/projects/neuro-variants/variant_position/credible/roussos_2024/variant_figures/roussos_2024.childhood.GABA/rs56327054_count_position.png",4,220,900)</f>
        <v/>
      </c>
      <c r="T1748">
        <f>IMAGE("https://mitra.stanford.edu/kundaje/oak/projects/neuro-variants/variant_position/credible/roussos_2024/variant_figures/roussos_2024.childhood.GABA/rs56327054_profile_position.png",4,220,900)</f>
        <v/>
      </c>
    </row>
    <row r="1749">
      <c r="A1749" t="inlineStr">
        <is>
          <t>chr17</t>
        </is>
      </c>
      <c r="B1749" t="n">
        <v>45867740</v>
      </c>
      <c r="C1749" t="inlineStr">
        <is>
          <t>T</t>
        </is>
      </c>
      <c r="D1749" t="inlineStr">
        <is>
          <t>C</t>
        </is>
      </c>
      <c r="E1749" t="inlineStr">
        <is>
          <t>rs62055475</t>
        </is>
      </c>
      <c r="F1749" t="n">
        <v>0.0512918946</v>
      </c>
      <c r="G1749" t="n">
        <v>0.1383956930738278</v>
      </c>
      <c r="H1749" t="n">
        <v>0.0136013711528752</v>
      </c>
      <c r="I1749" t="n">
        <v>0.3114983744067635</v>
      </c>
      <c r="J1749" t="n">
        <v>0.6363196582270528</v>
      </c>
      <c r="K1749" t="n">
        <v>0.0227013459248808</v>
      </c>
      <c r="L1749" t="b">
        <v>0</v>
      </c>
      <c r="M1749" t="b">
        <v>0</v>
      </c>
      <c r="N1749" t="inlineStr">
        <is>
          <t>alt</t>
        </is>
      </c>
      <c r="O1749" t="n">
        <v>100</v>
      </c>
      <c r="P1749" t="n">
        <v>0.02643</v>
      </c>
      <c r="Q1749" t="n">
        <v>100</v>
      </c>
      <c r="R1749" t="n">
        <v>0.2324</v>
      </c>
      <c r="S1749">
        <f>IMAGE("https://mitra.stanford.edu/kundaje/oak/projects/neuro-variants/variant_position/credible/roussos_2024/variant_figures/roussos_2024.childhood.GABA/rs62055475_count_position.png",4,220,900)</f>
        <v/>
      </c>
      <c r="T1749">
        <f>IMAGE("https://mitra.stanford.edu/kundaje/oak/projects/neuro-variants/variant_position/credible/roussos_2024/variant_figures/roussos_2024.childhood.GABA/rs62055475_profile_position.png",4,220,900)</f>
        <v/>
      </c>
    </row>
    <row r="1750">
      <c r="A1750" t="inlineStr">
        <is>
          <t>chr17</t>
        </is>
      </c>
      <c r="B1750" t="n">
        <v>45870562</v>
      </c>
      <c r="C1750" t="inlineStr">
        <is>
          <t>A</t>
        </is>
      </c>
      <c r="D1750" t="inlineStr">
        <is>
          <t>G</t>
        </is>
      </c>
      <c r="E1750" t="inlineStr">
        <is>
          <t>rs56289364</t>
        </is>
      </c>
      <c r="F1750" t="n">
        <v>0.0527683885999999</v>
      </c>
      <c r="G1750" t="n">
        <v>0.1380184765083645</v>
      </c>
      <c r="H1750" t="n">
        <v>0.0165577570790825</v>
      </c>
      <c r="I1750" t="n">
        <v>0.1546829424296178</v>
      </c>
      <c r="J1750" t="n">
        <v>0.3501643944629432</v>
      </c>
      <c r="K1750" t="n">
        <v>0.1084805150196695</v>
      </c>
      <c r="L1750" t="b">
        <v>0</v>
      </c>
      <c r="M1750" t="b">
        <v>0</v>
      </c>
      <c r="N1750" t="inlineStr">
        <is>
          <t>alt</t>
        </is>
      </c>
      <c r="O1750" t="n">
        <v>-45</v>
      </c>
      <c r="P1750" t="n">
        <v>0.00418</v>
      </c>
      <c r="Q1750" t="n">
        <v>70</v>
      </c>
      <c r="R1750" t="n">
        <v>0.0679</v>
      </c>
      <c r="S1750">
        <f>IMAGE("https://mitra.stanford.edu/kundaje/oak/projects/neuro-variants/variant_position/credible/roussos_2024/variant_figures/roussos_2024.childhood.GABA/rs56289364_count_position.png",4,220,900)</f>
        <v/>
      </c>
      <c r="T1750">
        <f>IMAGE("https://mitra.stanford.edu/kundaje/oak/projects/neuro-variants/variant_position/credible/roussos_2024/variant_figures/roussos_2024.childhood.GABA/rs56289364_profile_position.png",4,220,900)</f>
        <v/>
      </c>
    </row>
    <row r="1751">
      <c r="A1751" t="inlineStr">
        <is>
          <t>chr17</t>
        </is>
      </c>
      <c r="B1751" t="n">
        <v>45873854</v>
      </c>
      <c r="C1751" t="inlineStr">
        <is>
          <t>T</t>
        </is>
      </c>
      <c r="D1751" t="inlineStr">
        <is>
          <t>G</t>
        </is>
      </c>
      <c r="E1751" t="inlineStr">
        <is>
          <t>rs34416056</t>
        </is>
      </c>
      <c r="F1751" t="n">
        <v>0.0342392478</v>
      </c>
      <c r="G1751" t="n">
        <v>0.2372435396195489</v>
      </c>
      <c r="H1751" t="n">
        <v>0.0120468598666523</v>
      </c>
      <c r="I1751" t="n">
        <v>0.4259921306552581</v>
      </c>
      <c r="J1751" t="n">
        <v>0.2504010387217021</v>
      </c>
      <c r="K1751" t="n">
        <v>0.1696598571967304</v>
      </c>
      <c r="L1751" t="b">
        <v>0</v>
      </c>
      <c r="M1751" t="b">
        <v>0</v>
      </c>
      <c r="N1751" t="inlineStr">
        <is>
          <t>alt</t>
        </is>
      </c>
      <c r="O1751" t="n">
        <v>-100</v>
      </c>
      <c r="P1751" t="n">
        <v>0.00795</v>
      </c>
      <c r="Q1751" t="n">
        <v>60</v>
      </c>
      <c r="R1751" t="n">
        <v>0.0842</v>
      </c>
      <c r="S1751">
        <f>IMAGE("https://mitra.stanford.edu/kundaje/oak/projects/neuro-variants/variant_position/credible/roussos_2024/variant_figures/roussos_2024.childhood.GABA/rs34416056_count_position.png",4,220,900)</f>
        <v/>
      </c>
      <c r="T1751">
        <f>IMAGE("https://mitra.stanford.edu/kundaje/oak/projects/neuro-variants/variant_position/credible/roussos_2024/variant_figures/roussos_2024.childhood.GABA/rs34416056_profile_position.png",4,220,900)</f>
        <v/>
      </c>
    </row>
    <row r="1752">
      <c r="A1752" t="inlineStr">
        <is>
          <t>chr17</t>
        </is>
      </c>
      <c r="B1752" t="n">
        <v>45876163</v>
      </c>
      <c r="C1752" t="inlineStr">
        <is>
          <t>A</t>
        </is>
      </c>
      <c r="D1752" t="inlineStr">
        <is>
          <t>G</t>
        </is>
      </c>
      <c r="E1752" t="inlineStr">
        <is>
          <t>rs62055497</t>
        </is>
      </c>
      <c r="F1752" t="n">
        <v>0.08611680920000001</v>
      </c>
      <c r="G1752" t="n">
        <v>0.0413212887135265</v>
      </c>
      <c r="H1752" t="n">
        <v>0.0155217288868737</v>
      </c>
      <c r="I1752" t="n">
        <v>0.2053554354412454</v>
      </c>
      <c r="J1752" t="n">
        <v>0.0386714414357814</v>
      </c>
      <c r="K1752" t="n">
        <v>0.5546015896296762</v>
      </c>
      <c r="L1752" t="b">
        <v>0</v>
      </c>
      <c r="M1752" t="b">
        <v>0</v>
      </c>
      <c r="N1752" t="inlineStr">
        <is>
          <t>alt</t>
        </is>
      </c>
      <c r="O1752" t="n">
        <v>-70</v>
      </c>
      <c r="P1752" t="n">
        <v>0.003685</v>
      </c>
      <c r="Q1752" t="n">
        <v>60</v>
      </c>
      <c r="R1752" t="n">
        <v>0.06107</v>
      </c>
      <c r="S1752">
        <f>IMAGE("https://mitra.stanford.edu/kundaje/oak/projects/neuro-variants/variant_position/credible/roussos_2024/variant_figures/roussos_2024.childhood.GABA/rs62055497_count_position.png",4,220,900)</f>
        <v/>
      </c>
      <c r="T1752">
        <f>IMAGE("https://mitra.stanford.edu/kundaje/oak/projects/neuro-variants/variant_position/credible/roussos_2024/variant_figures/roussos_2024.childhood.GABA/rs62055497_profile_position.png",4,220,900)</f>
        <v/>
      </c>
    </row>
    <row r="1753">
      <c r="A1753" t="inlineStr">
        <is>
          <t>chr17</t>
        </is>
      </c>
      <c r="B1753" t="n">
        <v>45877999</v>
      </c>
      <c r="C1753" t="inlineStr">
        <is>
          <t>C</t>
        </is>
      </c>
      <c r="D1753" t="inlineStr">
        <is>
          <t>A</t>
        </is>
      </c>
      <c r="E1753" t="inlineStr">
        <is>
          <t>rs55905252</t>
        </is>
      </c>
      <c r="F1753" t="n">
        <v>0.0235813076999999</v>
      </c>
      <c r="G1753" t="n">
        <v>0.3593458210325567</v>
      </c>
      <c r="H1753" t="n">
        <v>0.0125902298143501</v>
      </c>
      <c r="I1753" t="n">
        <v>0.3629597699491788</v>
      </c>
      <c r="J1753" t="n">
        <v>0.2728581600385332</v>
      </c>
      <c r="K1753" t="n">
        <v>0.156335061587464</v>
      </c>
      <c r="L1753" t="b">
        <v>0</v>
      </c>
      <c r="M1753" t="b">
        <v>0</v>
      </c>
      <c r="N1753" t="inlineStr">
        <is>
          <t>alt</t>
        </is>
      </c>
      <c r="O1753" t="n">
        <v>100</v>
      </c>
      <c r="P1753" t="n">
        <v>0.00569</v>
      </c>
      <c r="Q1753" t="n">
        <v>100</v>
      </c>
      <c r="R1753" t="n">
        <v>0.11633</v>
      </c>
      <c r="S1753">
        <f>IMAGE("https://mitra.stanford.edu/kundaje/oak/projects/neuro-variants/variant_position/credible/roussos_2024/variant_figures/roussos_2024.childhood.GABA/rs55905252_count_position.png",4,220,900)</f>
        <v/>
      </c>
      <c r="T1753">
        <f>IMAGE("https://mitra.stanford.edu/kundaje/oak/projects/neuro-variants/variant_position/credible/roussos_2024/variant_figures/roussos_2024.childhood.GABA/rs55905252_profile_position.png",4,220,900)</f>
        <v/>
      </c>
    </row>
    <row r="1754">
      <c r="A1754" t="inlineStr">
        <is>
          <t>chr17</t>
        </is>
      </c>
      <c r="B1754" t="n">
        <v>45879368</v>
      </c>
      <c r="C1754" t="inlineStr">
        <is>
          <t>C</t>
        </is>
      </c>
      <c r="D1754" t="inlineStr">
        <is>
          <t>A</t>
        </is>
      </c>
      <c r="E1754" t="inlineStr">
        <is>
          <t>rs55768605</t>
        </is>
      </c>
      <c r="F1754" t="n">
        <v>-0.00212484276</v>
      </c>
      <c r="G1754" t="n">
        <v>0.7823904150027209</v>
      </c>
      <c r="H1754" t="n">
        <v>0.0213148785186692</v>
      </c>
      <c r="I1754" t="n">
        <v>0.0586556205710907</v>
      </c>
      <c r="J1754" t="n">
        <v>0.0021444577076919</v>
      </c>
      <c r="K1754" t="n">
        <v>0.8728062841968059</v>
      </c>
      <c r="L1754" t="b">
        <v>0</v>
      </c>
      <c r="M1754" t="b">
        <v>0</v>
      </c>
      <c r="N1754" t="inlineStr">
        <is>
          <t>ref</t>
        </is>
      </c>
      <c r="O1754" t="n">
        <v>55</v>
      </c>
      <c r="P1754" t="n">
        <v>0.002945</v>
      </c>
      <c r="Q1754" t="n">
        <v>-70</v>
      </c>
      <c r="R1754" t="n">
        <v>0.05518</v>
      </c>
      <c r="S1754">
        <f>IMAGE("https://mitra.stanford.edu/kundaje/oak/projects/neuro-variants/variant_position/credible/roussos_2024/variant_figures/roussos_2024.childhood.GABA/rs55768605_count_position.png",4,220,900)</f>
        <v/>
      </c>
      <c r="T1754">
        <f>IMAGE("https://mitra.stanford.edu/kundaje/oak/projects/neuro-variants/variant_position/credible/roussos_2024/variant_figures/roussos_2024.childhood.GABA/rs55768605_profile_position.png",4,220,900)</f>
        <v/>
      </c>
    </row>
    <row r="1755">
      <c r="A1755" t="inlineStr">
        <is>
          <t>chr17</t>
        </is>
      </c>
      <c r="B1755" t="n">
        <v>45881747</v>
      </c>
      <c r="C1755" t="inlineStr">
        <is>
          <t>A</t>
        </is>
      </c>
      <c r="D1755" t="inlineStr">
        <is>
          <t>G</t>
        </is>
      </c>
      <c r="E1755" t="inlineStr">
        <is>
          <t>rs55975673</t>
        </is>
      </c>
      <c r="F1755" t="n">
        <v>0.1053813026</v>
      </c>
      <c r="G1755" t="n">
        <v>0.0274871678028393</v>
      </c>
      <c r="H1755" t="n">
        <v>0.0139721888566199</v>
      </c>
      <c r="I1755" t="n">
        <v>0.2854180590954235</v>
      </c>
      <c r="J1755" t="n">
        <v>0.1375384808695105</v>
      </c>
      <c r="K1755" t="n">
        <v>0.3049208323072163</v>
      </c>
      <c r="L1755" t="b">
        <v>0</v>
      </c>
      <c r="M1755" t="b">
        <v>0</v>
      </c>
      <c r="N1755" t="inlineStr">
        <is>
          <t>alt</t>
        </is>
      </c>
      <c r="O1755" t="n">
        <v>100</v>
      </c>
      <c r="P1755" t="n">
        <v>0.003708</v>
      </c>
      <c r="Q1755" t="n">
        <v>-35</v>
      </c>
      <c r="R1755" t="n">
        <v>0.03253</v>
      </c>
      <c r="S1755">
        <f>IMAGE("https://mitra.stanford.edu/kundaje/oak/projects/neuro-variants/variant_position/credible/roussos_2024/variant_figures/roussos_2024.childhood.GABA/rs55975673_count_position.png",4,220,900)</f>
        <v/>
      </c>
      <c r="T1755">
        <f>IMAGE("https://mitra.stanford.edu/kundaje/oak/projects/neuro-variants/variant_position/credible/roussos_2024/variant_figures/roussos_2024.childhood.GABA/rs55975673_profile_position.png",4,220,900)</f>
        <v/>
      </c>
    </row>
    <row r="1756">
      <c r="A1756" t="inlineStr">
        <is>
          <t>chr17</t>
        </is>
      </c>
      <c r="B1756" t="n">
        <v>45883234</v>
      </c>
      <c r="C1756" t="inlineStr">
        <is>
          <t>T</t>
        </is>
      </c>
      <c r="D1756" t="inlineStr">
        <is>
          <t>C</t>
        </is>
      </c>
      <c r="E1756" t="inlineStr">
        <is>
          <t>rs56194412</t>
        </is>
      </c>
      <c r="F1756" t="n">
        <v>0.0594850598</v>
      </c>
      <c r="G1756" t="n">
        <v>0.0958909572361533</v>
      </c>
      <c r="H1756" t="n">
        <v>0.015058879313706</v>
      </c>
      <c r="I1756" t="n">
        <v>0.2263261225737889</v>
      </c>
      <c r="J1756" t="n">
        <v>0.0508785156331803</v>
      </c>
      <c r="K1756" t="n">
        <v>0.5128253533871985</v>
      </c>
      <c r="L1756" t="b">
        <v>0</v>
      </c>
      <c r="M1756" t="b">
        <v>0</v>
      </c>
      <c r="N1756" t="inlineStr">
        <is>
          <t>alt</t>
        </is>
      </c>
      <c r="O1756" t="n">
        <v>75</v>
      </c>
      <c r="P1756" t="n">
        <v>0.003128</v>
      </c>
      <c r="Q1756" t="n">
        <v>70</v>
      </c>
      <c r="R1756" t="n">
        <v>0.1031</v>
      </c>
      <c r="S1756">
        <f>IMAGE("https://mitra.stanford.edu/kundaje/oak/projects/neuro-variants/variant_position/credible/roussos_2024/variant_figures/roussos_2024.childhood.GABA/rs56194412_count_position.png",4,220,900)</f>
        <v/>
      </c>
      <c r="T1756">
        <f>IMAGE("https://mitra.stanford.edu/kundaje/oak/projects/neuro-variants/variant_position/credible/roussos_2024/variant_figures/roussos_2024.childhood.GABA/rs56194412_profile_position.png",4,220,900)</f>
        <v/>
      </c>
    </row>
    <row r="1757">
      <c r="A1757" t="inlineStr">
        <is>
          <t>chr17</t>
        </is>
      </c>
      <c r="B1757" t="n">
        <v>45885616</v>
      </c>
      <c r="C1757" t="inlineStr">
        <is>
          <t>G</t>
        </is>
      </c>
      <c r="D1757" t="inlineStr">
        <is>
          <t>A</t>
        </is>
      </c>
      <c r="E1757" t="inlineStr">
        <is>
          <t>rs77426526</t>
        </is>
      </c>
      <c r="F1757" t="n">
        <v>-0.0888273771999999</v>
      </c>
      <c r="G1757" t="n">
        <v>0.0426684271838013</v>
      </c>
      <c r="H1757" t="n">
        <v>0.0121886554851282</v>
      </c>
      <c r="I1757" t="n">
        <v>0.4010679276861932</v>
      </c>
      <c r="J1757" t="n">
        <v>0.0891457770517894</v>
      </c>
      <c r="K1757" t="n">
        <v>0.4273255247418903</v>
      </c>
      <c r="L1757" t="b">
        <v>0</v>
      </c>
      <c r="M1757" t="b">
        <v>0</v>
      </c>
      <c r="N1757" t="inlineStr">
        <is>
          <t>ref</t>
        </is>
      </c>
      <c r="O1757" t="n">
        <v>-25</v>
      </c>
      <c r="P1757" t="n">
        <v>0.00169</v>
      </c>
      <c r="Q1757" t="n">
        <v>-20</v>
      </c>
      <c r="R1757" t="n">
        <v>0.1081</v>
      </c>
      <c r="S1757">
        <f>IMAGE("https://mitra.stanford.edu/kundaje/oak/projects/neuro-variants/variant_position/credible/roussos_2024/variant_figures/roussos_2024.childhood.GABA/rs77426526_count_position.png",4,220,900)</f>
        <v/>
      </c>
      <c r="T1757">
        <f>IMAGE("https://mitra.stanford.edu/kundaje/oak/projects/neuro-variants/variant_position/credible/roussos_2024/variant_figures/roussos_2024.childhood.GABA/rs77426526_profile_position.png",4,220,900)</f>
        <v/>
      </c>
    </row>
    <row r="1758">
      <c r="A1758" t="inlineStr">
        <is>
          <t>chr17</t>
        </is>
      </c>
      <c r="B1758" t="n">
        <v>45885754</v>
      </c>
      <c r="C1758" t="inlineStr">
        <is>
          <t>C</t>
        </is>
      </c>
      <c r="D1758" t="inlineStr">
        <is>
          <t>T</t>
        </is>
      </c>
      <c r="E1758" t="inlineStr">
        <is>
          <t>rs74863825</t>
        </is>
      </c>
      <c r="F1758" t="n">
        <v>0.00519834682</v>
      </c>
      <c r="G1758" t="n">
        <v>0.6012496633079716</v>
      </c>
      <c r="H1758" t="n">
        <v>0.0176869490871841</v>
      </c>
      <c r="I1758" t="n">
        <v>0.1238383255163657</v>
      </c>
      <c r="J1758" t="n">
        <v>0.0770235178320872</v>
      </c>
      <c r="K1758" t="n">
        <v>0.4586988936764204</v>
      </c>
      <c r="L1758" t="b">
        <v>0</v>
      </c>
      <c r="M1758" t="b">
        <v>0</v>
      </c>
      <c r="N1758" t="inlineStr">
        <is>
          <t>alt</t>
        </is>
      </c>
      <c r="O1758" t="n">
        <v>75</v>
      </c>
      <c r="P1758" t="n">
        <v>0.01232</v>
      </c>
      <c r="Q1758" t="n">
        <v>-100</v>
      </c>
      <c r="R1758" t="n">
        <v>0.1334</v>
      </c>
      <c r="S1758">
        <f>IMAGE("https://mitra.stanford.edu/kundaje/oak/projects/neuro-variants/variant_position/credible/roussos_2024/variant_figures/roussos_2024.childhood.GABA/rs74863825_count_position.png",4,220,900)</f>
        <v/>
      </c>
      <c r="T1758">
        <f>IMAGE("https://mitra.stanford.edu/kundaje/oak/projects/neuro-variants/variant_position/credible/roussos_2024/variant_figures/roussos_2024.childhood.GABA/rs74863825_profile_position.png",4,220,900)</f>
        <v/>
      </c>
    </row>
    <row r="1759">
      <c r="A1759" t="inlineStr">
        <is>
          <t>chr17</t>
        </is>
      </c>
      <c r="B1759" t="n">
        <v>45888589</v>
      </c>
      <c r="C1759" t="inlineStr">
        <is>
          <t>A</t>
        </is>
      </c>
      <c r="D1759" t="inlineStr">
        <is>
          <t>G</t>
        </is>
      </c>
      <c r="E1759" t="inlineStr">
        <is>
          <t>rs62055552</t>
        </is>
      </c>
      <c r="F1759" t="n">
        <v>0.0613626572</v>
      </c>
      <c r="G1759" t="n">
        <v>0.0938109598814766</v>
      </c>
      <c r="H1759" t="n">
        <v>0.0170595332359806</v>
      </c>
      <c r="I1759" t="n">
        <v>0.1404172170981468</v>
      </c>
      <c r="J1759" t="n">
        <v>0.008369458231241101</v>
      </c>
      <c r="K1759" t="n">
        <v>0.7907063130138759</v>
      </c>
      <c r="L1759" t="b">
        <v>0</v>
      </c>
      <c r="M1759" t="b">
        <v>0</v>
      </c>
      <c r="N1759" t="inlineStr">
        <is>
          <t>alt</t>
        </is>
      </c>
      <c r="O1759" t="n">
        <v>-65</v>
      </c>
      <c r="P1759" t="n">
        <v>0.002842</v>
      </c>
      <c r="Q1759" t="n">
        <v>65</v>
      </c>
      <c r="R1759" t="n">
        <v>0.04803</v>
      </c>
      <c r="S1759">
        <f>IMAGE("https://mitra.stanford.edu/kundaje/oak/projects/neuro-variants/variant_position/credible/roussos_2024/variant_figures/roussos_2024.childhood.GABA/rs62055552_count_position.png",4,220,900)</f>
        <v/>
      </c>
      <c r="T1759">
        <f>IMAGE("https://mitra.stanford.edu/kundaje/oak/projects/neuro-variants/variant_position/credible/roussos_2024/variant_figures/roussos_2024.childhood.GABA/rs62055552_profile_position.png",4,220,900)</f>
        <v/>
      </c>
    </row>
    <row r="1760">
      <c r="A1760" t="inlineStr">
        <is>
          <t>chr17</t>
        </is>
      </c>
      <c r="B1760" t="n">
        <v>45889589</v>
      </c>
      <c r="C1760" t="inlineStr">
        <is>
          <t>A</t>
        </is>
      </c>
      <c r="D1760" t="inlineStr">
        <is>
          <t>G</t>
        </is>
      </c>
      <c r="E1760" t="inlineStr">
        <is>
          <t>rs62055558</t>
        </is>
      </c>
      <c r="F1760" t="n">
        <v>0.177053346</v>
      </c>
      <c r="G1760" t="n">
        <v>0.006445936681203</v>
      </c>
      <c r="H1760" t="n">
        <v>0.0263880026781129</v>
      </c>
      <c r="I1760" t="n">
        <v>0.0225539279744211</v>
      </c>
      <c r="J1760" t="n">
        <v>0.0356139138447362</v>
      </c>
      <c r="K1760" t="n">
        <v>0.5798333263275177</v>
      </c>
      <c r="L1760" t="b">
        <v>1</v>
      </c>
      <c r="M1760" t="b">
        <v>1</v>
      </c>
      <c r="N1760" t="inlineStr">
        <is>
          <t>alt</t>
        </is>
      </c>
      <c r="O1760" t="n">
        <v>-95</v>
      </c>
      <c r="P1760" t="n">
        <v>0.01633</v>
      </c>
      <c r="Q1760" t="n">
        <v>55</v>
      </c>
      <c r="R1760" t="n">
        <v>0.05896</v>
      </c>
      <c r="S1760">
        <f>IMAGE("https://mitra.stanford.edu/kundaje/oak/projects/neuro-variants/variant_position/credible/roussos_2024/variant_figures/roussos_2024.childhood.GABA/rs62055558_count_position.png",4,220,900)</f>
        <v/>
      </c>
      <c r="T1760">
        <f>IMAGE("https://mitra.stanford.edu/kundaje/oak/projects/neuro-variants/variant_position/credible/roussos_2024/variant_figures/roussos_2024.childhood.GABA/rs62055558_profile_position.png",4,220,900)</f>
        <v/>
      </c>
    </row>
    <row r="1761">
      <c r="A1761" t="inlineStr">
        <is>
          <t>chr17</t>
        </is>
      </c>
      <c r="B1761" t="n">
        <v>45890853</v>
      </c>
      <c r="C1761" t="inlineStr">
        <is>
          <t>A</t>
        </is>
      </c>
      <c r="D1761" t="inlineStr">
        <is>
          <t>G</t>
        </is>
      </c>
      <c r="E1761" t="inlineStr">
        <is>
          <t>rs17691466</t>
        </is>
      </c>
      <c r="F1761" t="n">
        <v>0.0384288004</v>
      </c>
      <c r="G1761" t="n">
        <v>0.2016163348251705</v>
      </c>
      <c r="H1761" t="n">
        <v>0.0122444704311322</v>
      </c>
      <c r="I1761" t="n">
        <v>0.414077224189233</v>
      </c>
      <c r="J1761" t="n">
        <v>0.0285763648928817</v>
      </c>
      <c r="K1761" t="n">
        <v>0.6298795149752285</v>
      </c>
      <c r="L1761" t="b">
        <v>0</v>
      </c>
      <c r="M1761" t="b">
        <v>0</v>
      </c>
      <c r="N1761" t="inlineStr">
        <is>
          <t>alt</t>
        </is>
      </c>
      <c r="O1761" t="n">
        <v>-95</v>
      </c>
      <c r="P1761" t="n">
        <v>0.000721</v>
      </c>
      <c r="Q1761" t="n">
        <v>-40</v>
      </c>
      <c r="R1761" t="n">
        <v>0.0801</v>
      </c>
      <c r="S1761">
        <f>IMAGE("https://mitra.stanford.edu/kundaje/oak/projects/neuro-variants/variant_position/credible/roussos_2024/variant_figures/roussos_2024.childhood.GABA/rs17691466_count_position.png",4,220,900)</f>
        <v/>
      </c>
      <c r="T1761">
        <f>IMAGE("https://mitra.stanford.edu/kundaje/oak/projects/neuro-variants/variant_position/credible/roussos_2024/variant_figures/roussos_2024.childhood.GABA/rs17691466_profile_position.png",4,220,900)</f>
        <v/>
      </c>
    </row>
    <row r="1762">
      <c r="A1762" t="inlineStr">
        <is>
          <t>chr17</t>
        </is>
      </c>
      <c r="B1762" t="n">
        <v>45891628</v>
      </c>
      <c r="C1762" t="inlineStr">
        <is>
          <t>T</t>
        </is>
      </c>
      <c r="D1762" t="inlineStr">
        <is>
          <t>C</t>
        </is>
      </c>
      <c r="E1762" t="inlineStr">
        <is>
          <t>rs55960528</t>
        </is>
      </c>
      <c r="F1762" t="n">
        <v>-0.002354738416</v>
      </c>
      <c r="G1762" t="n">
        <v>0.7399220333560204</v>
      </c>
      <c r="H1762" t="n">
        <v>0.0263987167775058</v>
      </c>
      <c r="I1762" t="n">
        <v>0.0222950963960856</v>
      </c>
      <c r="J1762" t="n">
        <v>0.0471550334024418</v>
      </c>
      <c r="K1762" t="n">
        <v>0.5234519936845407</v>
      </c>
      <c r="L1762" t="b">
        <v>0</v>
      </c>
      <c r="M1762" t="b">
        <v>0</v>
      </c>
      <c r="N1762" t="inlineStr">
        <is>
          <t>ref</t>
        </is>
      </c>
      <c r="O1762" t="n">
        <v>-65</v>
      </c>
      <c r="P1762" t="n">
        <v>0.005768</v>
      </c>
      <c r="Q1762" t="n">
        <v>100</v>
      </c>
      <c r="R1762" t="n">
        <v>0.1372</v>
      </c>
      <c r="S1762">
        <f>IMAGE("https://mitra.stanford.edu/kundaje/oak/projects/neuro-variants/variant_position/credible/roussos_2024/variant_figures/roussos_2024.childhood.GABA/rs55960528_count_position.png",4,220,900)</f>
        <v/>
      </c>
      <c r="T1762">
        <f>IMAGE("https://mitra.stanford.edu/kundaje/oak/projects/neuro-variants/variant_position/credible/roussos_2024/variant_figures/roussos_2024.childhood.GABA/rs55960528_profile_position.png",4,220,900)</f>
        <v/>
      </c>
    </row>
    <row r="1763">
      <c r="A1763" t="inlineStr">
        <is>
          <t>chr17</t>
        </is>
      </c>
      <c r="B1763" t="n">
        <v>45891802</v>
      </c>
      <c r="C1763" t="inlineStr">
        <is>
          <t>T</t>
        </is>
      </c>
      <c r="D1763" t="inlineStr">
        <is>
          <t>A</t>
        </is>
      </c>
      <c r="E1763" t="inlineStr">
        <is>
          <t>rs17691556</t>
        </is>
      </c>
      <c r="F1763" t="n">
        <v>-0.0062223696399999</v>
      </c>
      <c r="G1763" t="n">
        <v>0.5896133290265336</v>
      </c>
      <c r="H1763" t="n">
        <v>0.0084410891784271</v>
      </c>
      <c r="I1763" t="n">
        <v>0.8119037890185645</v>
      </c>
      <c r="J1763" t="n">
        <v>0.0567286548972796</v>
      </c>
      <c r="K1763" t="n">
        <v>0.4869839826764207</v>
      </c>
      <c r="L1763" t="b">
        <v>0</v>
      </c>
      <c r="M1763" t="b">
        <v>0</v>
      </c>
      <c r="N1763" t="inlineStr">
        <is>
          <t>ref</t>
        </is>
      </c>
      <c r="O1763" t="n">
        <v>-100</v>
      </c>
      <c r="P1763" t="n">
        <v>0.0215</v>
      </c>
      <c r="Q1763" t="n">
        <v>75</v>
      </c>
      <c r="R1763" t="n">
        <v>0.01544</v>
      </c>
      <c r="S1763">
        <f>IMAGE("https://mitra.stanford.edu/kundaje/oak/projects/neuro-variants/variant_position/credible/roussos_2024/variant_figures/roussos_2024.childhood.GABA/rs17691556_count_position.png",4,220,900)</f>
        <v/>
      </c>
      <c r="T1763">
        <f>IMAGE("https://mitra.stanford.edu/kundaje/oak/projects/neuro-variants/variant_position/credible/roussos_2024/variant_figures/roussos_2024.childhood.GABA/rs17691556_profile_position.png",4,220,900)</f>
        <v/>
      </c>
    </row>
    <row r="1764">
      <c r="A1764" t="inlineStr">
        <is>
          <t>chr17</t>
        </is>
      </c>
      <c r="B1764" t="n">
        <v>45892742</v>
      </c>
      <c r="C1764" t="inlineStr">
        <is>
          <t>C</t>
        </is>
      </c>
      <c r="D1764" t="inlineStr">
        <is>
          <t>A</t>
        </is>
      </c>
      <c r="E1764" t="inlineStr">
        <is>
          <t>rs78729125</t>
        </is>
      </c>
      <c r="F1764" t="n">
        <v>-0.00537490596</v>
      </c>
      <c r="G1764" t="n">
        <v>0.7320451249653221</v>
      </c>
      <c r="H1764" t="n">
        <v>0.0257599971281674</v>
      </c>
      <c r="I1764" t="n">
        <v>0.0250262501898841</v>
      </c>
      <c r="J1764" t="n">
        <v>0.0162384033842222</v>
      </c>
      <c r="K1764" t="n">
        <v>0.6911092701292826</v>
      </c>
      <c r="L1764" t="b">
        <v>0</v>
      </c>
      <c r="M1764" t="b">
        <v>0</v>
      </c>
      <c r="N1764" t="inlineStr">
        <is>
          <t>ref</t>
        </is>
      </c>
      <c r="O1764" t="n">
        <v>-95</v>
      </c>
      <c r="P1764" t="n">
        <v>0.010345</v>
      </c>
      <c r="Q1764" t="n">
        <v>-65</v>
      </c>
      <c r="R1764" t="n">
        <v>0.0598</v>
      </c>
      <c r="S1764">
        <f>IMAGE("https://mitra.stanford.edu/kundaje/oak/projects/neuro-variants/variant_position/credible/roussos_2024/variant_figures/roussos_2024.childhood.GABA/rs78729125_count_position.png",4,220,900)</f>
        <v/>
      </c>
      <c r="T1764">
        <f>IMAGE("https://mitra.stanford.edu/kundaje/oak/projects/neuro-variants/variant_position/credible/roussos_2024/variant_figures/roussos_2024.childhood.GABA/rs78729125_profile_position.png",4,220,900)</f>
        <v/>
      </c>
    </row>
    <row r="1765">
      <c r="A1765" t="inlineStr">
        <is>
          <t>chr17</t>
        </is>
      </c>
      <c r="B1765" t="n">
        <v>45894419</v>
      </c>
      <c r="C1765" t="inlineStr">
        <is>
          <t>A</t>
        </is>
      </c>
      <c r="D1765" t="inlineStr">
        <is>
          <t>G</t>
        </is>
      </c>
      <c r="E1765" t="inlineStr">
        <is>
          <t>rs11575895</t>
        </is>
      </c>
      <c r="F1765" t="n">
        <v>-0.009935601800000001</v>
      </c>
      <c r="G1765" t="n">
        <v>0.4989318724933039</v>
      </c>
      <c r="H1765" t="n">
        <v>0.0336683714058567</v>
      </c>
      <c r="I1765" t="n">
        <v>0.008574801817714001</v>
      </c>
      <c r="J1765" t="n">
        <v>0.9653504638646312</v>
      </c>
      <c r="K1765" t="n">
        <v>0.0001197405845754</v>
      </c>
      <c r="L1765" t="b">
        <v>1</v>
      </c>
      <c r="M1765" t="b">
        <v>1</v>
      </c>
      <c r="N1765" t="inlineStr">
        <is>
          <t>ref</t>
        </is>
      </c>
      <c r="O1765" t="n">
        <v>-20</v>
      </c>
      <c r="P1765" t="n">
        <v>0.01794</v>
      </c>
      <c r="Q1765" t="n">
        <v>-15</v>
      </c>
      <c r="R1765" t="n">
        <v>0.08495999999999999</v>
      </c>
      <c r="S1765">
        <f>IMAGE("https://mitra.stanford.edu/kundaje/oak/projects/neuro-variants/variant_position/credible/roussos_2024/variant_figures/roussos_2024.childhood.GABA/rs11575895_count_position.png",4,220,900)</f>
        <v/>
      </c>
      <c r="T1765">
        <f>IMAGE("https://mitra.stanford.edu/kundaje/oak/projects/neuro-variants/variant_position/credible/roussos_2024/variant_figures/roussos_2024.childhood.GABA/rs11575895_profile_position.png",4,220,900)</f>
        <v/>
      </c>
    </row>
    <row r="1766">
      <c r="A1766" t="inlineStr">
        <is>
          <t>chr17</t>
        </is>
      </c>
      <c r="B1766" t="n">
        <v>45896533</v>
      </c>
      <c r="C1766" t="inlineStr">
        <is>
          <t>T</t>
        </is>
      </c>
      <c r="D1766" t="inlineStr">
        <is>
          <t>C</t>
        </is>
      </c>
      <c r="E1766" t="inlineStr">
        <is>
          <t>rs62056781</t>
        </is>
      </c>
      <c r="F1766" t="n">
        <v>0.1083056449999999</v>
      </c>
      <c r="G1766" t="n">
        <v>0.0226605910299966</v>
      </c>
      <c r="H1766" t="n">
        <v>0.0254762248006929</v>
      </c>
      <c r="I1766" t="n">
        <v>0.0282895134191699</v>
      </c>
      <c r="J1766" t="n">
        <v>0.8769491738392914</v>
      </c>
      <c r="K1766" t="n">
        <v>0.0027692120465848</v>
      </c>
      <c r="L1766" t="b">
        <v>0</v>
      </c>
      <c r="M1766" t="b">
        <v>0</v>
      </c>
      <c r="N1766" t="inlineStr">
        <is>
          <t>alt</t>
        </is>
      </c>
      <c r="O1766" t="n">
        <v>0</v>
      </c>
      <c r="P1766" t="n">
        <v>0</v>
      </c>
      <c r="Q1766" t="n">
        <v>45</v>
      </c>
      <c r="R1766" t="n">
        <v>0.2115</v>
      </c>
      <c r="S1766">
        <f>IMAGE("https://mitra.stanford.edu/kundaje/oak/projects/neuro-variants/variant_position/credible/roussos_2024/variant_figures/roussos_2024.childhood.GABA/rs62056781_count_position.png",4,220,900)</f>
        <v/>
      </c>
      <c r="T1766">
        <f>IMAGE("https://mitra.stanford.edu/kundaje/oak/projects/neuro-variants/variant_position/credible/roussos_2024/variant_figures/roussos_2024.childhood.GABA/rs62056781_profile_position.png",4,220,900)</f>
        <v/>
      </c>
    </row>
    <row r="1767">
      <c r="A1767" t="inlineStr">
        <is>
          <t>chr17</t>
        </is>
      </c>
      <c r="B1767" t="n">
        <v>45896864</v>
      </c>
      <c r="C1767" t="inlineStr">
        <is>
          <t>C</t>
        </is>
      </c>
      <c r="D1767" t="inlineStr">
        <is>
          <t>T</t>
        </is>
      </c>
      <c r="E1767" t="inlineStr">
        <is>
          <t>rs62056782</t>
        </is>
      </c>
      <c r="F1767" t="n">
        <v>0.08190069879999989</v>
      </c>
      <c r="G1767" t="n">
        <v>0.0624348325137983</v>
      </c>
      <c r="H1767" t="n">
        <v>0.0297626220497309</v>
      </c>
      <c r="I1767" t="n">
        <v>0.0244589591273906</v>
      </c>
      <c r="J1767" t="n">
        <v>0.8437163619610061</v>
      </c>
      <c r="K1767" t="n">
        <v>0.0043220788014561</v>
      </c>
      <c r="L1767" t="b">
        <v>0</v>
      </c>
      <c r="M1767" t="b">
        <v>0</v>
      </c>
      <c r="N1767" t="inlineStr">
        <is>
          <t>alt</t>
        </is>
      </c>
      <c r="O1767" t="n">
        <v>-75</v>
      </c>
      <c r="P1767" t="n">
        <v>0.007767</v>
      </c>
      <c r="Q1767" t="n">
        <v>-75</v>
      </c>
      <c r="R1767" t="n">
        <v>0.2634</v>
      </c>
      <c r="S1767">
        <f>IMAGE("https://mitra.stanford.edu/kundaje/oak/projects/neuro-variants/variant_position/credible/roussos_2024/variant_figures/roussos_2024.childhood.GABA/rs62056782_count_position.png",4,220,900)</f>
        <v/>
      </c>
      <c r="T1767">
        <f>IMAGE("https://mitra.stanford.edu/kundaje/oak/projects/neuro-variants/variant_position/credible/roussos_2024/variant_figures/roussos_2024.childhood.GABA/rs62056782_profile_position.png",4,220,900)</f>
        <v/>
      </c>
    </row>
    <row r="1768">
      <c r="A1768" t="inlineStr">
        <is>
          <t>chr17</t>
        </is>
      </c>
      <c r="B1768" t="n">
        <v>45897110</v>
      </c>
      <c r="C1768" t="inlineStr">
        <is>
          <t>G</t>
        </is>
      </c>
      <c r="D1768" t="inlineStr">
        <is>
          <t>T</t>
        </is>
      </c>
      <c r="E1768" t="inlineStr">
        <is>
          <t>rs80346216</t>
        </is>
      </c>
      <c r="F1768" t="n">
        <v>0.0798896588</v>
      </c>
      <c r="G1768" t="n">
        <v>0.0707992857297649</v>
      </c>
      <c r="H1768" t="n">
        <v>0.0260197226763445</v>
      </c>
      <c r="I1768" t="n">
        <v>0.0406421543269391</v>
      </c>
      <c r="J1768" t="n">
        <v>0.82705807208226</v>
      </c>
      <c r="K1768" t="n">
        <v>0.0050966263762908</v>
      </c>
      <c r="L1768" t="b">
        <v>0</v>
      </c>
      <c r="M1768" t="b">
        <v>0</v>
      </c>
      <c r="N1768" t="inlineStr">
        <is>
          <t>alt</t>
        </is>
      </c>
      <c r="O1768" t="n">
        <v>30</v>
      </c>
      <c r="P1768" t="n">
        <v>0.00375</v>
      </c>
      <c r="Q1768" t="n">
        <v>30</v>
      </c>
      <c r="R1768" t="n">
        <v>0.11005</v>
      </c>
      <c r="S1768">
        <f>IMAGE("https://mitra.stanford.edu/kundaje/oak/projects/neuro-variants/variant_position/credible/roussos_2024/variant_figures/roussos_2024.childhood.GABA/rs80346216_count_position.png",4,220,900)</f>
        <v/>
      </c>
      <c r="T1768">
        <f>IMAGE("https://mitra.stanford.edu/kundaje/oak/projects/neuro-variants/variant_position/credible/roussos_2024/variant_figures/roussos_2024.childhood.GABA/rs80346216_profile_position.png",4,220,900)</f>
        <v/>
      </c>
    </row>
    <row r="1769">
      <c r="A1769" t="inlineStr">
        <is>
          <t>chr17</t>
        </is>
      </c>
      <c r="B1769" t="n">
        <v>45897183</v>
      </c>
      <c r="C1769" t="inlineStr">
        <is>
          <t>G</t>
        </is>
      </c>
      <c r="D1769" t="inlineStr">
        <is>
          <t>C</t>
        </is>
      </c>
      <c r="E1769" t="inlineStr">
        <is>
          <t>rs62056783</t>
        </is>
      </c>
      <c r="F1769" t="n">
        <v>0.002974365016</v>
      </c>
      <c r="G1769" t="n">
        <v>0.8511491689192304</v>
      </c>
      <c r="H1769" t="n">
        <v>0.0118721487091774</v>
      </c>
      <c r="I1769" t="n">
        <v>0.4509714171199624</v>
      </c>
      <c r="J1769" t="n">
        <v>0.8067307490942598</v>
      </c>
      <c r="K1769" t="n">
        <v>0.0062468883999152</v>
      </c>
      <c r="L1769" t="b">
        <v>0</v>
      </c>
      <c r="M1769" t="b">
        <v>0</v>
      </c>
      <c r="N1769" t="inlineStr">
        <is>
          <t>alt</t>
        </is>
      </c>
      <c r="O1769" t="n">
        <v>-40</v>
      </c>
      <c r="P1769" t="n">
        <v>0.001963</v>
      </c>
      <c r="Q1769" t="n">
        <v>-40</v>
      </c>
      <c r="R1769" t="n">
        <v>0.0561</v>
      </c>
      <c r="S1769">
        <f>IMAGE("https://mitra.stanford.edu/kundaje/oak/projects/neuro-variants/variant_position/credible/roussos_2024/variant_figures/roussos_2024.childhood.GABA/rs62056783_count_position.png",4,220,900)</f>
        <v/>
      </c>
      <c r="T1769">
        <f>IMAGE("https://mitra.stanford.edu/kundaje/oak/projects/neuro-variants/variant_position/credible/roussos_2024/variant_figures/roussos_2024.childhood.GABA/rs62056783_profile_position.png",4,220,900)</f>
        <v/>
      </c>
    </row>
    <row r="1770">
      <c r="A1770" t="inlineStr">
        <is>
          <t>chr17</t>
        </is>
      </c>
      <c r="B1770" t="n">
        <v>45902138</v>
      </c>
      <c r="C1770" t="inlineStr">
        <is>
          <t>G</t>
        </is>
      </c>
      <c r="D1770" t="inlineStr">
        <is>
          <t>A</t>
        </is>
      </c>
      <c r="E1770" t="inlineStr">
        <is>
          <t>rs62056801</t>
        </is>
      </c>
      <c r="F1770" t="n">
        <v>-0.0292902858</v>
      </c>
      <c r="G1770" t="n">
        <v>0.3010860387998866</v>
      </c>
      <c r="H1770" t="n">
        <v>0.0106744292394401</v>
      </c>
      <c r="I1770" t="n">
        <v>0.5651035061059666</v>
      </c>
      <c r="J1770" t="n">
        <v>0.07790936315469819</v>
      </c>
      <c r="K1770" t="n">
        <v>0.4184908431071456</v>
      </c>
      <c r="L1770" t="b">
        <v>0</v>
      </c>
      <c r="M1770" t="b">
        <v>0</v>
      </c>
      <c r="N1770" t="inlineStr">
        <is>
          <t>ref</t>
        </is>
      </c>
      <c r="O1770" t="n">
        <v>-95</v>
      </c>
      <c r="P1770" t="n">
        <v>0.00983</v>
      </c>
      <c r="Q1770" t="n">
        <v>95</v>
      </c>
      <c r="R1770" t="n">
        <v>0.04175</v>
      </c>
      <c r="S1770">
        <f>IMAGE("https://mitra.stanford.edu/kundaje/oak/projects/neuro-variants/variant_position/credible/roussos_2024/variant_figures/roussos_2024.childhood.GABA/rs62056801_count_position.png",4,220,900)</f>
        <v/>
      </c>
      <c r="T1770">
        <f>IMAGE("https://mitra.stanford.edu/kundaje/oak/projects/neuro-variants/variant_position/credible/roussos_2024/variant_figures/roussos_2024.childhood.GABA/rs62056801_profile_position.png",4,220,900)</f>
        <v/>
      </c>
    </row>
    <row r="1771">
      <c r="A1771" t="inlineStr">
        <is>
          <t>chr17</t>
        </is>
      </c>
      <c r="B1771" t="n">
        <v>45903164</v>
      </c>
      <c r="C1771" t="inlineStr">
        <is>
          <t>A</t>
        </is>
      </c>
      <c r="D1771" t="inlineStr">
        <is>
          <t>C</t>
        </is>
      </c>
      <c r="E1771" t="inlineStr">
        <is>
          <t>rs1984937</t>
        </is>
      </c>
      <c r="F1771" t="n">
        <v>0.1165196479999999</v>
      </c>
      <c r="G1771" t="n">
        <v>0.0224650104315413</v>
      </c>
      <c r="H1771" t="n">
        <v>0.0195217306973944</v>
      </c>
      <c r="I1771" t="n">
        <v>0.08301454278016041</v>
      </c>
      <c r="J1771" t="n">
        <v>0.4238455739146823</v>
      </c>
      <c r="K1771" t="n">
        <v>0.07551373274878639</v>
      </c>
      <c r="L1771" t="b">
        <v>0</v>
      </c>
      <c r="M1771" t="b">
        <v>0</v>
      </c>
      <c r="N1771" t="inlineStr">
        <is>
          <t>alt</t>
        </is>
      </c>
      <c r="O1771" t="n">
        <v>-100</v>
      </c>
      <c r="P1771" t="n">
        <v>0.009599999999999999</v>
      </c>
      <c r="Q1771" t="n">
        <v>0</v>
      </c>
      <c r="R1771" t="n">
        <v>0</v>
      </c>
      <c r="S1771">
        <f>IMAGE("https://mitra.stanford.edu/kundaje/oak/projects/neuro-variants/variant_position/credible/roussos_2024/variant_figures/roussos_2024.childhood.GABA/rs1984937_count_position.png",4,220,900)</f>
        <v/>
      </c>
      <c r="T1771">
        <f>IMAGE("https://mitra.stanford.edu/kundaje/oak/projects/neuro-variants/variant_position/credible/roussos_2024/variant_figures/roussos_2024.childhood.GABA/rs1984937_profile_position.png",4,220,900)</f>
        <v/>
      </c>
    </row>
    <row r="1772">
      <c r="A1772" t="inlineStr">
        <is>
          <t>chr17</t>
        </is>
      </c>
      <c r="B1772" t="n">
        <v>45908231</v>
      </c>
      <c r="C1772" t="inlineStr">
        <is>
          <t>C</t>
        </is>
      </c>
      <c r="D1772" t="inlineStr">
        <is>
          <t>T</t>
        </is>
      </c>
      <c r="E1772" t="inlineStr">
        <is>
          <t>rs74509629</t>
        </is>
      </c>
      <c r="F1772" t="n">
        <v>-0.158325249</v>
      </c>
      <c r="G1772" t="n">
        <v>0.0111389014094021</v>
      </c>
      <c r="H1772" t="n">
        <v>0.0225804032260595</v>
      </c>
      <c r="I1772" t="n">
        <v>0.0515432310979231</v>
      </c>
      <c r="J1772" t="n">
        <v>0.5590291302799941</v>
      </c>
      <c r="K1772" t="n">
        <v>0.0372361076423394</v>
      </c>
      <c r="L1772" t="b">
        <v>1</v>
      </c>
      <c r="M1772" t="b">
        <v>0</v>
      </c>
      <c r="N1772" t="inlineStr">
        <is>
          <t>ref</t>
        </is>
      </c>
      <c r="O1772" t="n">
        <v>-55</v>
      </c>
      <c r="P1772" t="n">
        <v>0.002632</v>
      </c>
      <c r="Q1772" t="n">
        <v>30</v>
      </c>
      <c r="R1772" t="n">
        <v>0.02661</v>
      </c>
      <c r="S1772">
        <f>IMAGE("https://mitra.stanford.edu/kundaje/oak/projects/neuro-variants/variant_position/credible/roussos_2024/variant_figures/roussos_2024.childhood.GABA/rs74509629_count_position.png",4,220,900)</f>
        <v/>
      </c>
      <c r="T1772">
        <f>IMAGE("https://mitra.stanford.edu/kundaje/oak/projects/neuro-variants/variant_position/credible/roussos_2024/variant_figures/roussos_2024.childhood.GABA/rs74509629_profile_position.png",4,220,900)</f>
        <v/>
      </c>
    </row>
    <row r="1773">
      <c r="A1773" t="inlineStr">
        <is>
          <t>chr17</t>
        </is>
      </c>
      <c r="B1773" t="n">
        <v>45911721</v>
      </c>
      <c r="C1773" t="inlineStr">
        <is>
          <t>A</t>
        </is>
      </c>
      <c r="D1773" t="inlineStr">
        <is>
          <t>G</t>
        </is>
      </c>
      <c r="E1773" t="inlineStr">
        <is>
          <t>rs62056838</t>
        </is>
      </c>
      <c r="F1773" t="n">
        <v>0.1020838892</v>
      </c>
      <c r="G1773" t="n">
        <v>0.0270936143952383</v>
      </c>
      <c r="H1773" t="n">
        <v>0.0164308129460152</v>
      </c>
      <c r="I1773" t="n">
        <v>0.1642964437228156</v>
      </c>
      <c r="J1773" t="n">
        <v>0.1051475361772527</v>
      </c>
      <c r="K1773" t="n">
        <v>0.3472380251479003</v>
      </c>
      <c r="L1773" t="b">
        <v>0</v>
      </c>
      <c r="M1773" t="b">
        <v>0</v>
      </c>
      <c r="N1773" t="inlineStr">
        <is>
          <t>alt</t>
        </is>
      </c>
      <c r="O1773" t="n">
        <v>5</v>
      </c>
      <c r="P1773" t="n">
        <v>0.000717</v>
      </c>
      <c r="Q1773" t="n">
        <v>-30</v>
      </c>
      <c r="R1773" t="n">
        <v>0.02274</v>
      </c>
      <c r="S1773">
        <f>IMAGE("https://mitra.stanford.edu/kundaje/oak/projects/neuro-variants/variant_position/credible/roussos_2024/variant_figures/roussos_2024.childhood.GABA/rs62056838_count_position.png",4,220,900)</f>
        <v/>
      </c>
      <c r="T1773">
        <f>IMAGE("https://mitra.stanford.edu/kundaje/oak/projects/neuro-variants/variant_position/credible/roussos_2024/variant_figures/roussos_2024.childhood.GABA/rs62056838_profile_position.png",4,220,900)</f>
        <v/>
      </c>
    </row>
    <row r="1774">
      <c r="A1774" t="inlineStr">
        <is>
          <t>chr17</t>
        </is>
      </c>
      <c r="B1774" t="n">
        <v>45914415</v>
      </c>
      <c r="C1774" t="inlineStr">
        <is>
          <t>G</t>
        </is>
      </c>
      <c r="D1774" t="inlineStr">
        <is>
          <t>T</t>
        </is>
      </c>
      <c r="E1774" t="inlineStr">
        <is>
          <t>rs17564020</t>
        </is>
      </c>
      <c r="F1774" t="n">
        <v>-0.00946885792</v>
      </c>
      <c r="G1774" t="n">
        <v>0.5338466188206218</v>
      </c>
      <c r="H1774" t="n">
        <v>0.007885755996566299</v>
      </c>
      <c r="I1774" t="n">
        <v>0.8562685256491349</v>
      </c>
      <c r="J1774" t="n">
        <v>0.3029842306967393</v>
      </c>
      <c r="K1774" t="n">
        <v>0.1351134476786303</v>
      </c>
      <c r="L1774" t="b">
        <v>0</v>
      </c>
      <c r="M1774" t="b">
        <v>0</v>
      </c>
      <c r="N1774" t="inlineStr">
        <is>
          <t>ref</t>
        </is>
      </c>
      <c r="O1774" t="n">
        <v>100</v>
      </c>
      <c r="P1774" t="n">
        <v>0.01752</v>
      </c>
      <c r="Q1774" t="n">
        <v>90</v>
      </c>
      <c r="R1774" t="n">
        <v>0.1654</v>
      </c>
      <c r="S1774">
        <f>IMAGE("https://mitra.stanford.edu/kundaje/oak/projects/neuro-variants/variant_position/credible/roussos_2024/variant_figures/roussos_2024.childhood.GABA/rs17564020_count_position.png",4,220,900)</f>
        <v/>
      </c>
      <c r="T1774">
        <f>IMAGE("https://mitra.stanford.edu/kundaje/oak/projects/neuro-variants/variant_position/credible/roussos_2024/variant_figures/roussos_2024.childhood.GABA/rs17564020_profile_position.png",4,220,900)</f>
        <v/>
      </c>
    </row>
    <row r="1775">
      <c r="A1775" t="inlineStr">
        <is>
          <t>chr17</t>
        </is>
      </c>
      <c r="B1775" t="n">
        <v>45914522</v>
      </c>
      <c r="C1775" t="inlineStr">
        <is>
          <t>G</t>
        </is>
      </c>
      <c r="D1775" t="inlineStr">
        <is>
          <t>A</t>
        </is>
      </c>
      <c r="E1775" t="inlineStr">
        <is>
          <t>rs55682376</t>
        </is>
      </c>
      <c r="F1775" t="n">
        <v>0.0248053354</v>
      </c>
      <c r="G1775" t="n">
        <v>0.3421165721790071</v>
      </c>
      <c r="H1775" t="n">
        <v>0.0108935887434141</v>
      </c>
      <c r="I1775" t="n">
        <v>0.537281213004452</v>
      </c>
      <c r="J1775" t="n">
        <v>0.3435802391572952</v>
      </c>
      <c r="K1775" t="n">
        <v>0.1120586518044622</v>
      </c>
      <c r="L1775" t="b">
        <v>0</v>
      </c>
      <c r="M1775" t="b">
        <v>0</v>
      </c>
      <c r="N1775" t="inlineStr">
        <is>
          <t>alt</t>
        </is>
      </c>
      <c r="O1775" t="n">
        <v>100</v>
      </c>
      <c r="P1775" t="n">
        <v>0.0274</v>
      </c>
      <c r="Q1775" t="n">
        <v>-15</v>
      </c>
      <c r="R1775" t="n">
        <v>0.01978</v>
      </c>
      <c r="S1775">
        <f>IMAGE("https://mitra.stanford.edu/kundaje/oak/projects/neuro-variants/variant_position/credible/roussos_2024/variant_figures/roussos_2024.childhood.GABA/rs55682376_count_position.png",4,220,900)</f>
        <v/>
      </c>
      <c r="T1775">
        <f>IMAGE("https://mitra.stanford.edu/kundaje/oak/projects/neuro-variants/variant_position/credible/roussos_2024/variant_figures/roussos_2024.childhood.GABA/rs55682376_profile_position.png",4,220,900)</f>
        <v/>
      </c>
    </row>
    <row r="1776">
      <c r="A1776" t="inlineStr">
        <is>
          <t>chr17</t>
        </is>
      </c>
      <c r="B1776" t="n">
        <v>45915090</v>
      </c>
      <c r="C1776" t="inlineStr">
        <is>
          <t>G</t>
        </is>
      </c>
      <c r="D1776" t="inlineStr">
        <is>
          <t>A</t>
        </is>
      </c>
      <c r="E1776" t="inlineStr">
        <is>
          <t>rs62056848</t>
        </is>
      </c>
      <c r="F1776" t="n">
        <v>-0.1114569638</v>
      </c>
      <c r="G1776" t="n">
        <v>0.0250544059773201</v>
      </c>
      <c r="H1776" t="n">
        <v>0.0137997377749512</v>
      </c>
      <c r="I1776" t="n">
        <v>0.2968678418576735</v>
      </c>
      <c r="J1776" t="n">
        <v>0.3751816715880295</v>
      </c>
      <c r="K1776" t="n">
        <v>0.0967409898452912</v>
      </c>
      <c r="L1776" t="b">
        <v>0</v>
      </c>
      <c r="M1776" t="b">
        <v>0</v>
      </c>
      <c r="N1776" t="inlineStr">
        <is>
          <t>ref</t>
        </is>
      </c>
      <c r="O1776" t="n">
        <v>-100</v>
      </c>
      <c r="P1776" t="n">
        <v>0.004913</v>
      </c>
      <c r="Q1776" t="n">
        <v>95</v>
      </c>
      <c r="R1776" t="n">
        <v>0.0464</v>
      </c>
      <c r="S1776">
        <f>IMAGE("https://mitra.stanford.edu/kundaje/oak/projects/neuro-variants/variant_position/credible/roussos_2024/variant_figures/roussos_2024.childhood.GABA/rs62056848_count_position.png",4,220,900)</f>
        <v/>
      </c>
      <c r="T1776">
        <f>IMAGE("https://mitra.stanford.edu/kundaje/oak/projects/neuro-variants/variant_position/credible/roussos_2024/variant_figures/roussos_2024.childhood.GABA/rs62056848_profile_position.png",4,220,900)</f>
        <v/>
      </c>
    </row>
    <row r="1777">
      <c r="A1777" t="inlineStr">
        <is>
          <t>chr17</t>
        </is>
      </c>
      <c r="B1777" t="n">
        <v>45915097</v>
      </c>
      <c r="C1777" t="inlineStr">
        <is>
          <t>G</t>
        </is>
      </c>
      <c r="D1777" t="inlineStr">
        <is>
          <t>C</t>
        </is>
      </c>
      <c r="E1777" t="inlineStr">
        <is>
          <t>rs62056849</t>
        </is>
      </c>
      <c r="F1777" t="n">
        <v>0.106648967</v>
      </c>
      <c r="G1777" t="n">
        <v>0.0273088118064156</v>
      </c>
      <c r="H1777" t="n">
        <v>0.0140504355108001</v>
      </c>
      <c r="I1777" t="n">
        <v>0.2694008149752256</v>
      </c>
      <c r="J1777" t="n">
        <v>0.4167273983790915</v>
      </c>
      <c r="K1777" t="n">
        <v>0.07943767076927249</v>
      </c>
      <c r="L1777" t="b">
        <v>0</v>
      </c>
      <c r="M1777" t="b">
        <v>0</v>
      </c>
      <c r="N1777" t="inlineStr">
        <is>
          <t>alt</t>
        </is>
      </c>
      <c r="O1777" t="n">
        <v>-75</v>
      </c>
      <c r="P1777" t="n">
        <v>0.00406</v>
      </c>
      <c r="Q1777" t="n">
        <v>20</v>
      </c>
      <c r="R1777" t="n">
        <v>0.0337</v>
      </c>
      <c r="S1777">
        <f>IMAGE("https://mitra.stanford.edu/kundaje/oak/projects/neuro-variants/variant_position/credible/roussos_2024/variant_figures/roussos_2024.childhood.GABA/rs62056849_count_position.png",4,220,900)</f>
        <v/>
      </c>
      <c r="T1777">
        <f>IMAGE("https://mitra.stanford.edu/kundaje/oak/projects/neuro-variants/variant_position/credible/roussos_2024/variant_figures/roussos_2024.childhood.GABA/rs62056849_profile_position.png",4,220,900)</f>
        <v/>
      </c>
    </row>
    <row r="1778">
      <c r="A1778" t="inlineStr">
        <is>
          <t>chr17</t>
        </is>
      </c>
      <c r="B1778" t="n">
        <v>45920535</v>
      </c>
      <c r="C1778" t="inlineStr">
        <is>
          <t>G</t>
        </is>
      </c>
      <c r="D1778" t="inlineStr">
        <is>
          <t>C</t>
        </is>
      </c>
      <c r="E1778" t="inlineStr">
        <is>
          <t>rs17649700</t>
        </is>
      </c>
      <c r="F1778" t="n">
        <v>-0.0068282316</v>
      </c>
      <c r="G1778" t="n">
        <v>0.7163328537669151</v>
      </c>
      <c r="H1778" t="n">
        <v>0.009338406885616201</v>
      </c>
      <c r="I1778" t="n">
        <v>0.7175533022607594</v>
      </c>
      <c r="J1778" t="n">
        <v>0.2637400263868819</v>
      </c>
      <c r="K1778" t="n">
        <v>0.162638875285094</v>
      </c>
      <c r="L1778" t="b">
        <v>0</v>
      </c>
      <c r="M1778" t="b">
        <v>0</v>
      </c>
      <c r="N1778" t="inlineStr">
        <is>
          <t>ref</t>
        </is>
      </c>
      <c r="O1778" t="n">
        <v>-100</v>
      </c>
      <c r="P1778" t="n">
        <v>0.005253</v>
      </c>
      <c r="Q1778" t="n">
        <v>70</v>
      </c>
      <c r="R1778" t="n">
        <v>0.04916</v>
      </c>
      <c r="S1778">
        <f>IMAGE("https://mitra.stanford.edu/kundaje/oak/projects/neuro-variants/variant_position/credible/roussos_2024/variant_figures/roussos_2024.childhood.GABA/rs17649700_count_position.png",4,220,900)</f>
        <v/>
      </c>
      <c r="T1778">
        <f>IMAGE("https://mitra.stanford.edu/kundaje/oak/projects/neuro-variants/variant_position/credible/roussos_2024/variant_figures/roussos_2024.childhood.GABA/rs17649700_profile_position.png",4,220,900)</f>
        <v/>
      </c>
    </row>
    <row r="1779">
      <c r="A1779" t="inlineStr">
        <is>
          <t>chr17</t>
        </is>
      </c>
      <c r="B1779" t="n">
        <v>45922868</v>
      </c>
      <c r="C1779" t="inlineStr">
        <is>
          <t>A</t>
        </is>
      </c>
      <c r="D1779" t="inlineStr">
        <is>
          <t>T</t>
        </is>
      </c>
      <c r="E1779" t="inlineStr">
        <is>
          <t>rs8079501</t>
        </is>
      </c>
      <c r="F1779" t="n">
        <v>0.0029783944199999</v>
      </c>
      <c r="G1779" t="n">
        <v>0.7579779226141191</v>
      </c>
      <c r="H1779" t="n">
        <v>0.0152205247746065</v>
      </c>
      <c r="I1779" t="n">
        <v>0.2134851275329486</v>
      </c>
      <c r="J1779" t="n">
        <v>0.1660164185043244</v>
      </c>
      <c r="K1779" t="n">
        <v>0.2560662457393566</v>
      </c>
      <c r="L1779" t="b">
        <v>0</v>
      </c>
      <c r="M1779" t="b">
        <v>0</v>
      </c>
      <c r="N1779" t="inlineStr">
        <is>
          <t>alt</t>
        </is>
      </c>
      <c r="O1779" t="n">
        <v>60</v>
      </c>
      <c r="P1779" t="n">
        <v>0.003296</v>
      </c>
      <c r="Q1779" t="n">
        <v>60</v>
      </c>
      <c r="R1779" t="n">
        <v>0.02489</v>
      </c>
      <c r="S1779">
        <f>IMAGE("https://mitra.stanford.edu/kundaje/oak/projects/neuro-variants/variant_position/credible/roussos_2024/variant_figures/roussos_2024.childhood.GABA/rs8079501_count_position.png",4,220,900)</f>
        <v/>
      </c>
      <c r="T1779">
        <f>IMAGE("https://mitra.stanford.edu/kundaje/oak/projects/neuro-variants/variant_position/credible/roussos_2024/variant_figures/roussos_2024.childhood.GABA/rs8079501_profile_position.png",4,220,900)</f>
        <v/>
      </c>
    </row>
    <row r="1780">
      <c r="A1780" t="inlineStr">
        <is>
          <t>chr17</t>
        </is>
      </c>
      <c r="B1780" t="n">
        <v>45924591</v>
      </c>
      <c r="C1780" t="inlineStr">
        <is>
          <t>T</t>
        </is>
      </c>
      <c r="D1780" t="inlineStr">
        <is>
          <t>G</t>
        </is>
      </c>
      <c r="E1780" t="inlineStr">
        <is>
          <t>rs55685451</t>
        </is>
      </c>
      <c r="F1780" t="n">
        <v>0.0181257661999999</v>
      </c>
      <c r="G1780" t="n">
        <v>0.4283411569781731</v>
      </c>
      <c r="H1780" t="n">
        <v>0.0097068928659163</v>
      </c>
      <c r="I1780" t="n">
        <v>0.6756964011967543</v>
      </c>
      <c r="J1780" t="n">
        <v>0.2886620175493706</v>
      </c>
      <c r="K1780" t="n">
        <v>0.1448280612157859</v>
      </c>
      <c r="L1780" t="b">
        <v>0</v>
      </c>
      <c r="M1780" t="b">
        <v>0</v>
      </c>
      <c r="N1780" t="inlineStr">
        <is>
          <t>alt</t>
        </is>
      </c>
      <c r="O1780" t="n">
        <v>-45</v>
      </c>
      <c r="P1780" t="n">
        <v>0.008095</v>
      </c>
      <c r="Q1780" t="n">
        <v>-65</v>
      </c>
      <c r="R1780" t="n">
        <v>0.1641</v>
      </c>
      <c r="S1780">
        <f>IMAGE("https://mitra.stanford.edu/kundaje/oak/projects/neuro-variants/variant_position/credible/roussos_2024/variant_figures/roussos_2024.childhood.GABA/rs55685451_count_position.png",4,220,900)</f>
        <v/>
      </c>
      <c r="T1780">
        <f>IMAGE("https://mitra.stanford.edu/kundaje/oak/projects/neuro-variants/variant_position/credible/roussos_2024/variant_figures/roussos_2024.childhood.GABA/rs55685451_profile_position.png",4,220,900)</f>
        <v/>
      </c>
    </row>
    <row r="1781">
      <c r="A1781" t="inlineStr">
        <is>
          <t>chr17</t>
        </is>
      </c>
      <c r="B1781" t="n">
        <v>45928047</v>
      </c>
      <c r="C1781" t="inlineStr">
        <is>
          <t>A</t>
        </is>
      </c>
      <c r="D1781" t="inlineStr">
        <is>
          <t>G</t>
        </is>
      </c>
      <c r="E1781" t="inlineStr">
        <is>
          <t>rs17564780</t>
        </is>
      </c>
      <c r="F1781" t="n">
        <v>0.02324351016</v>
      </c>
      <c r="G1781" t="n">
        <v>0.3758745353062481</v>
      </c>
      <c r="H1781" t="n">
        <v>0.0152961188137415</v>
      </c>
      <c r="I1781" t="n">
        <v>0.2079035688447266</v>
      </c>
      <c r="J1781" t="n">
        <v>0.07082155347531981</v>
      </c>
      <c r="K1781" t="n">
        <v>0.4410994145421119</v>
      </c>
      <c r="L1781" t="b">
        <v>0</v>
      </c>
      <c r="M1781" t="b">
        <v>0</v>
      </c>
      <c r="N1781" t="inlineStr">
        <is>
          <t>alt</t>
        </is>
      </c>
      <c r="O1781" t="n">
        <v>-85</v>
      </c>
      <c r="P1781" t="n">
        <v>0.021</v>
      </c>
      <c r="Q1781" t="n">
        <v>-60</v>
      </c>
      <c r="R1781" t="n">
        <v>0.01819</v>
      </c>
      <c r="S1781">
        <f>IMAGE("https://mitra.stanford.edu/kundaje/oak/projects/neuro-variants/variant_position/credible/roussos_2024/variant_figures/roussos_2024.childhood.GABA/rs17564780_count_position.png",4,220,900)</f>
        <v/>
      </c>
      <c r="T1781">
        <f>IMAGE("https://mitra.stanford.edu/kundaje/oak/projects/neuro-variants/variant_position/credible/roussos_2024/variant_figures/roussos_2024.childhood.GABA/rs17564780_profile_position.png",4,220,900)</f>
        <v/>
      </c>
    </row>
    <row r="1782">
      <c r="A1782" t="inlineStr">
        <is>
          <t>chr17</t>
        </is>
      </c>
      <c r="B1782" t="n">
        <v>45933086</v>
      </c>
      <c r="C1782" t="inlineStr">
        <is>
          <t>C</t>
        </is>
      </c>
      <c r="D1782" t="inlineStr">
        <is>
          <t>A</t>
        </is>
      </c>
      <c r="E1782" t="inlineStr">
        <is>
          <t>rs62061714</t>
        </is>
      </c>
      <c r="F1782" t="n">
        <v>0.00602077262</v>
      </c>
      <c r="G1782" t="n">
        <v>0.7499049248391141</v>
      </c>
      <c r="H1782" t="n">
        <v>0.0248348933396318</v>
      </c>
      <c r="I1782" t="n">
        <v>0.0292773623560151</v>
      </c>
      <c r="J1782" t="n">
        <v>0.0303867981822369</v>
      </c>
      <c r="K1782" t="n">
        <v>0.5873028905427463</v>
      </c>
      <c r="L1782" t="b">
        <v>0</v>
      </c>
      <c r="M1782" t="b">
        <v>0</v>
      </c>
      <c r="N1782" t="inlineStr">
        <is>
          <t>alt</t>
        </is>
      </c>
      <c r="O1782" t="n">
        <v>100</v>
      </c>
      <c r="P1782" t="n">
        <v>0.01561</v>
      </c>
      <c r="Q1782" t="n">
        <v>-20</v>
      </c>
      <c r="R1782" t="n">
        <v>0.0663</v>
      </c>
      <c r="S1782">
        <f>IMAGE("https://mitra.stanford.edu/kundaje/oak/projects/neuro-variants/variant_position/credible/roussos_2024/variant_figures/roussos_2024.childhood.GABA/rs62061714_count_position.png",4,220,900)</f>
        <v/>
      </c>
      <c r="T1782">
        <f>IMAGE("https://mitra.stanford.edu/kundaje/oak/projects/neuro-variants/variant_position/credible/roussos_2024/variant_figures/roussos_2024.childhood.GABA/rs62061714_profile_position.png",4,220,900)</f>
        <v/>
      </c>
    </row>
    <row r="1783">
      <c r="A1783" t="inlineStr">
        <is>
          <t>chr17</t>
        </is>
      </c>
      <c r="B1783" t="n">
        <v>45934730</v>
      </c>
      <c r="C1783" t="inlineStr">
        <is>
          <t>A</t>
        </is>
      </c>
      <c r="D1783" t="inlineStr">
        <is>
          <t>G</t>
        </is>
      </c>
      <c r="E1783" t="inlineStr">
        <is>
          <t>rs62061716</t>
        </is>
      </c>
      <c r="F1783" t="n">
        <v>0.02203177772</v>
      </c>
      <c r="G1783" t="n">
        <v>0.3946456595677504</v>
      </c>
      <c r="H1783" t="n">
        <v>0.0126138277023601</v>
      </c>
      <c r="I1783" t="n">
        <v>0.3634175548711951</v>
      </c>
      <c r="J1783" t="n">
        <v>0.350161253167473</v>
      </c>
      <c r="K1783" t="n">
        <v>0.1099276832036711</v>
      </c>
      <c r="L1783" t="b">
        <v>0</v>
      </c>
      <c r="M1783" t="b">
        <v>0</v>
      </c>
      <c r="N1783" t="inlineStr">
        <is>
          <t>alt</t>
        </is>
      </c>
      <c r="O1783" t="n">
        <v>-100</v>
      </c>
      <c r="P1783" t="n">
        <v>0.01019</v>
      </c>
      <c r="Q1783" t="n">
        <v>-100</v>
      </c>
      <c r="R1783" t="n">
        <v>0.1558</v>
      </c>
      <c r="S1783">
        <f>IMAGE("https://mitra.stanford.edu/kundaje/oak/projects/neuro-variants/variant_position/credible/roussos_2024/variant_figures/roussos_2024.childhood.GABA/rs62061716_count_position.png",4,220,900)</f>
        <v/>
      </c>
      <c r="T1783">
        <f>IMAGE("https://mitra.stanford.edu/kundaje/oak/projects/neuro-variants/variant_position/credible/roussos_2024/variant_figures/roussos_2024.childhood.GABA/rs62061716_profile_position.png",4,220,900)</f>
        <v/>
      </c>
    </row>
    <row r="1784">
      <c r="A1784" t="inlineStr">
        <is>
          <t>chr17</t>
        </is>
      </c>
      <c r="B1784" t="n">
        <v>45935549</v>
      </c>
      <c r="C1784" t="inlineStr">
        <is>
          <t>T</t>
        </is>
      </c>
      <c r="D1784" t="inlineStr">
        <is>
          <t>C</t>
        </is>
      </c>
      <c r="E1784" t="inlineStr">
        <is>
          <t>rs77924424</t>
        </is>
      </c>
      <c r="F1784" t="n">
        <v>0.0529686332</v>
      </c>
      <c r="G1784" t="n">
        <v>0.1216374296225114</v>
      </c>
      <c r="H1784" t="n">
        <v>0.0144095625018257</v>
      </c>
      <c r="I1784" t="n">
        <v>0.2544500215465711</v>
      </c>
      <c r="J1784" t="n">
        <v>0.4186310234340641</v>
      </c>
      <c r="K1784" t="n">
        <v>0.07807248470912929</v>
      </c>
      <c r="L1784" t="b">
        <v>0</v>
      </c>
      <c r="M1784" t="b">
        <v>0</v>
      </c>
      <c r="N1784" t="inlineStr">
        <is>
          <t>alt</t>
        </is>
      </c>
      <c r="O1784" t="n">
        <v>-55</v>
      </c>
      <c r="P1784" t="n">
        <v>0.002243</v>
      </c>
      <c r="Q1784" t="n">
        <v>-55</v>
      </c>
      <c r="R1784" t="n">
        <v>0.007812</v>
      </c>
      <c r="S1784">
        <f>IMAGE("https://mitra.stanford.edu/kundaje/oak/projects/neuro-variants/variant_position/credible/roussos_2024/variant_figures/roussos_2024.childhood.GABA/rs77924424_count_position.png",4,220,900)</f>
        <v/>
      </c>
      <c r="T1784">
        <f>IMAGE("https://mitra.stanford.edu/kundaje/oak/projects/neuro-variants/variant_position/credible/roussos_2024/variant_figures/roussos_2024.childhood.GABA/rs77924424_profile_position.png",4,220,900)</f>
        <v/>
      </c>
    </row>
    <row r="1785">
      <c r="A1785" t="inlineStr">
        <is>
          <t>chr17</t>
        </is>
      </c>
      <c r="B1785" t="n">
        <v>45935823</v>
      </c>
      <c r="C1785" t="inlineStr">
        <is>
          <t>C</t>
        </is>
      </c>
      <c r="D1785" t="inlineStr">
        <is>
          <t>T</t>
        </is>
      </c>
      <c r="E1785" t="inlineStr">
        <is>
          <t>rs62061720</t>
        </is>
      </c>
      <c r="F1785" t="n">
        <v>0.0419684387999999</v>
      </c>
      <c r="G1785" t="n">
        <v>0.1872564242576126</v>
      </c>
      <c r="H1785" t="n">
        <v>0.0188470929079371</v>
      </c>
      <c r="I1785" t="n">
        <v>0.0998374133951149</v>
      </c>
      <c r="J1785" t="n">
        <v>0.3283774161797658</v>
      </c>
      <c r="K1785" t="n">
        <v>0.1206071327350294</v>
      </c>
      <c r="L1785" t="b">
        <v>0</v>
      </c>
      <c r="M1785" t="b">
        <v>0</v>
      </c>
      <c r="N1785" t="inlineStr">
        <is>
          <t>alt</t>
        </is>
      </c>
      <c r="O1785" t="n">
        <v>-100</v>
      </c>
      <c r="P1785" t="n">
        <v>0.009094</v>
      </c>
      <c r="Q1785" t="n">
        <v>-85</v>
      </c>
      <c r="R1785" t="n">
        <v>0.1595</v>
      </c>
      <c r="S1785">
        <f>IMAGE("https://mitra.stanford.edu/kundaje/oak/projects/neuro-variants/variant_position/credible/roussos_2024/variant_figures/roussos_2024.childhood.GABA/rs62061720_count_position.png",4,220,900)</f>
        <v/>
      </c>
      <c r="T1785">
        <f>IMAGE("https://mitra.stanford.edu/kundaje/oak/projects/neuro-variants/variant_position/credible/roussos_2024/variant_figures/roussos_2024.childhood.GABA/rs62061720_profile_position.png",4,220,900)</f>
        <v/>
      </c>
    </row>
    <row r="1786">
      <c r="A1786" t="inlineStr">
        <is>
          <t>chr17</t>
        </is>
      </c>
      <c r="B1786" t="n">
        <v>45936771</v>
      </c>
      <c r="C1786" t="inlineStr">
        <is>
          <t>G</t>
        </is>
      </c>
      <c r="D1786" t="inlineStr">
        <is>
          <t>T</t>
        </is>
      </c>
      <c r="E1786" t="inlineStr">
        <is>
          <t>rs12150460</t>
        </is>
      </c>
      <c r="F1786" t="n">
        <v>0.1128313088</v>
      </c>
      <c r="G1786" t="n">
        <v>0.021824956444345</v>
      </c>
      <c r="H1786" t="n">
        <v>0.0269624974906971</v>
      </c>
      <c r="I1786" t="n">
        <v>0.0206917037402754</v>
      </c>
      <c r="J1786" t="n">
        <v>0.2297920462398692</v>
      </c>
      <c r="K1786" t="n">
        <v>0.1908755133561735</v>
      </c>
      <c r="L1786" t="b">
        <v>0</v>
      </c>
      <c r="M1786" t="b">
        <v>0</v>
      </c>
      <c r="N1786" t="inlineStr">
        <is>
          <t>alt</t>
        </is>
      </c>
      <c r="O1786" t="n">
        <v>-70</v>
      </c>
      <c r="P1786" t="n">
        <v>0.00609</v>
      </c>
      <c r="Q1786" t="n">
        <v>-70</v>
      </c>
      <c r="R1786" t="n">
        <v>0.02612</v>
      </c>
      <c r="S1786">
        <f>IMAGE("https://mitra.stanford.edu/kundaje/oak/projects/neuro-variants/variant_position/credible/roussos_2024/variant_figures/roussos_2024.childhood.GABA/rs12150460_count_position.png",4,220,900)</f>
        <v/>
      </c>
      <c r="T1786">
        <f>IMAGE("https://mitra.stanford.edu/kundaje/oak/projects/neuro-variants/variant_position/credible/roussos_2024/variant_figures/roussos_2024.childhood.GABA/rs12150460_profile_position.png",4,220,900)</f>
        <v/>
      </c>
    </row>
    <row r="1787">
      <c r="A1787" t="inlineStr">
        <is>
          <t>chr17</t>
        </is>
      </c>
      <c r="B1787" t="n">
        <v>45940575</v>
      </c>
      <c r="C1787" t="inlineStr">
        <is>
          <t>G</t>
        </is>
      </c>
      <c r="D1787" t="inlineStr">
        <is>
          <t>T</t>
        </is>
      </c>
      <c r="E1787" t="inlineStr">
        <is>
          <t>rs62061732</t>
        </is>
      </c>
      <c r="F1787" t="n">
        <v>0.0318587542</v>
      </c>
      <c r="G1787" t="n">
        <v>0.2687898374699815</v>
      </c>
      <c r="H1787" t="n">
        <v>0.0148740542083113</v>
      </c>
      <c r="I1787" t="n">
        <v>0.2292148590353441</v>
      </c>
      <c r="J1787" t="n">
        <v>0.2366599652363301</v>
      </c>
      <c r="K1787" t="n">
        <v>0.1824959350099886</v>
      </c>
      <c r="L1787" t="b">
        <v>0</v>
      </c>
      <c r="M1787" t="b">
        <v>0</v>
      </c>
      <c r="N1787" t="inlineStr">
        <is>
          <t>alt</t>
        </is>
      </c>
      <c r="O1787" t="n">
        <v>85</v>
      </c>
      <c r="P1787" t="n">
        <v>0.0181</v>
      </c>
      <c r="Q1787" t="n">
        <v>-5</v>
      </c>
      <c r="R1787" t="n">
        <v>0.01184</v>
      </c>
      <c r="S1787">
        <f>IMAGE("https://mitra.stanford.edu/kundaje/oak/projects/neuro-variants/variant_position/credible/roussos_2024/variant_figures/roussos_2024.childhood.GABA/rs62061732_count_position.png",4,220,900)</f>
        <v/>
      </c>
      <c r="T1787">
        <f>IMAGE("https://mitra.stanford.edu/kundaje/oak/projects/neuro-variants/variant_position/credible/roussos_2024/variant_figures/roussos_2024.childhood.GABA/rs62061732_profile_position.png",4,220,900)</f>
        <v/>
      </c>
    </row>
    <row r="1788">
      <c r="A1788" t="inlineStr">
        <is>
          <t>chr17</t>
        </is>
      </c>
      <c r="B1788" t="n">
        <v>45941033</v>
      </c>
      <c r="C1788" t="inlineStr">
        <is>
          <t>A</t>
        </is>
      </c>
      <c r="D1788" t="inlineStr">
        <is>
          <t>G</t>
        </is>
      </c>
      <c r="E1788" t="inlineStr">
        <is>
          <t>rs62061733</t>
        </is>
      </c>
      <c r="F1788" t="n">
        <v>-0.0454656548</v>
      </c>
      <c r="G1788" t="n">
        <v>0.1815749182520309</v>
      </c>
      <c r="H1788" t="n">
        <v>0.0196919168830146</v>
      </c>
      <c r="I1788" t="n">
        <v>0.0820177572580682</v>
      </c>
      <c r="J1788" t="n">
        <v>0.2352484764716969</v>
      </c>
      <c r="K1788" t="n">
        <v>0.1846600554845757</v>
      </c>
      <c r="L1788" t="b">
        <v>0</v>
      </c>
      <c r="M1788" t="b">
        <v>0</v>
      </c>
      <c r="N1788" t="inlineStr">
        <is>
          <t>ref</t>
        </is>
      </c>
      <c r="O1788" t="n">
        <v>100</v>
      </c>
      <c r="P1788" t="n">
        <v>0.02872</v>
      </c>
      <c r="Q1788" t="n">
        <v>30</v>
      </c>
      <c r="R1788" t="n">
        <v>0.1669</v>
      </c>
      <c r="S1788">
        <f>IMAGE("https://mitra.stanford.edu/kundaje/oak/projects/neuro-variants/variant_position/credible/roussos_2024/variant_figures/roussos_2024.childhood.GABA/rs62061733_count_position.png",4,220,900)</f>
        <v/>
      </c>
      <c r="T1788">
        <f>IMAGE("https://mitra.stanford.edu/kundaje/oak/projects/neuro-variants/variant_position/credible/roussos_2024/variant_figures/roussos_2024.childhood.GABA/rs62061733_profile_position.png",4,220,900)</f>
        <v/>
      </c>
    </row>
    <row r="1789">
      <c r="A1789" t="inlineStr">
        <is>
          <t>chr17</t>
        </is>
      </c>
      <c r="B1789" t="n">
        <v>45942314</v>
      </c>
      <c r="C1789" t="inlineStr">
        <is>
          <t>T</t>
        </is>
      </c>
      <c r="D1789" t="inlineStr">
        <is>
          <t>C</t>
        </is>
      </c>
      <c r="E1789" t="inlineStr">
        <is>
          <t>rs62062770</t>
        </is>
      </c>
      <c r="F1789" t="n">
        <v>0.00998982164</v>
      </c>
      <c r="G1789" t="n">
        <v>0.6184027063605183</v>
      </c>
      <c r="H1789" t="n">
        <v>0.0110350533820442</v>
      </c>
      <c r="I1789" t="n">
        <v>0.5321743650311787</v>
      </c>
      <c r="J1789" t="n">
        <v>0.2475005759041695</v>
      </c>
      <c r="K1789" t="n">
        <v>0.174949492377396</v>
      </c>
      <c r="L1789" t="b">
        <v>0</v>
      </c>
      <c r="M1789" t="b">
        <v>0</v>
      </c>
      <c r="N1789" t="inlineStr">
        <is>
          <t>alt</t>
        </is>
      </c>
      <c r="O1789" t="n">
        <v>100</v>
      </c>
      <c r="P1789" t="n">
        <v>0.00533</v>
      </c>
      <c r="Q1789" t="n">
        <v>100</v>
      </c>
      <c r="R1789" t="n">
        <v>0.1716</v>
      </c>
      <c r="S1789">
        <f>IMAGE("https://mitra.stanford.edu/kundaje/oak/projects/neuro-variants/variant_position/credible/roussos_2024/variant_figures/roussos_2024.childhood.GABA/rs62062770_count_position.png",4,220,900)</f>
        <v/>
      </c>
      <c r="T1789">
        <f>IMAGE("https://mitra.stanford.edu/kundaje/oak/projects/neuro-variants/variant_position/credible/roussos_2024/variant_figures/roussos_2024.childhood.GABA/rs62062770_profile_position.png",4,220,900)</f>
        <v/>
      </c>
    </row>
    <row r="1790">
      <c r="A1790" t="inlineStr">
        <is>
          <t>chr17</t>
        </is>
      </c>
      <c r="B1790" t="n">
        <v>45942948</v>
      </c>
      <c r="C1790" t="inlineStr">
        <is>
          <t>C</t>
        </is>
      </c>
      <c r="D1790" t="inlineStr">
        <is>
          <t>T</t>
        </is>
      </c>
      <c r="E1790" t="inlineStr">
        <is>
          <t>rs62062772</t>
        </is>
      </c>
      <c r="F1790" t="n">
        <v>-0.0050515229139999</v>
      </c>
      <c r="G1790" t="n">
        <v>0.6647341403662292</v>
      </c>
      <c r="H1790" t="n">
        <v>0.0069954022880046</v>
      </c>
      <c r="I1790" t="n">
        <v>0.9234062465240472</v>
      </c>
      <c r="J1790" t="n">
        <v>0.2457655337061003</v>
      </c>
      <c r="K1790" t="n">
        <v>0.1779075039824597</v>
      </c>
      <c r="L1790" t="b">
        <v>0</v>
      </c>
      <c r="M1790" t="b">
        <v>0</v>
      </c>
      <c r="N1790" t="inlineStr">
        <is>
          <t>ref</t>
        </is>
      </c>
      <c r="O1790" t="n">
        <v>100</v>
      </c>
      <c r="P1790" t="n">
        <v>0.00246</v>
      </c>
      <c r="Q1790" t="n">
        <v>65</v>
      </c>
      <c r="R1790" t="n">
        <v>0.04068</v>
      </c>
      <c r="S1790">
        <f>IMAGE("https://mitra.stanford.edu/kundaje/oak/projects/neuro-variants/variant_position/credible/roussos_2024/variant_figures/roussos_2024.childhood.GABA/rs62062772_count_position.png",4,220,900)</f>
        <v/>
      </c>
      <c r="T1790">
        <f>IMAGE("https://mitra.stanford.edu/kundaje/oak/projects/neuro-variants/variant_position/credible/roussos_2024/variant_figures/roussos_2024.childhood.GABA/rs62062772_profile_position.png",4,220,900)</f>
        <v/>
      </c>
    </row>
    <row r="1791">
      <c r="A1791" t="inlineStr">
        <is>
          <t>chr17</t>
        </is>
      </c>
      <c r="B1791" t="n">
        <v>45944953</v>
      </c>
      <c r="C1791" t="inlineStr">
        <is>
          <t>G</t>
        </is>
      </c>
      <c r="D1791" t="inlineStr">
        <is>
          <t>A</t>
        </is>
      </c>
      <c r="E1791" t="inlineStr">
        <is>
          <t>rs75839508</t>
        </is>
      </c>
      <c r="F1791" t="n">
        <v>-0.120638888</v>
      </c>
      <c r="G1791" t="n">
        <v>0.02241097992877</v>
      </c>
      <c r="H1791" t="n">
        <v>0.018307559099403</v>
      </c>
      <c r="I1791" t="n">
        <v>0.1138609692097806</v>
      </c>
      <c r="J1791" t="n">
        <v>0.3883929132374191</v>
      </c>
      <c r="K1791" t="n">
        <v>0.0910251168918695</v>
      </c>
      <c r="L1791" t="b">
        <v>0</v>
      </c>
      <c r="M1791" t="b">
        <v>0</v>
      </c>
      <c r="N1791" t="inlineStr">
        <is>
          <t>ref</t>
        </is>
      </c>
      <c r="O1791" t="n">
        <v>-45</v>
      </c>
      <c r="P1791" t="n">
        <v>0.001374</v>
      </c>
      <c r="Q1791" t="n">
        <v>35</v>
      </c>
      <c r="R1791" t="n">
        <v>0.07367</v>
      </c>
      <c r="S1791">
        <f>IMAGE("https://mitra.stanford.edu/kundaje/oak/projects/neuro-variants/variant_position/credible/roussos_2024/variant_figures/roussos_2024.childhood.GABA/rs75839508_count_position.png",4,220,900)</f>
        <v/>
      </c>
      <c r="T1791">
        <f>IMAGE("https://mitra.stanford.edu/kundaje/oak/projects/neuro-variants/variant_position/credible/roussos_2024/variant_figures/roussos_2024.childhood.GABA/rs75839508_profile_position.png",4,220,900)</f>
        <v/>
      </c>
    </row>
    <row r="1792">
      <c r="A1792" t="inlineStr">
        <is>
          <t>chr17</t>
        </is>
      </c>
      <c r="B1792" t="n">
        <v>45947196</v>
      </c>
      <c r="C1792" t="inlineStr">
        <is>
          <t>G</t>
        </is>
      </c>
      <c r="D1792" t="inlineStr">
        <is>
          <t>T</t>
        </is>
      </c>
      <c r="E1792" t="inlineStr">
        <is>
          <t>rs62062785</t>
        </is>
      </c>
      <c r="F1792" t="n">
        <v>-0.04096423</v>
      </c>
      <c r="G1792" t="n">
        <v>0.2094880350049789</v>
      </c>
      <c r="H1792" t="n">
        <v>0.0119306884329137</v>
      </c>
      <c r="I1792" t="n">
        <v>0.4468144518156108</v>
      </c>
      <c r="J1792" t="n">
        <v>0.1311469916860379</v>
      </c>
      <c r="K1792" t="n">
        <v>0.301551945602844</v>
      </c>
      <c r="L1792" t="b">
        <v>0</v>
      </c>
      <c r="M1792" t="b">
        <v>0</v>
      </c>
      <c r="N1792" t="inlineStr">
        <is>
          <t>ref</t>
        </is>
      </c>
      <c r="O1792" t="n">
        <v>90</v>
      </c>
      <c r="P1792" t="n">
        <v>0.02736</v>
      </c>
      <c r="Q1792" t="n">
        <v>80</v>
      </c>
      <c r="R1792" t="n">
        <v>0.04553</v>
      </c>
      <c r="S1792">
        <f>IMAGE("https://mitra.stanford.edu/kundaje/oak/projects/neuro-variants/variant_position/credible/roussos_2024/variant_figures/roussos_2024.childhood.GABA/rs62062785_count_position.png",4,220,900)</f>
        <v/>
      </c>
      <c r="T1792">
        <f>IMAGE("https://mitra.stanford.edu/kundaje/oak/projects/neuro-variants/variant_position/credible/roussos_2024/variant_figures/roussos_2024.childhood.GABA/rs62062785_profile_position.png",4,220,900)</f>
        <v/>
      </c>
    </row>
    <row r="1793">
      <c r="A1793" t="inlineStr">
        <is>
          <t>chr17</t>
        </is>
      </c>
      <c r="B1793" t="n">
        <v>45947294</v>
      </c>
      <c r="C1793" t="inlineStr">
        <is>
          <t>G</t>
        </is>
      </c>
      <c r="D1793" t="inlineStr">
        <is>
          <t>C</t>
        </is>
      </c>
      <c r="E1793" t="inlineStr">
        <is>
          <t>rs62062786</t>
        </is>
      </c>
      <c r="F1793" t="n">
        <v>-0.1447602191999999</v>
      </c>
      <c r="G1793" t="n">
        <v>0.0113877599558626</v>
      </c>
      <c r="H1793" t="n">
        <v>0.0272062831268191</v>
      </c>
      <c r="I1793" t="n">
        <v>0.0206415923456712</v>
      </c>
      <c r="J1793" t="n">
        <v>0.1195189629536553</v>
      </c>
      <c r="K1793" t="n">
        <v>0.3216208074126634</v>
      </c>
      <c r="L1793" t="b">
        <v>1</v>
      </c>
      <c r="M1793" t="b">
        <v>0</v>
      </c>
      <c r="N1793" t="inlineStr">
        <is>
          <t>ref</t>
        </is>
      </c>
      <c r="O1793" t="n">
        <v>-5</v>
      </c>
      <c r="P1793" t="n">
        <v>0.001038</v>
      </c>
      <c r="Q1793" t="n">
        <v>-60</v>
      </c>
      <c r="R1793" t="n">
        <v>0.01697</v>
      </c>
      <c r="S1793">
        <f>IMAGE("https://mitra.stanford.edu/kundaje/oak/projects/neuro-variants/variant_position/credible/roussos_2024/variant_figures/roussos_2024.childhood.GABA/rs62062786_count_position.png",4,220,900)</f>
        <v/>
      </c>
      <c r="T1793">
        <f>IMAGE("https://mitra.stanford.edu/kundaje/oak/projects/neuro-variants/variant_position/credible/roussos_2024/variant_figures/roussos_2024.childhood.GABA/rs62062786_profile_position.png",4,220,900)</f>
        <v/>
      </c>
    </row>
    <row r="1794">
      <c r="A1794" t="inlineStr">
        <is>
          <t>chr17</t>
        </is>
      </c>
      <c r="B1794" t="n">
        <v>45949182</v>
      </c>
      <c r="C1794" t="inlineStr">
        <is>
          <t>T</t>
        </is>
      </c>
      <c r="D1794" t="inlineStr">
        <is>
          <t>C</t>
        </is>
      </c>
      <c r="E1794" t="inlineStr">
        <is>
          <t>rs242561</t>
        </is>
      </c>
      <c r="F1794" t="n">
        <v>0.025568271</v>
      </c>
      <c r="G1794" t="n">
        <v>0.2345457016226745</v>
      </c>
      <c r="H1794" t="n">
        <v>0.0128138298197387</v>
      </c>
      <c r="I1794" t="n">
        <v>0.3634469428169666</v>
      </c>
      <c r="J1794" t="n">
        <v>0.6215189210697158</v>
      </c>
      <c r="K1794" t="n">
        <v>0.025325829992928</v>
      </c>
      <c r="L1794" t="b">
        <v>0</v>
      </c>
      <c r="M1794" t="b">
        <v>0</v>
      </c>
      <c r="N1794" t="inlineStr">
        <is>
          <t>alt</t>
        </is>
      </c>
      <c r="O1794" t="n">
        <v>5</v>
      </c>
      <c r="P1794" t="n">
        <v>0.000702</v>
      </c>
      <c r="Q1794" t="n">
        <v>95</v>
      </c>
      <c r="R1794" t="n">
        <v>0.0674</v>
      </c>
      <c r="S1794">
        <f>IMAGE("https://mitra.stanford.edu/kundaje/oak/projects/neuro-variants/variant_position/credible/roussos_2024/variant_figures/roussos_2024.childhood.GABA/rs242561_count_position.png",4,220,900)</f>
        <v/>
      </c>
      <c r="T1794">
        <f>IMAGE("https://mitra.stanford.edu/kundaje/oak/projects/neuro-variants/variant_position/credible/roussos_2024/variant_figures/roussos_2024.childhood.GABA/rs242561_profile_position.png",4,220,900)</f>
        <v/>
      </c>
    </row>
    <row r="1795">
      <c r="A1795" t="inlineStr">
        <is>
          <t>chr17</t>
        </is>
      </c>
      <c r="B1795" t="n">
        <v>45949724</v>
      </c>
      <c r="C1795" t="inlineStr">
        <is>
          <t>C</t>
        </is>
      </c>
      <c r="D1795" t="inlineStr">
        <is>
          <t>T</t>
        </is>
      </c>
      <c r="E1795" t="inlineStr">
        <is>
          <t>rs62062795</t>
        </is>
      </c>
      <c r="F1795" t="n">
        <v>0.0385805517999999</v>
      </c>
      <c r="G1795" t="n">
        <v>0.1809937841540414</v>
      </c>
      <c r="H1795" t="n">
        <v>0.0158647234297888</v>
      </c>
      <c r="I1795" t="n">
        <v>0.1920997054677548</v>
      </c>
      <c r="J1795" t="n">
        <v>0.4733806621850851</v>
      </c>
      <c r="K1795" t="n">
        <v>0.0585446467797552</v>
      </c>
      <c r="L1795" t="b">
        <v>0</v>
      </c>
      <c r="M1795" t="b">
        <v>0</v>
      </c>
      <c r="N1795" t="inlineStr">
        <is>
          <t>alt</t>
        </is>
      </c>
      <c r="O1795" t="n">
        <v>60</v>
      </c>
      <c r="P1795" t="n">
        <v>0.00437</v>
      </c>
      <c r="Q1795" t="n">
        <v>-100</v>
      </c>
      <c r="R1795" t="n">
        <v>0.05322</v>
      </c>
      <c r="S1795">
        <f>IMAGE("https://mitra.stanford.edu/kundaje/oak/projects/neuro-variants/variant_position/credible/roussos_2024/variant_figures/roussos_2024.childhood.GABA/rs62062795_count_position.png",4,220,900)</f>
        <v/>
      </c>
      <c r="T1795">
        <f>IMAGE("https://mitra.stanford.edu/kundaje/oak/projects/neuro-variants/variant_position/credible/roussos_2024/variant_figures/roussos_2024.childhood.GABA/rs62062795_profile_position.png",4,220,900)</f>
        <v/>
      </c>
    </row>
    <row r="1796">
      <c r="A1796" t="inlineStr">
        <is>
          <t>chr17</t>
        </is>
      </c>
      <c r="B1796" t="n">
        <v>45950017</v>
      </c>
      <c r="C1796" t="inlineStr">
        <is>
          <t>A</t>
        </is>
      </c>
      <c r="D1796" t="inlineStr">
        <is>
          <t>G</t>
        </is>
      </c>
      <c r="E1796" t="inlineStr">
        <is>
          <t>rs62062798</t>
        </is>
      </c>
      <c r="F1796" t="n">
        <v>0.1139077481999999</v>
      </c>
      <c r="G1796" t="n">
        <v>0.0234825715354795</v>
      </c>
      <c r="H1796" t="n">
        <v>0.0177487285831073</v>
      </c>
      <c r="I1796" t="n">
        <v>0.1231643564909607</v>
      </c>
      <c r="J1796" t="n">
        <v>0.3054909844820003</v>
      </c>
      <c r="K1796" t="n">
        <v>0.1346237943506729</v>
      </c>
      <c r="L1796" t="b">
        <v>0</v>
      </c>
      <c r="M1796" t="b">
        <v>0</v>
      </c>
      <c r="N1796" t="inlineStr">
        <is>
          <t>alt</t>
        </is>
      </c>
      <c r="O1796" t="n">
        <v>90</v>
      </c>
      <c r="P1796" t="n">
        <v>0.003735</v>
      </c>
      <c r="Q1796" t="n">
        <v>45</v>
      </c>
      <c r="R1796" t="n">
        <v>0.03174</v>
      </c>
      <c r="S1796">
        <f>IMAGE("https://mitra.stanford.edu/kundaje/oak/projects/neuro-variants/variant_position/credible/roussos_2024/variant_figures/roussos_2024.childhood.GABA/rs62062798_count_position.png",4,220,900)</f>
        <v/>
      </c>
      <c r="T1796">
        <f>IMAGE("https://mitra.stanford.edu/kundaje/oak/projects/neuro-variants/variant_position/credible/roussos_2024/variant_figures/roussos_2024.childhood.GABA/rs62062798_profile_position.png",4,220,900)</f>
        <v/>
      </c>
    </row>
    <row r="1797">
      <c r="A1797" t="inlineStr">
        <is>
          <t>chr17</t>
        </is>
      </c>
      <c r="B1797" t="n">
        <v>45950645</v>
      </c>
      <c r="C1797" t="inlineStr">
        <is>
          <t>T</t>
        </is>
      </c>
      <c r="D1797" t="inlineStr">
        <is>
          <t>G</t>
        </is>
      </c>
      <c r="E1797" t="inlineStr">
        <is>
          <t>rs62062801</t>
        </is>
      </c>
      <c r="F1797" t="n">
        <v>-0.009318832399999999</v>
      </c>
      <c r="G1797" t="n">
        <v>0.653661410651788</v>
      </c>
      <c r="H1797" t="n">
        <v>0.0292939364328368</v>
      </c>
      <c r="I1797" t="n">
        <v>0.0163716887956425</v>
      </c>
      <c r="J1797" t="n">
        <v>0.1454356976817239</v>
      </c>
      <c r="K1797" t="n">
        <v>0.2881456221914369</v>
      </c>
      <c r="L1797" t="b">
        <v>1</v>
      </c>
      <c r="M1797" t="b">
        <v>0</v>
      </c>
      <c r="N1797" t="inlineStr">
        <is>
          <t>ref</t>
        </is>
      </c>
      <c r="O1797" t="n">
        <v>90</v>
      </c>
      <c r="P1797" t="n">
        <v>0.01352</v>
      </c>
      <c r="Q1797" t="n">
        <v>-100</v>
      </c>
      <c r="R1797" t="n">
        <v>0.0646</v>
      </c>
      <c r="S1797">
        <f>IMAGE("https://mitra.stanford.edu/kundaje/oak/projects/neuro-variants/variant_position/credible/roussos_2024/variant_figures/roussos_2024.childhood.GABA/rs62062801_count_position.png",4,220,900)</f>
        <v/>
      </c>
      <c r="T1797">
        <f>IMAGE("https://mitra.stanford.edu/kundaje/oak/projects/neuro-variants/variant_position/credible/roussos_2024/variant_figures/roussos_2024.childhood.GABA/rs62062801_profile_position.png",4,220,900)</f>
        <v/>
      </c>
    </row>
    <row r="1798">
      <c r="A1798" t="inlineStr">
        <is>
          <t>chr17</t>
        </is>
      </c>
      <c r="B1798" t="n">
        <v>45950679</v>
      </c>
      <c r="C1798" t="inlineStr">
        <is>
          <t>G</t>
        </is>
      </c>
      <c r="D1798" t="inlineStr">
        <is>
          <t>T</t>
        </is>
      </c>
      <c r="E1798" t="inlineStr">
        <is>
          <t>rs62062802</t>
        </is>
      </c>
      <c r="F1798" t="n">
        <v>0.00492514842</v>
      </c>
      <c r="G1798" t="n">
        <v>0.7007238527129094</v>
      </c>
      <c r="H1798" t="n">
        <v>0.0418257353478613</v>
      </c>
      <c r="I1798" t="n">
        <v>0.0034304407983079</v>
      </c>
      <c r="J1798" t="n">
        <v>0.1529831835982492</v>
      </c>
      <c r="K1798" t="n">
        <v>0.2765258752144998</v>
      </c>
      <c r="L1798" t="b">
        <v>1</v>
      </c>
      <c r="M1798" t="b">
        <v>1</v>
      </c>
      <c r="N1798" t="inlineStr">
        <is>
          <t>alt</t>
        </is>
      </c>
      <c r="O1798" t="n">
        <v>75</v>
      </c>
      <c r="P1798" t="n">
        <v>0.012085</v>
      </c>
      <c r="Q1798" t="n">
        <v>-100</v>
      </c>
      <c r="R1798" t="n">
        <v>0.1025</v>
      </c>
      <c r="S1798">
        <f>IMAGE("https://mitra.stanford.edu/kundaje/oak/projects/neuro-variants/variant_position/credible/roussos_2024/variant_figures/roussos_2024.childhood.GABA/rs62062802_count_position.png",4,220,900)</f>
        <v/>
      </c>
      <c r="T1798">
        <f>IMAGE("https://mitra.stanford.edu/kundaje/oak/projects/neuro-variants/variant_position/credible/roussos_2024/variant_figures/roussos_2024.childhood.GABA/rs62062802_profile_position.png",4,220,900)</f>
        <v/>
      </c>
    </row>
    <row r="1799">
      <c r="A1799" t="inlineStr">
        <is>
          <t>chr17</t>
        </is>
      </c>
      <c r="B1799" t="n">
        <v>45955636</v>
      </c>
      <c r="C1799" t="inlineStr">
        <is>
          <t>T</t>
        </is>
      </c>
      <c r="D1799" t="inlineStr">
        <is>
          <t>C</t>
        </is>
      </c>
      <c r="E1799" t="inlineStr">
        <is>
          <t>rs62063262</t>
        </is>
      </c>
      <c r="F1799" t="n">
        <v>0.0660837628</v>
      </c>
      <c r="G1799" t="n">
        <v>0.08572736351681989</v>
      </c>
      <c r="H1799" t="n">
        <v>0.0169164441472566</v>
      </c>
      <c r="I1799" t="n">
        <v>0.1563306244444687</v>
      </c>
      <c r="J1799" t="n">
        <v>0.2860264706498293</v>
      </c>
      <c r="K1799" t="n">
        <v>0.1475126874478019</v>
      </c>
      <c r="L1799" t="b">
        <v>0</v>
      </c>
      <c r="M1799" t="b">
        <v>0</v>
      </c>
      <c r="N1799" t="inlineStr">
        <is>
          <t>alt</t>
        </is>
      </c>
      <c r="O1799" t="n">
        <v>100</v>
      </c>
      <c r="P1799" t="n">
        <v>0.00761</v>
      </c>
      <c r="Q1799" t="n">
        <v>-100</v>
      </c>
      <c r="R1799" t="n">
        <v>0.1018</v>
      </c>
      <c r="S1799">
        <f>IMAGE("https://mitra.stanford.edu/kundaje/oak/projects/neuro-variants/variant_position/credible/roussos_2024/variant_figures/roussos_2024.childhood.GABA/rs62063262_count_position.png",4,220,900)</f>
        <v/>
      </c>
      <c r="T1799">
        <f>IMAGE("https://mitra.stanford.edu/kundaje/oak/projects/neuro-variants/variant_position/credible/roussos_2024/variant_figures/roussos_2024.childhood.GABA/rs62063262_profile_position.png",4,220,900)</f>
        <v/>
      </c>
    </row>
    <row r="1800">
      <c r="A1800" t="inlineStr">
        <is>
          <t>chr17</t>
        </is>
      </c>
      <c r="B1800" t="n">
        <v>45957467</v>
      </c>
      <c r="C1800" t="inlineStr">
        <is>
          <t>G</t>
        </is>
      </c>
      <c r="D1800" t="inlineStr">
        <is>
          <t>A</t>
        </is>
      </c>
      <c r="E1800" t="inlineStr">
        <is>
          <t>rs62063269</t>
        </is>
      </c>
      <c r="F1800" t="n">
        <v>0.01155850948</v>
      </c>
      <c r="G1800" t="n">
        <v>0.4787079784125</v>
      </c>
      <c r="H1800" t="n">
        <v>0.0098758901313262</v>
      </c>
      <c r="I1800" t="n">
        <v>0.652249869538698</v>
      </c>
      <c r="J1800" t="n">
        <v>0.08508198781177349</v>
      </c>
      <c r="K1800" t="n">
        <v>0.3945735406928738</v>
      </c>
      <c r="L1800" t="b">
        <v>0</v>
      </c>
      <c r="M1800" t="b">
        <v>0</v>
      </c>
      <c r="N1800" t="inlineStr">
        <is>
          <t>alt</t>
        </is>
      </c>
      <c r="O1800" t="n">
        <v>100</v>
      </c>
      <c r="P1800" t="n">
        <v>0.001154</v>
      </c>
      <c r="Q1800" t="n">
        <v>100</v>
      </c>
      <c r="R1800" t="n">
        <v>0.1333</v>
      </c>
      <c r="S1800">
        <f>IMAGE("https://mitra.stanford.edu/kundaje/oak/projects/neuro-variants/variant_position/credible/roussos_2024/variant_figures/roussos_2024.childhood.GABA/rs62063269_count_position.png",4,220,900)</f>
        <v/>
      </c>
      <c r="T1800">
        <f>IMAGE("https://mitra.stanford.edu/kundaje/oak/projects/neuro-variants/variant_position/credible/roussos_2024/variant_figures/roussos_2024.childhood.GABA/rs62063269_profile_position.png",4,220,900)</f>
        <v/>
      </c>
    </row>
    <row r="1801">
      <c r="A1801" t="inlineStr">
        <is>
          <t>chr17</t>
        </is>
      </c>
      <c r="B1801" t="n">
        <v>45957493</v>
      </c>
      <c r="C1801" t="inlineStr">
        <is>
          <t>A</t>
        </is>
      </c>
      <c r="D1801" t="inlineStr">
        <is>
          <t>G</t>
        </is>
      </c>
      <c r="E1801" t="inlineStr">
        <is>
          <t>rs17571809</t>
        </is>
      </c>
      <c r="F1801" t="n">
        <v>0.0084607476</v>
      </c>
      <c r="G1801" t="n">
        <v>0.5222229049164506</v>
      </c>
      <c r="H1801" t="n">
        <v>0.0132902356404369</v>
      </c>
      <c r="I1801" t="n">
        <v>0.3324617061019541</v>
      </c>
      <c r="J1801" t="n">
        <v>0.0857552721408975</v>
      </c>
      <c r="K1801" t="n">
        <v>0.3930768891649357</v>
      </c>
      <c r="L1801" t="b">
        <v>0</v>
      </c>
      <c r="M1801" t="b">
        <v>0</v>
      </c>
      <c r="N1801" t="inlineStr">
        <is>
          <t>alt</t>
        </is>
      </c>
      <c r="O1801" t="n">
        <v>-35</v>
      </c>
      <c r="P1801" t="n">
        <v>0.0007277</v>
      </c>
      <c r="Q1801" t="n">
        <v>85</v>
      </c>
      <c r="R1801" t="n">
        <v>0.10114</v>
      </c>
      <c r="S1801">
        <f>IMAGE("https://mitra.stanford.edu/kundaje/oak/projects/neuro-variants/variant_position/credible/roussos_2024/variant_figures/roussos_2024.childhood.GABA/rs17571809_count_position.png",4,220,900)</f>
        <v/>
      </c>
      <c r="T1801">
        <f>IMAGE("https://mitra.stanford.edu/kundaje/oak/projects/neuro-variants/variant_position/credible/roussos_2024/variant_figures/roussos_2024.childhood.GABA/rs17571809_profile_position.png",4,220,900)</f>
        <v/>
      </c>
    </row>
    <row r="1802">
      <c r="A1802" t="inlineStr">
        <is>
          <t>chr17</t>
        </is>
      </c>
      <c r="B1802" t="n">
        <v>45958150</v>
      </c>
      <c r="C1802" t="inlineStr">
        <is>
          <t>G</t>
        </is>
      </c>
      <c r="D1802" t="inlineStr">
        <is>
          <t>A</t>
        </is>
      </c>
      <c r="E1802" t="inlineStr">
        <is>
          <t>rs77555455</t>
        </is>
      </c>
      <c r="F1802" t="n">
        <v>-0.00681676762</v>
      </c>
      <c r="G1802" t="n">
        <v>0.7232976404037146</v>
      </c>
      <c r="H1802" t="n">
        <v>0.0194158891969541</v>
      </c>
      <c r="I1802" t="n">
        <v>0.0875726309990817</v>
      </c>
      <c r="J1802" t="n">
        <v>0.0231000397897425</v>
      </c>
      <c r="K1802" t="n">
        <v>0.6330164858984757</v>
      </c>
      <c r="L1802" t="b">
        <v>0</v>
      </c>
      <c r="M1802" t="b">
        <v>0</v>
      </c>
      <c r="N1802" t="inlineStr">
        <is>
          <t>ref</t>
        </is>
      </c>
      <c r="O1802" t="n">
        <v>-10</v>
      </c>
      <c r="P1802" t="n">
        <v>0.001297</v>
      </c>
      <c r="Q1802" t="n">
        <v>-35</v>
      </c>
      <c r="R1802" t="n">
        <v>0.02747</v>
      </c>
      <c r="S1802">
        <f>IMAGE("https://mitra.stanford.edu/kundaje/oak/projects/neuro-variants/variant_position/credible/roussos_2024/variant_figures/roussos_2024.childhood.GABA/rs77555455_count_position.png",4,220,900)</f>
        <v/>
      </c>
      <c r="T1802">
        <f>IMAGE("https://mitra.stanford.edu/kundaje/oak/projects/neuro-variants/variant_position/credible/roussos_2024/variant_figures/roussos_2024.childhood.GABA/rs77555455_profile_position.png",4,220,900)</f>
        <v/>
      </c>
    </row>
    <row r="1803">
      <c r="A1803" t="inlineStr">
        <is>
          <t>chr17</t>
        </is>
      </c>
      <c r="B1803" t="n">
        <v>45963457</v>
      </c>
      <c r="C1803" t="inlineStr">
        <is>
          <t>C</t>
        </is>
      </c>
      <c r="D1803" t="inlineStr">
        <is>
          <t>T</t>
        </is>
      </c>
      <c r="E1803" t="inlineStr">
        <is>
          <t>rs55711941</t>
        </is>
      </c>
      <c r="F1803" t="n">
        <v>-0.0443637623999999</v>
      </c>
      <c r="G1803" t="n">
        <v>0.1746809805266877</v>
      </c>
      <c r="H1803" t="n">
        <v>0.0110275437860954</v>
      </c>
      <c r="I1803" t="n">
        <v>0.533369915573719</v>
      </c>
      <c r="J1803" t="n">
        <v>0.1899248183284119</v>
      </c>
      <c r="K1803" t="n">
        <v>0.2256472286047637</v>
      </c>
      <c r="L1803" t="b">
        <v>0</v>
      </c>
      <c r="M1803" t="b">
        <v>0</v>
      </c>
      <c r="N1803" t="inlineStr">
        <is>
          <t>ref</t>
        </is>
      </c>
      <c r="O1803" t="n">
        <v>50</v>
      </c>
      <c r="P1803" t="n">
        <v>0.01428</v>
      </c>
      <c r="Q1803" t="n">
        <v>100</v>
      </c>
      <c r="R1803" t="n">
        <v>0.0403</v>
      </c>
      <c r="S1803">
        <f>IMAGE("https://mitra.stanford.edu/kundaje/oak/projects/neuro-variants/variant_position/credible/roussos_2024/variant_figures/roussos_2024.childhood.GABA/rs55711941_count_position.png",4,220,900)</f>
        <v/>
      </c>
      <c r="T1803">
        <f>IMAGE("https://mitra.stanford.edu/kundaje/oak/projects/neuro-variants/variant_position/credible/roussos_2024/variant_figures/roussos_2024.childhood.GABA/rs55711941_profile_position.png",4,220,900)</f>
        <v/>
      </c>
    </row>
    <row r="1804">
      <c r="A1804" t="inlineStr">
        <is>
          <t>chr17</t>
        </is>
      </c>
      <c r="B1804" t="n">
        <v>45963735</v>
      </c>
      <c r="C1804" t="inlineStr">
        <is>
          <t>T</t>
        </is>
      </c>
      <c r="D1804" t="inlineStr">
        <is>
          <t>C</t>
        </is>
      </c>
      <c r="E1804" t="inlineStr">
        <is>
          <t>rs55709241</t>
        </is>
      </c>
      <c r="F1804" t="n">
        <v>0.07521977399999991</v>
      </c>
      <c r="G1804" t="n">
        <v>0.0572295359392393</v>
      </c>
      <c r="H1804" t="n">
        <v>0.0171800962283144</v>
      </c>
      <c r="I1804" t="n">
        <v>0.1414379435884558</v>
      </c>
      <c r="J1804" t="n">
        <v>0.3189294465037381</v>
      </c>
      <c r="K1804" t="n">
        <v>0.1249591136220693</v>
      </c>
      <c r="L1804" t="b">
        <v>0</v>
      </c>
      <c r="M1804" t="b">
        <v>0</v>
      </c>
      <c r="N1804" t="inlineStr">
        <is>
          <t>alt</t>
        </is>
      </c>
      <c r="O1804" t="n">
        <v>70</v>
      </c>
      <c r="P1804" t="n">
        <v>0.003494</v>
      </c>
      <c r="Q1804" t="n">
        <v>15</v>
      </c>
      <c r="R1804" t="n">
        <v>0.03015</v>
      </c>
      <c r="S1804">
        <f>IMAGE("https://mitra.stanford.edu/kundaje/oak/projects/neuro-variants/variant_position/credible/roussos_2024/variant_figures/roussos_2024.childhood.GABA/rs55709241_count_position.png",4,220,900)</f>
        <v/>
      </c>
      <c r="T1804">
        <f>IMAGE("https://mitra.stanford.edu/kundaje/oak/projects/neuro-variants/variant_position/credible/roussos_2024/variant_figures/roussos_2024.childhood.GABA/rs55709241_profile_position.png",4,220,900)</f>
        <v/>
      </c>
    </row>
    <row r="1805">
      <c r="A1805" t="inlineStr">
        <is>
          <t>chr17</t>
        </is>
      </c>
      <c r="B1805" t="n">
        <v>45964196</v>
      </c>
      <c r="C1805" t="inlineStr">
        <is>
          <t>G</t>
        </is>
      </c>
      <c r="D1805" t="inlineStr">
        <is>
          <t>T</t>
        </is>
      </c>
      <c r="E1805" t="inlineStr">
        <is>
          <t>rs112058117</t>
        </is>
      </c>
      <c r="F1805" t="n">
        <v>0.009604017439999999</v>
      </c>
      <c r="G1805" t="n">
        <v>0.638372388312182</v>
      </c>
      <c r="H1805" t="n">
        <v>0.0383551986111698</v>
      </c>
      <c r="I1805" t="n">
        <v>0.0045495319457895</v>
      </c>
      <c r="J1805" t="n">
        <v>0.2711608133861071</v>
      </c>
      <c r="K1805" t="n">
        <v>0.1571206445568115</v>
      </c>
      <c r="L1805" t="b">
        <v>1</v>
      </c>
      <c r="M1805" t="b">
        <v>1</v>
      </c>
      <c r="N1805" t="inlineStr">
        <is>
          <t>alt</t>
        </is>
      </c>
      <c r="O1805" t="n">
        <v>95</v>
      </c>
      <c r="P1805" t="n">
        <v>0.001854</v>
      </c>
      <c r="Q1805" t="n">
        <v>-100</v>
      </c>
      <c r="R1805" t="n">
        <v>0.1777</v>
      </c>
      <c r="S1805">
        <f>IMAGE("https://mitra.stanford.edu/kundaje/oak/projects/neuro-variants/variant_position/credible/roussos_2024/variant_figures/roussos_2024.childhood.GABA/rs112058117_count_position.png",4,220,900)</f>
        <v/>
      </c>
      <c r="T1805">
        <f>IMAGE("https://mitra.stanford.edu/kundaje/oak/projects/neuro-variants/variant_position/credible/roussos_2024/variant_figures/roussos_2024.childhood.GABA/rs112058117_profile_position.png",4,220,900)</f>
        <v/>
      </c>
    </row>
    <row r="1806">
      <c r="A1806" t="inlineStr">
        <is>
          <t>chr17</t>
        </is>
      </c>
      <c r="B1806" t="n">
        <v>45966012</v>
      </c>
      <c r="C1806" t="inlineStr">
        <is>
          <t>T</t>
        </is>
      </c>
      <c r="D1806" t="inlineStr">
        <is>
          <t>C</t>
        </is>
      </c>
      <c r="E1806" t="inlineStr">
        <is>
          <t>rs62063291</t>
        </is>
      </c>
      <c r="F1806" t="n">
        <v>-0.03625751288</v>
      </c>
      <c r="G1806" t="n">
        <v>0.2667624147103371</v>
      </c>
      <c r="H1806" t="n">
        <v>0.0183682289286851</v>
      </c>
      <c r="I1806" t="n">
        <v>0.1051333881457295</v>
      </c>
      <c r="J1806" t="n">
        <v>0.1428797302674289</v>
      </c>
      <c r="K1806" t="n">
        <v>0.2770287820835448</v>
      </c>
      <c r="L1806" t="b">
        <v>0</v>
      </c>
      <c r="M1806" t="b">
        <v>0</v>
      </c>
      <c r="N1806" t="inlineStr">
        <is>
          <t>ref</t>
        </is>
      </c>
      <c r="O1806" t="n">
        <v>100</v>
      </c>
      <c r="P1806" t="n">
        <v>0.001192</v>
      </c>
      <c r="Q1806" t="n">
        <v>-10</v>
      </c>
      <c r="R1806" t="n">
        <v>0.00708</v>
      </c>
      <c r="S1806">
        <f>IMAGE("https://mitra.stanford.edu/kundaje/oak/projects/neuro-variants/variant_position/credible/roussos_2024/variant_figures/roussos_2024.childhood.GABA/rs62063291_count_position.png",4,220,900)</f>
        <v/>
      </c>
      <c r="T1806">
        <f>IMAGE("https://mitra.stanford.edu/kundaje/oak/projects/neuro-variants/variant_position/credible/roussos_2024/variant_figures/roussos_2024.childhood.GABA/rs62063291_profile_position.png",4,220,900)</f>
        <v/>
      </c>
    </row>
    <row r="1807">
      <c r="A1807" t="inlineStr">
        <is>
          <t>chr17</t>
        </is>
      </c>
      <c r="B1807" t="n">
        <v>45967142</v>
      </c>
      <c r="C1807" t="inlineStr">
        <is>
          <t>A</t>
        </is>
      </c>
      <c r="D1807" t="inlineStr">
        <is>
          <t>C</t>
        </is>
      </c>
      <c r="E1807" t="inlineStr">
        <is>
          <t>rs17650991</t>
        </is>
      </c>
      <c r="F1807" t="n">
        <v>0.03642279852</v>
      </c>
      <c r="G1807" t="n">
        <v>0.2566281505195701</v>
      </c>
      <c r="H1807" t="n">
        <v>0.0137636387248735</v>
      </c>
      <c r="I1807" t="n">
        <v>0.286466055553167</v>
      </c>
      <c r="J1807" t="n">
        <v>0.0679545978094698</v>
      </c>
      <c r="K1807" t="n">
        <v>0.4347907393571326</v>
      </c>
      <c r="L1807" t="b">
        <v>0</v>
      </c>
      <c r="M1807" t="b">
        <v>0</v>
      </c>
      <c r="N1807" t="inlineStr">
        <is>
          <t>alt</t>
        </is>
      </c>
      <c r="O1807" t="n">
        <v>-90</v>
      </c>
      <c r="P1807" t="n">
        <v>0.000969</v>
      </c>
      <c r="Q1807" t="n">
        <v>-65</v>
      </c>
      <c r="R1807" t="n">
        <v>0.06238</v>
      </c>
      <c r="S1807">
        <f>IMAGE("https://mitra.stanford.edu/kundaje/oak/projects/neuro-variants/variant_position/credible/roussos_2024/variant_figures/roussos_2024.childhood.GABA/rs17650991_count_position.png",4,220,900)</f>
        <v/>
      </c>
      <c r="T1807">
        <f>IMAGE("https://mitra.stanford.edu/kundaje/oak/projects/neuro-variants/variant_position/credible/roussos_2024/variant_figures/roussos_2024.childhood.GABA/rs17650991_profile_position.png",4,220,900)</f>
        <v/>
      </c>
    </row>
    <row r="1808">
      <c r="A1808" t="inlineStr">
        <is>
          <t>chr17</t>
        </is>
      </c>
      <c r="B1808" t="n">
        <v>45971767</v>
      </c>
      <c r="C1808" t="inlineStr">
        <is>
          <t>T</t>
        </is>
      </c>
      <c r="D1808" t="inlineStr">
        <is>
          <t>C</t>
        </is>
      </c>
      <c r="E1808" t="inlineStr">
        <is>
          <t>rs62063303</t>
        </is>
      </c>
      <c r="F1808" t="n">
        <v>-0.0441555330339999</v>
      </c>
      <c r="G1808" t="n">
        <v>0.183068381531858</v>
      </c>
      <c r="H1808" t="n">
        <v>0.0211107438339106</v>
      </c>
      <c r="I1808" t="n">
        <v>0.0628663403004325</v>
      </c>
      <c r="J1808" t="n">
        <v>0.5209513936880903</v>
      </c>
      <c r="K1808" t="n">
        <v>0.0463582896531984</v>
      </c>
      <c r="L1808" t="b">
        <v>0</v>
      </c>
      <c r="M1808" t="b">
        <v>0</v>
      </c>
      <c r="N1808" t="inlineStr">
        <is>
          <t>ref</t>
        </is>
      </c>
      <c r="O1808" t="n">
        <v>65</v>
      </c>
      <c r="P1808" t="n">
        <v>0.000824</v>
      </c>
      <c r="Q1808" t="n">
        <v>90</v>
      </c>
      <c r="R1808" t="n">
        <v>0.10156</v>
      </c>
      <c r="S1808">
        <f>IMAGE("https://mitra.stanford.edu/kundaje/oak/projects/neuro-variants/variant_position/credible/roussos_2024/variant_figures/roussos_2024.childhood.GABA/rs62063303_count_position.png",4,220,900)</f>
        <v/>
      </c>
      <c r="T1808">
        <f>IMAGE("https://mitra.stanford.edu/kundaje/oak/projects/neuro-variants/variant_position/credible/roussos_2024/variant_figures/roussos_2024.childhood.GABA/rs62063303_profile_position.png",4,220,900)</f>
        <v/>
      </c>
    </row>
    <row r="1809">
      <c r="A1809" t="inlineStr">
        <is>
          <t>chr17</t>
        </is>
      </c>
      <c r="B1809" t="n">
        <v>45971963</v>
      </c>
      <c r="C1809" t="inlineStr">
        <is>
          <t>C</t>
        </is>
      </c>
      <c r="D1809" t="inlineStr">
        <is>
          <t>T</t>
        </is>
      </c>
      <c r="E1809" t="inlineStr">
        <is>
          <t>rs75242405</t>
        </is>
      </c>
      <c r="F1809" t="n">
        <v>-0.0582606774</v>
      </c>
      <c r="G1809" t="n">
        <v>0.1175413341882947</v>
      </c>
      <c r="H1809" t="n">
        <v>0.011801262978107</v>
      </c>
      <c r="I1809" t="n">
        <v>0.4452959701132742</v>
      </c>
      <c r="J1809" t="n">
        <v>0.5522837218068732</v>
      </c>
      <c r="K1809" t="n">
        <v>0.0392409144007611</v>
      </c>
      <c r="L1809" t="b">
        <v>0</v>
      </c>
      <c r="M1809" t="b">
        <v>0</v>
      </c>
      <c r="N1809" t="inlineStr">
        <is>
          <t>ref</t>
        </is>
      </c>
      <c r="O1809" t="n">
        <v>-95</v>
      </c>
      <c r="P1809" t="n">
        <v>0.02899</v>
      </c>
      <c r="Q1809" t="n">
        <v>-30</v>
      </c>
      <c r="R1809" t="n">
        <v>0.1292</v>
      </c>
      <c r="S1809">
        <f>IMAGE("https://mitra.stanford.edu/kundaje/oak/projects/neuro-variants/variant_position/credible/roussos_2024/variant_figures/roussos_2024.childhood.GABA/rs75242405_count_position.png",4,220,900)</f>
        <v/>
      </c>
      <c r="T1809">
        <f>IMAGE("https://mitra.stanford.edu/kundaje/oak/projects/neuro-variants/variant_position/credible/roussos_2024/variant_figures/roussos_2024.childhood.GABA/rs75242405_profile_position.png",4,220,900)</f>
        <v/>
      </c>
    </row>
    <row r="1810">
      <c r="A1810" t="inlineStr">
        <is>
          <t>chr17</t>
        </is>
      </c>
      <c r="B1810" t="n">
        <v>45973484</v>
      </c>
      <c r="C1810" t="inlineStr">
        <is>
          <t>A</t>
        </is>
      </c>
      <c r="D1810" t="inlineStr">
        <is>
          <t>G</t>
        </is>
      </c>
      <c r="E1810" t="inlineStr">
        <is>
          <t>rs62063776</t>
        </is>
      </c>
      <c r="F1810" t="n">
        <v>0.037404919</v>
      </c>
      <c r="G1810" t="n">
        <v>0.2196027239865797</v>
      </c>
      <c r="H1810" t="n">
        <v>0.0089498704636259</v>
      </c>
      <c r="I1810" t="n">
        <v>0.7551749362219526</v>
      </c>
      <c r="J1810" t="n">
        <v>0.4370107432305082</v>
      </c>
      <c r="K1810" t="n">
        <v>0.071077693788476</v>
      </c>
      <c r="L1810" t="b">
        <v>0</v>
      </c>
      <c r="M1810" t="b">
        <v>0</v>
      </c>
      <c r="N1810" t="inlineStr">
        <is>
          <t>alt</t>
        </is>
      </c>
      <c r="O1810" t="n">
        <v>85</v>
      </c>
      <c r="P1810" t="n">
        <v>0.003468</v>
      </c>
      <c r="Q1810" t="n">
        <v>80</v>
      </c>
      <c r="R1810" t="n">
        <v>0.1531</v>
      </c>
      <c r="S1810">
        <f>IMAGE("https://mitra.stanford.edu/kundaje/oak/projects/neuro-variants/variant_position/credible/roussos_2024/variant_figures/roussos_2024.childhood.GABA/rs62063776_count_position.png",4,220,900)</f>
        <v/>
      </c>
      <c r="T1810">
        <f>IMAGE("https://mitra.stanford.edu/kundaje/oak/projects/neuro-variants/variant_position/credible/roussos_2024/variant_figures/roussos_2024.childhood.GABA/rs62063776_profile_position.png",4,220,900)</f>
        <v/>
      </c>
    </row>
    <row r="1811">
      <c r="A1811" t="inlineStr">
        <is>
          <t>chr17</t>
        </is>
      </c>
      <c r="B1811" t="n">
        <v>45977022</v>
      </c>
      <c r="C1811" t="inlineStr">
        <is>
          <t>T</t>
        </is>
      </c>
      <c r="D1811" t="inlineStr">
        <is>
          <t>C</t>
        </is>
      </c>
      <c r="E1811" t="inlineStr">
        <is>
          <t>rs17572467</t>
        </is>
      </c>
      <c r="F1811" t="n">
        <v>0.099127692</v>
      </c>
      <c r="G1811" t="n">
        <v>0.0317970837963917</v>
      </c>
      <c r="H1811" t="n">
        <v>0.0178128342181603</v>
      </c>
      <c r="I1811" t="n">
        <v>0.1205820782919997</v>
      </c>
      <c r="J1811" t="n">
        <v>0.4434242214822726</v>
      </c>
      <c r="K1811" t="n">
        <v>0.0683013757843965</v>
      </c>
      <c r="L1811" t="b">
        <v>0</v>
      </c>
      <c r="M1811" t="b">
        <v>0</v>
      </c>
      <c r="N1811" t="inlineStr">
        <is>
          <t>alt</t>
        </is>
      </c>
      <c r="O1811" t="n">
        <v>40</v>
      </c>
      <c r="P1811" t="n">
        <v>0.0027</v>
      </c>
      <c r="Q1811" t="n">
        <v>90</v>
      </c>
      <c r="R1811" t="n">
        <v>0.144</v>
      </c>
      <c r="S1811">
        <f>IMAGE("https://mitra.stanford.edu/kundaje/oak/projects/neuro-variants/variant_position/credible/roussos_2024/variant_figures/roussos_2024.childhood.GABA/rs17572467_count_position.png",4,220,900)</f>
        <v/>
      </c>
      <c r="T1811">
        <f>IMAGE("https://mitra.stanford.edu/kundaje/oak/projects/neuro-variants/variant_position/credible/roussos_2024/variant_figures/roussos_2024.childhood.GABA/rs17572467_profile_position.png",4,220,900)</f>
        <v/>
      </c>
    </row>
    <row r="1812">
      <c r="A1812" t="inlineStr">
        <is>
          <t>chr17</t>
        </is>
      </c>
      <c r="B1812" t="n">
        <v>45977230</v>
      </c>
      <c r="C1812" t="inlineStr">
        <is>
          <t>T</t>
        </is>
      </c>
      <c r="D1812" t="inlineStr">
        <is>
          <t>G</t>
        </is>
      </c>
      <c r="E1812" t="inlineStr">
        <is>
          <t>rs17572495</t>
        </is>
      </c>
      <c r="F1812" t="n">
        <v>0.0419748494</v>
      </c>
      <c r="G1812" t="n">
        <v>0.1807447691117887</v>
      </c>
      <c r="H1812" t="n">
        <v>0.015257161697725</v>
      </c>
      <c r="I1812" t="n">
        <v>0.214487203794215</v>
      </c>
      <c r="J1812" t="n">
        <v>0.3863929551213586</v>
      </c>
      <c r="K1812" t="n">
        <v>0.0910275976026422</v>
      </c>
      <c r="L1812" t="b">
        <v>0</v>
      </c>
      <c r="M1812" t="b">
        <v>0</v>
      </c>
      <c r="N1812" t="inlineStr">
        <is>
          <t>alt</t>
        </is>
      </c>
      <c r="O1812" t="n">
        <v>-100</v>
      </c>
      <c r="P1812" t="n">
        <v>0.01837</v>
      </c>
      <c r="Q1812" t="n">
        <v>-65</v>
      </c>
      <c r="R1812" t="n">
        <v>0.09669999999999999</v>
      </c>
      <c r="S1812">
        <f>IMAGE("https://mitra.stanford.edu/kundaje/oak/projects/neuro-variants/variant_position/credible/roussos_2024/variant_figures/roussos_2024.childhood.GABA/rs17572495_count_position.png",4,220,900)</f>
        <v/>
      </c>
      <c r="T1812">
        <f>IMAGE("https://mitra.stanford.edu/kundaje/oak/projects/neuro-variants/variant_position/credible/roussos_2024/variant_figures/roussos_2024.childhood.GABA/rs17572495_profile_position.png",4,220,900)</f>
        <v/>
      </c>
    </row>
    <row r="1813">
      <c r="A1813" t="inlineStr">
        <is>
          <t>chr17</t>
        </is>
      </c>
      <c r="B1813" t="n">
        <v>45982882</v>
      </c>
      <c r="C1813" t="inlineStr">
        <is>
          <t>G</t>
        </is>
      </c>
      <c r="D1813" t="inlineStr">
        <is>
          <t>A</t>
        </is>
      </c>
      <c r="E1813" t="inlineStr">
        <is>
          <t>rs56234850</t>
        </is>
      </c>
      <c r="F1813" t="n">
        <v>-0.1271708107999999</v>
      </c>
      <c r="G1813" t="n">
        <v>0.0158239884241703</v>
      </c>
      <c r="H1813" t="n">
        <v>0.0251166495052325</v>
      </c>
      <c r="I1813" t="n">
        <v>0.027753624779238</v>
      </c>
      <c r="J1813" t="n">
        <v>0.6779313522229902</v>
      </c>
      <c r="K1813" t="n">
        <v>0.0174366760522248</v>
      </c>
      <c r="L1813" t="b">
        <v>1</v>
      </c>
      <c r="M1813" t="b">
        <v>0</v>
      </c>
      <c r="N1813" t="inlineStr">
        <is>
          <t>ref</t>
        </is>
      </c>
      <c r="O1813" t="n">
        <v>100</v>
      </c>
      <c r="P1813" t="n">
        <v>0.002419</v>
      </c>
      <c r="Q1813" t="n">
        <v>100</v>
      </c>
      <c r="R1813" t="n">
        <v>0.124</v>
      </c>
      <c r="S1813">
        <f>IMAGE("https://mitra.stanford.edu/kundaje/oak/projects/neuro-variants/variant_position/credible/roussos_2024/variant_figures/roussos_2024.childhood.GABA/rs56234850_count_position.png",4,220,900)</f>
        <v/>
      </c>
      <c r="T1813">
        <f>IMAGE("https://mitra.stanford.edu/kundaje/oak/projects/neuro-variants/variant_position/credible/roussos_2024/variant_figures/roussos_2024.childhood.GABA/rs56234850_profile_position.png",4,220,900)</f>
        <v/>
      </c>
    </row>
    <row r="1814">
      <c r="A1814" t="inlineStr">
        <is>
          <t>chr17</t>
        </is>
      </c>
      <c r="B1814" t="n">
        <v>45988044</v>
      </c>
      <c r="C1814" t="inlineStr">
        <is>
          <t>G</t>
        </is>
      </c>
      <c r="D1814" t="inlineStr">
        <is>
          <t>A</t>
        </is>
      </c>
      <c r="E1814" t="inlineStr">
        <is>
          <t>rs10445371</t>
        </is>
      </c>
      <c r="F1814" t="n">
        <v>0.01157901028</v>
      </c>
      <c r="G1814" t="n">
        <v>0.5126605270707438</v>
      </c>
      <c r="H1814" t="n">
        <v>0.0251477748785204</v>
      </c>
      <c r="I1814" t="n">
        <v>0.0293100044831321</v>
      </c>
      <c r="J1814" t="n">
        <v>0.3997413666729492</v>
      </c>
      <c r="K1814" t="n">
        <v>0.0854500246575723</v>
      </c>
      <c r="L1814" t="b">
        <v>0</v>
      </c>
      <c r="M1814" t="b">
        <v>0</v>
      </c>
      <c r="N1814" t="inlineStr">
        <is>
          <t>alt</t>
        </is>
      </c>
      <c r="O1814" t="n">
        <v>-100</v>
      </c>
      <c r="P1814" t="n">
        <v>0.002357</v>
      </c>
      <c r="Q1814" t="n">
        <v>-50</v>
      </c>
      <c r="R1814" t="n">
        <v>0.0479</v>
      </c>
      <c r="S1814">
        <f>IMAGE("https://mitra.stanford.edu/kundaje/oak/projects/neuro-variants/variant_position/credible/roussos_2024/variant_figures/roussos_2024.childhood.GABA/rs10445371_count_position.png",4,220,900)</f>
        <v/>
      </c>
      <c r="T1814">
        <f>IMAGE("https://mitra.stanford.edu/kundaje/oak/projects/neuro-variants/variant_position/credible/roussos_2024/variant_figures/roussos_2024.childhood.GABA/rs10445371_profile_position.png",4,220,900)</f>
        <v/>
      </c>
    </row>
    <row r="1815">
      <c r="A1815" t="inlineStr">
        <is>
          <t>chr17</t>
        </is>
      </c>
      <c r="B1815" t="n">
        <v>45988535</v>
      </c>
      <c r="C1815" t="inlineStr">
        <is>
          <t>C</t>
        </is>
      </c>
      <c r="D1815" t="inlineStr">
        <is>
          <t>T</t>
        </is>
      </c>
      <c r="E1815" t="inlineStr">
        <is>
          <t>rs919464</t>
        </is>
      </c>
      <c r="F1815" t="n">
        <v>-0.202862556</v>
      </c>
      <c r="G1815" t="n">
        <v>0.0046471813815237</v>
      </c>
      <c r="H1815" t="n">
        <v>0.0267327065739484</v>
      </c>
      <c r="I1815" t="n">
        <v>0.0233865824481872</v>
      </c>
      <c r="J1815" t="n">
        <v>0.2321427823501078</v>
      </c>
      <c r="K1815" t="n">
        <v>0.187692361519576</v>
      </c>
      <c r="L1815" t="b">
        <v>1</v>
      </c>
      <c r="M1815" t="b">
        <v>1</v>
      </c>
      <c r="N1815" t="inlineStr">
        <is>
          <t>ref</t>
        </is>
      </c>
      <c r="O1815" t="n">
        <v>100</v>
      </c>
      <c r="P1815" t="n">
        <v>0.009469999999999999</v>
      </c>
      <c r="Q1815" t="n">
        <v>-100</v>
      </c>
      <c r="R1815" t="n">
        <v>0.0906</v>
      </c>
      <c r="S1815">
        <f>IMAGE("https://mitra.stanford.edu/kundaje/oak/projects/neuro-variants/variant_position/credible/roussos_2024/variant_figures/roussos_2024.childhood.GABA/rs919464_count_position.png",4,220,900)</f>
        <v/>
      </c>
      <c r="T1815">
        <f>IMAGE("https://mitra.stanford.edu/kundaje/oak/projects/neuro-variants/variant_position/credible/roussos_2024/variant_figures/roussos_2024.childhood.GABA/rs919464_profile_position.png",4,220,900)</f>
        <v/>
      </c>
    </row>
    <row r="1816">
      <c r="A1816" t="inlineStr">
        <is>
          <t>chr17</t>
        </is>
      </c>
      <c r="B1816" t="n">
        <v>45990034</v>
      </c>
      <c r="C1816" t="inlineStr">
        <is>
          <t>T</t>
        </is>
      </c>
      <c r="D1816" t="inlineStr">
        <is>
          <t>C</t>
        </is>
      </c>
      <c r="E1816" t="inlineStr">
        <is>
          <t>rs10445337</t>
        </is>
      </c>
      <c r="F1816" t="n">
        <v>0.007819451979999999</v>
      </c>
      <c r="G1816" t="n">
        <v>0.5996234432657689</v>
      </c>
      <c r="H1816" t="n">
        <v>0.008680685374644399</v>
      </c>
      <c r="I1816" t="n">
        <v>0.7891189616109914</v>
      </c>
      <c r="J1816" t="n">
        <v>0.0983968922116813</v>
      </c>
      <c r="K1816" t="n">
        <v>0.3727147223892629</v>
      </c>
      <c r="L1816" t="b">
        <v>0</v>
      </c>
      <c r="M1816" t="b">
        <v>0</v>
      </c>
      <c r="N1816" t="inlineStr">
        <is>
          <t>alt</t>
        </is>
      </c>
      <c r="O1816" t="n">
        <v>-90</v>
      </c>
      <c r="P1816" t="n">
        <v>0.00639</v>
      </c>
      <c r="Q1816" t="n">
        <v>-15</v>
      </c>
      <c r="R1816" t="n">
        <v>0.03094</v>
      </c>
      <c r="S1816">
        <f>IMAGE("https://mitra.stanford.edu/kundaje/oak/projects/neuro-variants/variant_position/credible/roussos_2024/variant_figures/roussos_2024.childhood.GABA/rs10445337_count_position.png",4,220,900)</f>
        <v/>
      </c>
      <c r="T1816">
        <f>IMAGE("https://mitra.stanford.edu/kundaje/oak/projects/neuro-variants/variant_position/credible/roussos_2024/variant_figures/roussos_2024.childhood.GABA/rs10445337_profile_position.png",4,220,900)</f>
        <v/>
      </c>
    </row>
    <row r="1817">
      <c r="A1817" t="inlineStr">
        <is>
          <t>chr17</t>
        </is>
      </c>
      <c r="B1817" t="n">
        <v>45990923</v>
      </c>
      <c r="C1817" t="inlineStr">
        <is>
          <t>G</t>
        </is>
      </c>
      <c r="D1817" t="inlineStr">
        <is>
          <t>A</t>
        </is>
      </c>
      <c r="E1817" t="inlineStr">
        <is>
          <t>rs62063796</t>
        </is>
      </c>
      <c r="F1817" t="n">
        <v>-0.0721362816</v>
      </c>
      <c r="G1817" t="n">
        <v>0.0685478459032228</v>
      </c>
      <c r="H1817" t="n">
        <v>0.0207520605373409</v>
      </c>
      <c r="I1817" t="n">
        <v>0.06393685268599569</v>
      </c>
      <c r="J1817" t="n">
        <v>0.3082605599882725</v>
      </c>
      <c r="K1817" t="n">
        <v>0.1319081848229494</v>
      </c>
      <c r="L1817" t="b">
        <v>0</v>
      </c>
      <c r="M1817" t="b">
        <v>0</v>
      </c>
      <c r="N1817" t="inlineStr">
        <is>
          <t>ref</t>
        </is>
      </c>
      <c r="O1817" t="n">
        <v>50</v>
      </c>
      <c r="P1817" t="n">
        <v>0.00779</v>
      </c>
      <c r="Q1817" t="n">
        <v>40</v>
      </c>
      <c r="R1817" t="n">
        <v>0.0713</v>
      </c>
      <c r="S1817">
        <f>IMAGE("https://mitra.stanford.edu/kundaje/oak/projects/neuro-variants/variant_position/credible/roussos_2024/variant_figures/roussos_2024.childhood.GABA/rs62063796_count_position.png",4,220,900)</f>
        <v/>
      </c>
      <c r="T1817">
        <f>IMAGE("https://mitra.stanford.edu/kundaje/oak/projects/neuro-variants/variant_position/credible/roussos_2024/variant_figures/roussos_2024.childhood.GABA/rs62063796_profile_position.png",4,220,900)</f>
        <v/>
      </c>
    </row>
    <row r="1818">
      <c r="A1818" t="inlineStr">
        <is>
          <t>chr17</t>
        </is>
      </c>
      <c r="B1818" t="n">
        <v>45991114</v>
      </c>
      <c r="C1818" t="inlineStr">
        <is>
          <t>T</t>
        </is>
      </c>
      <c r="D1818" t="inlineStr">
        <is>
          <t>C</t>
        </is>
      </c>
      <c r="E1818" t="inlineStr">
        <is>
          <t>rs77290642</t>
        </is>
      </c>
      <c r="F1818" t="n">
        <v>0.1417478087999999</v>
      </c>
      <c r="G1818" t="n">
        <v>0.0113333934466627</v>
      </c>
      <c r="H1818" t="n">
        <v>0.0213476921770702</v>
      </c>
      <c r="I1818" t="n">
        <v>0.0584729060418776</v>
      </c>
      <c r="J1818" t="n">
        <v>0.3951372746120499</v>
      </c>
      <c r="K1818" t="n">
        <v>0.0879508366108428</v>
      </c>
      <c r="L1818" t="b">
        <v>1</v>
      </c>
      <c r="M1818" t="b">
        <v>0</v>
      </c>
      <c r="N1818" t="inlineStr">
        <is>
          <t>alt</t>
        </is>
      </c>
      <c r="O1818" t="n">
        <v>-65</v>
      </c>
      <c r="P1818" t="n">
        <v>0.00335</v>
      </c>
      <c r="Q1818" t="n">
        <v>-100</v>
      </c>
      <c r="R1818" t="n">
        <v>0.12134</v>
      </c>
      <c r="S1818">
        <f>IMAGE("https://mitra.stanford.edu/kundaje/oak/projects/neuro-variants/variant_position/credible/roussos_2024/variant_figures/roussos_2024.childhood.GABA/rs77290642_count_position.png",4,220,900)</f>
        <v/>
      </c>
      <c r="T1818">
        <f>IMAGE("https://mitra.stanford.edu/kundaje/oak/projects/neuro-variants/variant_position/credible/roussos_2024/variant_figures/roussos_2024.childhood.GABA/rs77290642_profile_position.png",4,220,900)</f>
        <v/>
      </c>
    </row>
    <row r="1819">
      <c r="A1819" t="inlineStr">
        <is>
          <t>chr17</t>
        </is>
      </c>
      <c r="B1819" t="n">
        <v>45991558</v>
      </c>
      <c r="C1819" t="inlineStr">
        <is>
          <t>G</t>
        </is>
      </c>
      <c r="D1819" t="inlineStr">
        <is>
          <t>A</t>
        </is>
      </c>
      <c r="E1819" t="inlineStr">
        <is>
          <t>rs1052551</t>
        </is>
      </c>
      <c r="F1819" t="n">
        <v>-0.1118310479999999</v>
      </c>
      <c r="G1819" t="n">
        <v>0.0223707971960509</v>
      </c>
      <c r="H1819" t="n">
        <v>0.0137833566732146</v>
      </c>
      <c r="I1819" t="n">
        <v>0.2881981490875434</v>
      </c>
      <c r="J1819" t="n">
        <v>0.3500732968943058</v>
      </c>
      <c r="K1819" t="n">
        <v>0.1091517301258288</v>
      </c>
      <c r="L1819" t="b">
        <v>0</v>
      </c>
      <c r="M1819" t="b">
        <v>0</v>
      </c>
      <c r="N1819" t="inlineStr">
        <is>
          <t>ref</t>
        </is>
      </c>
      <c r="O1819" t="n">
        <v>100</v>
      </c>
      <c r="P1819" t="n">
        <v>0.010925</v>
      </c>
      <c r="Q1819" t="n">
        <v>40</v>
      </c>
      <c r="R1819" t="n">
        <v>0.06757000000000001</v>
      </c>
      <c r="S1819">
        <f>IMAGE("https://mitra.stanford.edu/kundaje/oak/projects/neuro-variants/variant_position/credible/roussos_2024/variant_figures/roussos_2024.childhood.GABA/rs1052551_count_position.png",4,220,900)</f>
        <v/>
      </c>
      <c r="T1819">
        <f>IMAGE("https://mitra.stanford.edu/kundaje/oak/projects/neuro-variants/variant_position/credible/roussos_2024/variant_figures/roussos_2024.childhood.GABA/rs1052551_profile_position.png",4,220,900)</f>
        <v/>
      </c>
    </row>
    <row r="1820">
      <c r="A1820" t="inlineStr">
        <is>
          <t>chr17</t>
        </is>
      </c>
      <c r="B1820" t="n">
        <v>45992402</v>
      </c>
      <c r="C1820" t="inlineStr">
        <is>
          <t>A</t>
        </is>
      </c>
      <c r="D1820" t="inlineStr">
        <is>
          <t>G</t>
        </is>
      </c>
      <c r="E1820" t="inlineStr">
        <is>
          <t>rs74759276</t>
        </is>
      </c>
      <c r="F1820" t="n">
        <v>-0.3225104319999999</v>
      </c>
      <c r="G1820" t="n">
        <v>0.0012398150387368</v>
      </c>
      <c r="H1820" t="n">
        <v>0.0383505994283017</v>
      </c>
      <c r="I1820" t="n">
        <v>0.0049935273199427</v>
      </c>
      <c r="J1820" t="n">
        <v>0.4261565202822977</v>
      </c>
      <c r="K1820" t="n">
        <v>0.07610138306198121</v>
      </c>
      <c r="L1820" t="b">
        <v>1</v>
      </c>
      <c r="M1820" t="b">
        <v>1</v>
      </c>
      <c r="N1820" t="inlineStr">
        <is>
          <t>ref</t>
        </is>
      </c>
      <c r="O1820" t="n">
        <v>-100</v>
      </c>
      <c r="P1820" t="n">
        <v>0.01368</v>
      </c>
      <c r="Q1820" t="n">
        <v>-70</v>
      </c>
      <c r="R1820" t="n">
        <v>0.1123</v>
      </c>
      <c r="S1820">
        <f>IMAGE("https://mitra.stanford.edu/kundaje/oak/projects/neuro-variants/variant_position/credible/roussos_2024/variant_figures/roussos_2024.childhood.GABA/rs74759276_count_position.png",4,220,900)</f>
        <v/>
      </c>
      <c r="T1820">
        <f>IMAGE("https://mitra.stanford.edu/kundaje/oak/projects/neuro-variants/variant_position/credible/roussos_2024/variant_figures/roussos_2024.childhood.GABA/rs74759276_profile_position.png",4,220,900)</f>
        <v/>
      </c>
    </row>
    <row r="1821">
      <c r="A1821" t="inlineStr">
        <is>
          <t>chr17</t>
        </is>
      </c>
      <c r="B1821" t="n">
        <v>45992474</v>
      </c>
      <c r="C1821" t="inlineStr">
        <is>
          <t>G</t>
        </is>
      </c>
      <c r="D1821" t="inlineStr">
        <is>
          <t>A</t>
        </is>
      </c>
      <c r="E1821" t="inlineStr">
        <is>
          <t>rs17651887</t>
        </is>
      </c>
      <c r="F1821" t="n">
        <v>0.0435303526</v>
      </c>
      <c r="G1821" t="n">
        <v>0.1866467321879239</v>
      </c>
      <c r="H1821" t="n">
        <v>0.0154851676000052</v>
      </c>
      <c r="I1821" t="n">
        <v>0.201048226222133</v>
      </c>
      <c r="J1821" t="n">
        <v>0.4346212644761366</v>
      </c>
      <c r="K1821" t="n">
        <v>0.07299665801672479</v>
      </c>
      <c r="L1821" t="b">
        <v>0</v>
      </c>
      <c r="M1821" t="b">
        <v>0</v>
      </c>
      <c r="N1821" t="inlineStr">
        <is>
          <t>alt</t>
        </is>
      </c>
      <c r="O1821" t="n">
        <v>-100</v>
      </c>
      <c r="P1821" t="n">
        <v>0.00911</v>
      </c>
      <c r="Q1821" t="n">
        <v>-100</v>
      </c>
      <c r="R1821" t="n">
        <v>0.0432</v>
      </c>
      <c r="S1821">
        <f>IMAGE("https://mitra.stanford.edu/kundaje/oak/projects/neuro-variants/variant_position/credible/roussos_2024/variant_figures/roussos_2024.childhood.GABA/rs17651887_count_position.png",4,220,900)</f>
        <v/>
      </c>
      <c r="T1821">
        <f>IMAGE("https://mitra.stanford.edu/kundaje/oak/projects/neuro-variants/variant_position/credible/roussos_2024/variant_figures/roussos_2024.childhood.GABA/rs17651887_profile_position.png",4,220,900)</f>
        <v/>
      </c>
    </row>
    <row r="1822">
      <c r="A1822" t="inlineStr">
        <is>
          <t>chr17</t>
        </is>
      </c>
      <c r="B1822" t="n">
        <v>45993590</v>
      </c>
      <c r="C1822" t="inlineStr">
        <is>
          <t>T</t>
        </is>
      </c>
      <c r="D1822" t="inlineStr">
        <is>
          <t>A</t>
        </is>
      </c>
      <c r="E1822" t="inlineStr">
        <is>
          <t>rs55913645</t>
        </is>
      </c>
      <c r="F1822" t="n">
        <v>-0.0036388924229999</v>
      </c>
      <c r="G1822" t="n">
        <v>0.8536939974240449</v>
      </c>
      <c r="H1822" t="n">
        <v>0.028219390644367</v>
      </c>
      <c r="I1822" t="n">
        <v>0.0164773542577108</v>
      </c>
      <c r="J1822" t="n">
        <v>0.2306318192289166</v>
      </c>
      <c r="K1822" t="n">
        <v>0.1901538954025926</v>
      </c>
      <c r="L1822" t="b">
        <v>1</v>
      </c>
      <c r="M1822" t="b">
        <v>0</v>
      </c>
      <c r="N1822" t="inlineStr">
        <is>
          <t>ref</t>
        </is>
      </c>
      <c r="O1822" t="n">
        <v>-90</v>
      </c>
      <c r="P1822" t="n">
        <v>0.01412</v>
      </c>
      <c r="Q1822" t="n">
        <v>-100</v>
      </c>
      <c r="R1822" t="n">
        <v>0.09265</v>
      </c>
      <c r="S1822">
        <f>IMAGE("https://mitra.stanford.edu/kundaje/oak/projects/neuro-variants/variant_position/credible/roussos_2024/variant_figures/roussos_2024.childhood.GABA/rs55913645_count_position.png",4,220,900)</f>
        <v/>
      </c>
      <c r="T1822">
        <f>IMAGE("https://mitra.stanford.edu/kundaje/oak/projects/neuro-variants/variant_position/credible/roussos_2024/variant_figures/roussos_2024.childhood.GABA/rs55913645_profile_position.png",4,220,900)</f>
        <v/>
      </c>
    </row>
    <row r="1823">
      <c r="A1823" t="inlineStr">
        <is>
          <t>chr17</t>
        </is>
      </c>
      <c r="B1823" t="n">
        <v>45995696</v>
      </c>
      <c r="C1823" t="inlineStr">
        <is>
          <t>T</t>
        </is>
      </c>
      <c r="D1823" t="inlineStr">
        <is>
          <t>G</t>
        </is>
      </c>
      <c r="E1823" t="inlineStr">
        <is>
          <t>rs62063849</t>
        </is>
      </c>
      <c r="F1823" t="n">
        <v>-0.0106407061999999</v>
      </c>
      <c r="G1823" t="n">
        <v>0.5002237016518782</v>
      </c>
      <c r="H1823" t="n">
        <v>0.0106852622417652</v>
      </c>
      <c r="I1823" t="n">
        <v>0.5376570143576934</v>
      </c>
      <c r="J1823" t="n">
        <v>0.3919687545810558</v>
      </c>
      <c r="K1823" t="n">
        <v>0.0895587741235794</v>
      </c>
      <c r="L1823" t="b">
        <v>0</v>
      </c>
      <c r="M1823" t="b">
        <v>0</v>
      </c>
      <c r="N1823" t="inlineStr">
        <is>
          <t>ref</t>
        </is>
      </c>
      <c r="O1823" t="n">
        <v>-100</v>
      </c>
      <c r="P1823" t="n">
        <v>0.003857</v>
      </c>
      <c r="Q1823" t="n">
        <v>95</v>
      </c>
      <c r="R1823" t="n">
        <v>0.04126</v>
      </c>
      <c r="S1823">
        <f>IMAGE("https://mitra.stanford.edu/kundaje/oak/projects/neuro-variants/variant_position/credible/roussos_2024/variant_figures/roussos_2024.childhood.GABA/rs62063849_count_position.png",4,220,900)</f>
        <v/>
      </c>
      <c r="T1823">
        <f>IMAGE("https://mitra.stanford.edu/kundaje/oak/projects/neuro-variants/variant_position/credible/roussos_2024/variant_figures/roussos_2024.childhood.GABA/rs62063849_profile_position.png",4,220,900)</f>
        <v/>
      </c>
    </row>
    <row r="1824">
      <c r="A1824" t="inlineStr">
        <is>
          <t>chr17</t>
        </is>
      </c>
      <c r="B1824" t="n">
        <v>45997069</v>
      </c>
      <c r="C1824" t="inlineStr">
        <is>
          <t>C</t>
        </is>
      </c>
      <c r="D1824" t="inlineStr">
        <is>
          <t>G</t>
        </is>
      </c>
      <c r="E1824" t="inlineStr">
        <is>
          <t>rs62063851</t>
        </is>
      </c>
      <c r="F1824" t="n">
        <v>-0.05550674588</v>
      </c>
      <c r="G1824" t="n">
        <v>0.1266672210473135</v>
      </c>
      <c r="H1824" t="n">
        <v>0.0160888481320228</v>
      </c>
      <c r="I1824" t="n">
        <v>0.178079195711882</v>
      </c>
      <c r="J1824" t="n">
        <v>0.5761690854641788</v>
      </c>
      <c r="K1824" t="n">
        <v>0.0321369486390102</v>
      </c>
      <c r="L1824" t="b">
        <v>0</v>
      </c>
      <c r="M1824" t="b">
        <v>0</v>
      </c>
      <c r="N1824" t="inlineStr">
        <is>
          <t>ref</t>
        </is>
      </c>
      <c r="O1824" t="n">
        <v>15</v>
      </c>
      <c r="P1824" t="n">
        <v>0.000248</v>
      </c>
      <c r="Q1824" t="n">
        <v>-55</v>
      </c>
      <c r="R1824" t="n">
        <v>0.05176</v>
      </c>
      <c r="S1824">
        <f>IMAGE("https://mitra.stanford.edu/kundaje/oak/projects/neuro-variants/variant_position/credible/roussos_2024/variant_figures/roussos_2024.childhood.GABA/rs62063851_count_position.png",4,220,900)</f>
        <v/>
      </c>
      <c r="T1824">
        <f>IMAGE("https://mitra.stanford.edu/kundaje/oak/projects/neuro-variants/variant_position/credible/roussos_2024/variant_figures/roussos_2024.childhood.GABA/rs62063851_profile_position.png",4,220,900)</f>
        <v/>
      </c>
    </row>
    <row r="1825">
      <c r="A1825" t="inlineStr">
        <is>
          <t>chr17</t>
        </is>
      </c>
      <c r="B1825" t="n">
        <v>45997733</v>
      </c>
      <c r="C1825" t="inlineStr">
        <is>
          <t>T</t>
        </is>
      </c>
      <c r="D1825" t="inlineStr">
        <is>
          <t>C</t>
        </is>
      </c>
      <c r="E1825" t="inlineStr">
        <is>
          <t>rs2004673</t>
        </is>
      </c>
      <c r="F1825" t="n">
        <v>0.00938096854</v>
      </c>
      <c r="G1825" t="n">
        <v>0.635449178181909</v>
      </c>
      <c r="H1825" t="n">
        <v>0.009152070409622799</v>
      </c>
      <c r="I1825" t="n">
        <v>0.7322322477966248</v>
      </c>
      <c r="J1825" t="n">
        <v>0.4895457686750015</v>
      </c>
      <c r="K1825" t="n">
        <v>0.0527157643250567</v>
      </c>
      <c r="L1825" t="b">
        <v>0</v>
      </c>
      <c r="M1825" t="b">
        <v>0</v>
      </c>
      <c r="N1825" t="inlineStr">
        <is>
          <t>alt</t>
        </is>
      </c>
      <c r="O1825" t="n">
        <v>-95</v>
      </c>
      <c r="P1825" t="n">
        <v>0.00835</v>
      </c>
      <c r="Q1825" t="n">
        <v>100</v>
      </c>
      <c r="R1825" t="n">
        <v>0.1023</v>
      </c>
      <c r="S1825">
        <f>IMAGE("https://mitra.stanford.edu/kundaje/oak/projects/neuro-variants/variant_position/credible/roussos_2024/variant_figures/roussos_2024.childhood.GABA/rs2004673_count_position.png",4,220,900)</f>
        <v/>
      </c>
      <c r="T1825">
        <f>IMAGE("https://mitra.stanford.edu/kundaje/oak/projects/neuro-variants/variant_position/credible/roussos_2024/variant_figures/roussos_2024.childhood.GABA/rs2004673_profile_position.png",4,220,900)</f>
        <v/>
      </c>
    </row>
    <row r="1826">
      <c r="A1826" t="inlineStr">
        <is>
          <t>chr17</t>
        </is>
      </c>
      <c r="B1826" t="n">
        <v>45998471</v>
      </c>
      <c r="C1826" t="inlineStr">
        <is>
          <t>T</t>
        </is>
      </c>
      <c r="D1826" t="inlineStr">
        <is>
          <t>C</t>
        </is>
      </c>
      <c r="E1826" t="inlineStr">
        <is>
          <t>rs1078269</t>
        </is>
      </c>
      <c r="F1826" t="n">
        <v>0.0132337156</v>
      </c>
      <c r="G1826" t="n">
        <v>0.523050048065939</v>
      </c>
      <c r="H1826" t="n">
        <v>0.0142308254988869</v>
      </c>
      <c r="I1826" t="n">
        <v>0.2677914743959404</v>
      </c>
      <c r="J1826" t="n">
        <v>0.4692079747021004</v>
      </c>
      <c r="K1826" t="n">
        <v>0.0595597656835028</v>
      </c>
      <c r="L1826" t="b">
        <v>0</v>
      </c>
      <c r="M1826" t="b">
        <v>0</v>
      </c>
      <c r="N1826" t="inlineStr">
        <is>
          <t>alt</t>
        </is>
      </c>
      <c r="O1826" t="n">
        <v>-100</v>
      </c>
      <c r="P1826" t="n">
        <v>0.0121</v>
      </c>
      <c r="Q1826" t="n">
        <v>-100</v>
      </c>
      <c r="R1826" t="n">
        <v>0.0249</v>
      </c>
      <c r="S1826">
        <f>IMAGE("https://mitra.stanford.edu/kundaje/oak/projects/neuro-variants/variant_position/credible/roussos_2024/variant_figures/roussos_2024.childhood.GABA/rs1078269_count_position.png",4,220,900)</f>
        <v/>
      </c>
      <c r="T1826">
        <f>IMAGE("https://mitra.stanford.edu/kundaje/oak/projects/neuro-variants/variant_position/credible/roussos_2024/variant_figures/roussos_2024.childhood.GABA/rs1078269_profile_position.png",4,220,900)</f>
        <v/>
      </c>
    </row>
    <row r="1827">
      <c r="A1827" t="inlineStr">
        <is>
          <t>chr17</t>
        </is>
      </c>
      <c r="B1827" t="n">
        <v>46001466</v>
      </c>
      <c r="C1827" t="inlineStr">
        <is>
          <t>G</t>
        </is>
      </c>
      <c r="D1827" t="inlineStr">
        <is>
          <t>A</t>
        </is>
      </c>
      <c r="E1827" t="inlineStr">
        <is>
          <t>rs62064660</t>
        </is>
      </c>
      <c r="F1827" t="n">
        <v>0.01279462914</v>
      </c>
      <c r="G1827" t="n">
        <v>0.5496396164322955</v>
      </c>
      <c r="H1827" t="n">
        <v>0.0271701621332729</v>
      </c>
      <c r="I1827" t="n">
        <v>0.0195048621608191</v>
      </c>
      <c r="J1827" t="n">
        <v>0.0880044396975979</v>
      </c>
      <c r="K1827" t="n">
        <v>0.3939449528055325</v>
      </c>
      <c r="L1827" t="b">
        <v>1</v>
      </c>
      <c r="M1827" t="b">
        <v>0</v>
      </c>
      <c r="N1827" t="inlineStr">
        <is>
          <t>alt</t>
        </is>
      </c>
      <c r="O1827" t="n">
        <v>-60</v>
      </c>
      <c r="P1827" t="n">
        <v>0.01822</v>
      </c>
      <c r="Q1827" t="n">
        <v>90</v>
      </c>
      <c r="R1827" t="n">
        <v>0.06177</v>
      </c>
      <c r="S1827">
        <f>IMAGE("https://mitra.stanford.edu/kundaje/oak/projects/neuro-variants/variant_position/credible/roussos_2024/variant_figures/roussos_2024.childhood.GABA/rs62064660_count_position.png",4,220,900)</f>
        <v/>
      </c>
      <c r="T1827">
        <f>IMAGE("https://mitra.stanford.edu/kundaje/oak/projects/neuro-variants/variant_position/credible/roussos_2024/variant_figures/roussos_2024.childhood.GABA/rs62064660_profile_position.png",4,220,900)</f>
        <v/>
      </c>
    </row>
    <row r="1828">
      <c r="A1828" t="inlineStr">
        <is>
          <t>chr17</t>
        </is>
      </c>
      <c r="B1828" t="n">
        <v>46004161</v>
      </c>
      <c r="C1828" t="inlineStr">
        <is>
          <t>T</t>
        </is>
      </c>
      <c r="D1828" t="inlineStr">
        <is>
          <t>C</t>
        </is>
      </c>
      <c r="E1828" t="inlineStr">
        <is>
          <t>rs62064665</t>
        </is>
      </c>
      <c r="F1828" t="n">
        <v>0.0282531896</v>
      </c>
      <c r="G1828" t="n">
        <v>0.2382046709488959</v>
      </c>
      <c r="H1828" t="n">
        <v>0.011579911269529</v>
      </c>
      <c r="I1828" t="n">
        <v>0.4430456228395046</v>
      </c>
      <c r="J1828" t="n">
        <v>0.2381667399635609</v>
      </c>
      <c r="K1828" t="n">
        <v>0.1794687946701963</v>
      </c>
      <c r="L1828" t="b">
        <v>0</v>
      </c>
      <c r="M1828" t="b">
        <v>0</v>
      </c>
      <c r="N1828" t="inlineStr">
        <is>
          <t>alt</t>
        </is>
      </c>
      <c r="O1828" t="n">
        <v>-60</v>
      </c>
      <c r="P1828" t="n">
        <v>0.003128</v>
      </c>
      <c r="Q1828" t="n">
        <v>30</v>
      </c>
      <c r="R1828" t="n">
        <v>0.001221</v>
      </c>
      <c r="S1828">
        <f>IMAGE("https://mitra.stanford.edu/kundaje/oak/projects/neuro-variants/variant_position/credible/roussos_2024/variant_figures/roussos_2024.childhood.GABA/rs62064665_count_position.png",4,220,900)</f>
        <v/>
      </c>
      <c r="T1828">
        <f>IMAGE("https://mitra.stanford.edu/kundaje/oak/projects/neuro-variants/variant_position/credible/roussos_2024/variant_figures/roussos_2024.childhood.GABA/rs62064665_profile_position.png",4,220,900)</f>
        <v/>
      </c>
    </row>
    <row r="1829">
      <c r="A1829" t="inlineStr">
        <is>
          <t>chr17</t>
        </is>
      </c>
      <c r="B1829" t="n">
        <v>46005237</v>
      </c>
      <c r="C1829" t="inlineStr">
        <is>
          <t>A</t>
        </is>
      </c>
      <c r="D1829" t="inlineStr">
        <is>
          <t>C</t>
        </is>
      </c>
      <c r="E1829" t="inlineStr">
        <is>
          <t>rs17573593</t>
        </is>
      </c>
      <c r="F1829" t="n">
        <v>0.1863429048</v>
      </c>
      <c r="G1829" t="n">
        <v>0.009972563395369999</v>
      </c>
      <c r="H1829" t="n">
        <v>0.0357996190378871</v>
      </c>
      <c r="I1829" t="n">
        <v>0.0126278432773376</v>
      </c>
      <c r="J1829" t="n">
        <v>0.0841490230571087</v>
      </c>
      <c r="K1829" t="n">
        <v>0.3921908151489289</v>
      </c>
      <c r="L1829" t="b">
        <v>1</v>
      </c>
      <c r="M1829" t="b">
        <v>0</v>
      </c>
      <c r="N1829" t="inlineStr">
        <is>
          <t>alt</t>
        </is>
      </c>
      <c r="O1829" t="n">
        <v>-15</v>
      </c>
      <c r="P1829" t="n">
        <v>0.0008316</v>
      </c>
      <c r="Q1829" t="n">
        <v>-90</v>
      </c>
      <c r="R1829" t="n">
        <v>0.11993</v>
      </c>
      <c r="S1829">
        <f>IMAGE("https://mitra.stanford.edu/kundaje/oak/projects/neuro-variants/variant_position/credible/roussos_2024/variant_figures/roussos_2024.childhood.GABA/rs17573593_count_position.png",4,220,900)</f>
        <v/>
      </c>
      <c r="T1829">
        <f>IMAGE("https://mitra.stanford.edu/kundaje/oak/projects/neuro-variants/variant_position/credible/roussos_2024/variant_figures/roussos_2024.childhood.GABA/rs17573593_profile_position.png",4,220,900)</f>
        <v/>
      </c>
    </row>
    <row r="1830">
      <c r="A1830" t="inlineStr">
        <is>
          <t>chr17</t>
        </is>
      </c>
      <c r="B1830" t="n">
        <v>46005957</v>
      </c>
      <c r="C1830" t="inlineStr">
        <is>
          <t>C</t>
        </is>
      </c>
      <c r="D1830" t="inlineStr">
        <is>
          <t>T</t>
        </is>
      </c>
      <c r="E1830" t="inlineStr">
        <is>
          <t>rs17652337</t>
        </is>
      </c>
      <c r="F1830" t="n">
        <v>-0.0398612443999999</v>
      </c>
      <c r="G1830" t="n">
        <v>0.2117995302810032</v>
      </c>
      <c r="H1830" t="n">
        <v>0.0155250098284508</v>
      </c>
      <c r="I1830" t="n">
        <v>0.2015892781997977</v>
      </c>
      <c r="J1830" t="n">
        <v>0.0823867562982973</v>
      </c>
      <c r="K1830" t="n">
        <v>0.399563080362387</v>
      </c>
      <c r="L1830" t="b">
        <v>0</v>
      </c>
      <c r="M1830" t="b">
        <v>0</v>
      </c>
      <c r="N1830" t="inlineStr">
        <is>
          <t>ref</t>
        </is>
      </c>
      <c r="O1830" t="n">
        <v>40</v>
      </c>
      <c r="P1830" t="n">
        <v>0.002895</v>
      </c>
      <c r="Q1830" t="n">
        <v>-85</v>
      </c>
      <c r="R1830" t="n">
        <v>0.1523</v>
      </c>
      <c r="S1830">
        <f>IMAGE("https://mitra.stanford.edu/kundaje/oak/projects/neuro-variants/variant_position/credible/roussos_2024/variant_figures/roussos_2024.childhood.GABA/rs17652337_count_position.png",4,220,900)</f>
        <v/>
      </c>
      <c r="T1830">
        <f>IMAGE("https://mitra.stanford.edu/kundaje/oak/projects/neuro-variants/variant_position/credible/roussos_2024/variant_figures/roussos_2024.childhood.GABA/rs17652337_profile_position.png",4,220,900)</f>
        <v/>
      </c>
    </row>
    <row r="1831">
      <c r="A1831" t="inlineStr">
        <is>
          <t>chr17</t>
        </is>
      </c>
      <c r="B1831" t="n">
        <v>46007167</v>
      </c>
      <c r="C1831" t="inlineStr">
        <is>
          <t>T</t>
        </is>
      </c>
      <c r="D1831" t="inlineStr">
        <is>
          <t>C</t>
        </is>
      </c>
      <c r="E1831" t="inlineStr">
        <is>
          <t>rs74829364</t>
        </is>
      </c>
      <c r="F1831" t="n">
        <v>-0.01020580128</v>
      </c>
      <c r="G1831" t="n">
        <v>0.635887040510551</v>
      </c>
      <c r="H1831" t="n">
        <v>0.0283023905385865</v>
      </c>
      <c r="I1831" t="n">
        <v>0.0173959221960339</v>
      </c>
      <c r="J1831" t="n">
        <v>0.0832380473707356</v>
      </c>
      <c r="K1831" t="n">
        <v>0.3880149912741387</v>
      </c>
      <c r="L1831" t="b">
        <v>1</v>
      </c>
      <c r="M1831" t="b">
        <v>0</v>
      </c>
      <c r="N1831" t="inlineStr">
        <is>
          <t>ref</t>
        </is>
      </c>
      <c r="O1831" t="n">
        <v>-100</v>
      </c>
      <c r="P1831" t="n">
        <v>0.1792</v>
      </c>
      <c r="Q1831" t="n">
        <v>100</v>
      </c>
      <c r="R1831" t="n">
        <v>0.09143</v>
      </c>
      <c r="S1831">
        <f>IMAGE("https://mitra.stanford.edu/kundaje/oak/projects/neuro-variants/variant_position/credible/roussos_2024/variant_figures/roussos_2024.childhood.GABA/rs74829364_count_position.png",4,220,900)</f>
        <v/>
      </c>
      <c r="T1831">
        <f>IMAGE("https://mitra.stanford.edu/kundaje/oak/projects/neuro-variants/variant_position/credible/roussos_2024/variant_figures/roussos_2024.childhood.GABA/rs74829364_profile_position.png",4,220,900)</f>
        <v/>
      </c>
    </row>
    <row r="1832">
      <c r="A1832" t="inlineStr">
        <is>
          <t>chr17</t>
        </is>
      </c>
      <c r="B1832" t="n">
        <v>46009155</v>
      </c>
      <c r="C1832" t="inlineStr">
        <is>
          <t>G</t>
        </is>
      </c>
      <c r="D1832" t="inlineStr">
        <is>
          <t>A</t>
        </is>
      </c>
      <c r="E1832" t="inlineStr">
        <is>
          <t>rs62064672</t>
        </is>
      </c>
      <c r="F1832" t="n">
        <v>0.03741902134</v>
      </c>
      <c r="G1832" t="n">
        <v>0.209798692963315</v>
      </c>
      <c r="H1832" t="n">
        <v>0.0130238571553801</v>
      </c>
      <c r="I1832" t="n">
        <v>0.3344532624701729</v>
      </c>
      <c r="J1832" t="n">
        <v>0.2118929446503737</v>
      </c>
      <c r="K1832" t="n">
        <v>0.206358963728802</v>
      </c>
      <c r="L1832" t="b">
        <v>0</v>
      </c>
      <c r="M1832" t="b">
        <v>0</v>
      </c>
      <c r="N1832" t="inlineStr">
        <is>
          <t>alt</t>
        </is>
      </c>
      <c r="O1832" t="n">
        <v>100</v>
      </c>
      <c r="P1832" t="n">
        <v>0.0132</v>
      </c>
      <c r="Q1832" t="n">
        <v>100</v>
      </c>
      <c r="R1832" t="n">
        <v>0.06304999999999999</v>
      </c>
      <c r="S1832">
        <f>IMAGE("https://mitra.stanford.edu/kundaje/oak/projects/neuro-variants/variant_position/credible/roussos_2024/variant_figures/roussos_2024.childhood.GABA/rs62064672_count_position.png",4,220,900)</f>
        <v/>
      </c>
      <c r="T1832">
        <f>IMAGE("https://mitra.stanford.edu/kundaje/oak/projects/neuro-variants/variant_position/credible/roussos_2024/variant_figures/roussos_2024.childhood.GABA/rs62064672_profile_position.png",4,220,900)</f>
        <v/>
      </c>
    </row>
    <row r="1833">
      <c r="A1833" t="inlineStr">
        <is>
          <t>chr17</t>
        </is>
      </c>
      <c r="B1833" t="n">
        <v>46011406</v>
      </c>
      <c r="C1833" t="inlineStr">
        <is>
          <t>C</t>
        </is>
      </c>
      <c r="D1833" t="inlineStr">
        <is>
          <t>A</t>
        </is>
      </c>
      <c r="E1833" t="inlineStr">
        <is>
          <t>rs62064674</t>
        </is>
      </c>
      <c r="F1833" t="n">
        <v>0.002909967868</v>
      </c>
      <c r="G1833" t="n">
        <v>0.8562829084325819</v>
      </c>
      <c r="H1833" t="n">
        <v>0.0174818640727322</v>
      </c>
      <c r="I1833" t="n">
        <v>0.1319622178072189</v>
      </c>
      <c r="J1833" t="n">
        <v>0.4146133065276119</v>
      </c>
      <c r="K1833" t="n">
        <v>0.0784558522847273</v>
      </c>
      <c r="L1833" t="b">
        <v>0</v>
      </c>
      <c r="M1833" t="b">
        <v>0</v>
      </c>
      <c r="N1833" t="inlineStr">
        <is>
          <t>alt</t>
        </is>
      </c>
      <c r="O1833" t="n">
        <v>35</v>
      </c>
      <c r="P1833" t="n">
        <v>0.002396</v>
      </c>
      <c r="Q1833" t="n">
        <v>35</v>
      </c>
      <c r="R1833" t="n">
        <v>0.0707</v>
      </c>
      <c r="S1833">
        <f>IMAGE("https://mitra.stanford.edu/kundaje/oak/projects/neuro-variants/variant_position/credible/roussos_2024/variant_figures/roussos_2024.childhood.GABA/rs62064674_count_position.png",4,220,900)</f>
        <v/>
      </c>
      <c r="T1833">
        <f>IMAGE("https://mitra.stanford.edu/kundaje/oak/projects/neuro-variants/variant_position/credible/roussos_2024/variant_figures/roussos_2024.childhood.GABA/rs62064674_profile_position.png",4,220,900)</f>
        <v/>
      </c>
    </row>
    <row r="1834">
      <c r="A1834" t="inlineStr">
        <is>
          <t>chr17</t>
        </is>
      </c>
      <c r="B1834" t="n">
        <v>46011742</v>
      </c>
      <c r="C1834" t="inlineStr">
        <is>
          <t>T</t>
        </is>
      </c>
      <c r="D1834" t="inlineStr">
        <is>
          <t>C</t>
        </is>
      </c>
      <c r="E1834" t="inlineStr">
        <is>
          <t>rs76723223</t>
        </is>
      </c>
      <c r="F1834" t="n">
        <v>0.0694422634</v>
      </c>
      <c r="G1834" t="n">
        <v>0.0690407341413177</v>
      </c>
      <c r="H1834" t="n">
        <v>0.0108797594413952</v>
      </c>
      <c r="I1834" t="n">
        <v>0.5481936394240732</v>
      </c>
      <c r="J1834" t="n">
        <v>0.4434441163535842</v>
      </c>
      <c r="K1834" t="n">
        <v>0.0679598911906607</v>
      </c>
      <c r="L1834" t="b">
        <v>0</v>
      </c>
      <c r="M1834" t="b">
        <v>0</v>
      </c>
      <c r="N1834" t="inlineStr">
        <is>
          <t>alt</t>
        </is>
      </c>
      <c r="O1834" t="n">
        <v>45</v>
      </c>
      <c r="P1834" t="n">
        <v>0.001696</v>
      </c>
      <c r="Q1834" t="n">
        <v>-80</v>
      </c>
      <c r="R1834" t="n">
        <v>0.0407</v>
      </c>
      <c r="S1834">
        <f>IMAGE("https://mitra.stanford.edu/kundaje/oak/projects/neuro-variants/variant_position/credible/roussos_2024/variant_figures/roussos_2024.childhood.GABA/rs76723223_count_position.png",4,220,900)</f>
        <v/>
      </c>
      <c r="T1834">
        <f>IMAGE("https://mitra.stanford.edu/kundaje/oak/projects/neuro-variants/variant_position/credible/roussos_2024/variant_figures/roussos_2024.childhood.GABA/rs76723223_profile_position.png",4,220,900)</f>
        <v/>
      </c>
    </row>
    <row r="1835">
      <c r="A1835" t="inlineStr">
        <is>
          <t>chr17</t>
        </is>
      </c>
      <c r="B1835" t="n">
        <v>46012197</v>
      </c>
      <c r="C1835" t="inlineStr">
        <is>
          <t>C</t>
        </is>
      </c>
      <c r="D1835" t="inlineStr">
        <is>
          <t>T</t>
        </is>
      </c>
      <c r="E1835" t="inlineStr">
        <is>
          <t>rs733966</t>
        </is>
      </c>
      <c r="F1835" t="n">
        <v>-0.08198828499999999</v>
      </c>
      <c r="G1835" t="n">
        <v>0.0576098849613258</v>
      </c>
      <c r="H1835" t="n">
        <v>0.0153112442276224</v>
      </c>
      <c r="I1835" t="n">
        <v>0.2103372047095435</v>
      </c>
      <c r="J1835" t="n">
        <v>0.5351636614940001</v>
      </c>
      <c r="K1835" t="n">
        <v>0.0423243359491053</v>
      </c>
      <c r="L1835" t="b">
        <v>0</v>
      </c>
      <c r="M1835" t="b">
        <v>0</v>
      </c>
      <c r="N1835" t="inlineStr">
        <is>
          <t>ref</t>
        </is>
      </c>
      <c r="O1835" t="n">
        <v>100</v>
      </c>
      <c r="P1835" t="n">
        <v>0.01141</v>
      </c>
      <c r="Q1835" t="n">
        <v>100</v>
      </c>
      <c r="R1835" t="n">
        <v>0.1604</v>
      </c>
      <c r="S1835">
        <f>IMAGE("https://mitra.stanford.edu/kundaje/oak/projects/neuro-variants/variant_position/credible/roussos_2024/variant_figures/roussos_2024.childhood.GABA/rs733966_count_position.png",4,220,900)</f>
        <v/>
      </c>
      <c r="T1835">
        <f>IMAGE("https://mitra.stanford.edu/kundaje/oak/projects/neuro-variants/variant_position/credible/roussos_2024/variant_figures/roussos_2024.childhood.GABA/rs733966_profile_position.png",4,220,900)</f>
        <v/>
      </c>
    </row>
    <row r="1836">
      <c r="A1836" t="inlineStr">
        <is>
          <t>chr17</t>
        </is>
      </c>
      <c r="B1836" t="n">
        <v>46012361</v>
      </c>
      <c r="C1836" t="inlineStr">
        <is>
          <t>G</t>
        </is>
      </c>
      <c r="D1836" t="inlineStr">
        <is>
          <t>A</t>
        </is>
      </c>
      <c r="E1836" t="inlineStr">
        <is>
          <t>rs733969</t>
        </is>
      </c>
      <c r="F1836" t="n">
        <v>-0.0170805992</v>
      </c>
      <c r="G1836" t="n">
        <v>0.4677770237198665</v>
      </c>
      <c r="H1836" t="n">
        <v>0.008841179873794101</v>
      </c>
      <c r="I1836" t="n">
        <v>0.767867540091666</v>
      </c>
      <c r="J1836" t="n">
        <v>0.5502942346757136</v>
      </c>
      <c r="K1836" t="n">
        <v>0.0388713329871157</v>
      </c>
      <c r="L1836" t="b">
        <v>0</v>
      </c>
      <c r="M1836" t="b">
        <v>0</v>
      </c>
      <c r="N1836" t="inlineStr">
        <is>
          <t>ref</t>
        </is>
      </c>
      <c r="O1836" t="n">
        <v>35</v>
      </c>
      <c r="P1836" t="n">
        <v>0.00408</v>
      </c>
      <c r="Q1836" t="n">
        <v>-45</v>
      </c>
      <c r="R1836" t="n">
        <v>0.09329999999999999</v>
      </c>
      <c r="S1836">
        <f>IMAGE("https://mitra.stanford.edu/kundaje/oak/projects/neuro-variants/variant_position/credible/roussos_2024/variant_figures/roussos_2024.childhood.GABA/rs733969_count_position.png",4,220,900)</f>
        <v/>
      </c>
      <c r="T1836">
        <f>IMAGE("https://mitra.stanford.edu/kundaje/oak/projects/neuro-variants/variant_position/credible/roussos_2024/variant_figures/roussos_2024.childhood.GABA/rs733969_profile_position.png",4,220,900)</f>
        <v/>
      </c>
    </row>
    <row r="1837">
      <c r="A1837" t="inlineStr">
        <is>
          <t>chr17</t>
        </is>
      </c>
      <c r="B1837" t="n">
        <v>46012870</v>
      </c>
      <c r="C1837" t="inlineStr">
        <is>
          <t>T</t>
        </is>
      </c>
      <c r="D1837" t="inlineStr">
        <is>
          <t>C</t>
        </is>
      </c>
      <c r="E1837" t="inlineStr">
        <is>
          <t>rs4306559</t>
        </is>
      </c>
      <c r="F1837" t="n">
        <v>0.0738467532</v>
      </c>
      <c r="G1837" t="n">
        <v>0.0576636674149542</v>
      </c>
      <c r="H1837" t="n">
        <v>0.0175352471692285</v>
      </c>
      <c r="I1837" t="n">
        <v>0.1338564849943172</v>
      </c>
      <c r="J1837" t="n">
        <v>0.5328181608762119</v>
      </c>
      <c r="K1837" t="n">
        <v>0.0425553778330569</v>
      </c>
      <c r="L1837" t="b">
        <v>0</v>
      </c>
      <c r="M1837" t="b">
        <v>0</v>
      </c>
      <c r="N1837" t="inlineStr">
        <is>
          <t>alt</t>
        </is>
      </c>
      <c r="O1837" t="n">
        <v>-100</v>
      </c>
      <c r="P1837" t="n">
        <v>0.00384</v>
      </c>
      <c r="Q1837" t="n">
        <v>-90</v>
      </c>
      <c r="R1837" t="n">
        <v>0.08500000000000001</v>
      </c>
      <c r="S1837">
        <f>IMAGE("https://mitra.stanford.edu/kundaje/oak/projects/neuro-variants/variant_position/credible/roussos_2024/variant_figures/roussos_2024.childhood.GABA/rs4306559_count_position.png",4,220,900)</f>
        <v/>
      </c>
      <c r="T1837">
        <f>IMAGE("https://mitra.stanford.edu/kundaje/oak/projects/neuro-variants/variant_position/credible/roussos_2024/variant_figures/roussos_2024.childhood.GABA/rs4306559_profile_position.png",4,220,900)</f>
        <v/>
      </c>
    </row>
    <row r="1838">
      <c r="A1838" t="inlineStr">
        <is>
          <t>chr17</t>
        </is>
      </c>
      <c r="B1838" t="n">
        <v>46013829</v>
      </c>
      <c r="C1838" t="inlineStr">
        <is>
          <t>T</t>
        </is>
      </c>
      <c r="D1838" t="inlineStr">
        <is>
          <t>C</t>
        </is>
      </c>
      <c r="E1838" t="inlineStr">
        <is>
          <t>rs62062270</t>
        </is>
      </c>
      <c r="F1838" t="n">
        <v>-0.0663462347999999</v>
      </c>
      <c r="G1838" t="n">
        <v>0.0960202122972891</v>
      </c>
      <c r="H1838" t="n">
        <v>0.0249523842705017</v>
      </c>
      <c r="I1838" t="n">
        <v>0.0312243357852473</v>
      </c>
      <c r="J1838" t="n">
        <v>0.3274622520994324</v>
      </c>
      <c r="K1838" t="n">
        <v>0.1212767410722997</v>
      </c>
      <c r="L1838" t="b">
        <v>0</v>
      </c>
      <c r="M1838" t="b">
        <v>0</v>
      </c>
      <c r="N1838" t="inlineStr">
        <is>
          <t>ref</t>
        </is>
      </c>
      <c r="O1838" t="n">
        <v>-45</v>
      </c>
      <c r="P1838" t="n">
        <v>0.001205</v>
      </c>
      <c r="Q1838" t="n">
        <v>-50</v>
      </c>
      <c r="R1838" t="n">
        <v>0.05655</v>
      </c>
      <c r="S1838">
        <f>IMAGE("https://mitra.stanford.edu/kundaje/oak/projects/neuro-variants/variant_position/credible/roussos_2024/variant_figures/roussos_2024.childhood.GABA/rs62062270_count_position.png",4,220,900)</f>
        <v/>
      </c>
      <c r="T1838">
        <f>IMAGE("https://mitra.stanford.edu/kundaje/oak/projects/neuro-variants/variant_position/credible/roussos_2024/variant_figures/roussos_2024.childhood.GABA/rs62062270_profile_position.png",4,220,900)</f>
        <v/>
      </c>
    </row>
    <row r="1839">
      <c r="A1839" t="inlineStr">
        <is>
          <t>chr17</t>
        </is>
      </c>
      <c r="B1839" t="n">
        <v>46016130</v>
      </c>
      <c r="C1839" t="inlineStr">
        <is>
          <t>A</t>
        </is>
      </c>
      <c r="D1839" t="inlineStr">
        <is>
          <t>G</t>
        </is>
      </c>
      <c r="E1839" t="inlineStr">
        <is>
          <t>rs62062275</t>
        </is>
      </c>
      <c r="F1839" t="n">
        <v>0.0329815694</v>
      </c>
      <c r="G1839" t="n">
        <v>0.2565837301382366</v>
      </c>
      <c r="H1839" t="n">
        <v>0.009619206773071799</v>
      </c>
      <c r="I1839" t="n">
        <v>0.6785334412178099</v>
      </c>
      <c r="J1839" t="n">
        <v>0.0639693409562103</v>
      </c>
      <c r="K1839" t="n">
        <v>0.4606050702243056</v>
      </c>
      <c r="L1839" t="b">
        <v>0</v>
      </c>
      <c r="M1839" t="b">
        <v>0</v>
      </c>
      <c r="N1839" t="inlineStr">
        <is>
          <t>alt</t>
        </is>
      </c>
      <c r="O1839" t="n">
        <v>60</v>
      </c>
      <c r="P1839" t="n">
        <v>0.004944</v>
      </c>
      <c r="Q1839" t="n">
        <v>-100</v>
      </c>
      <c r="R1839" t="n">
        <v>0.12354</v>
      </c>
      <c r="S1839">
        <f>IMAGE("https://mitra.stanford.edu/kundaje/oak/projects/neuro-variants/variant_position/credible/roussos_2024/variant_figures/roussos_2024.childhood.GABA/rs62062275_count_position.png",4,220,900)</f>
        <v/>
      </c>
      <c r="T1839">
        <f>IMAGE("https://mitra.stanford.edu/kundaje/oak/projects/neuro-variants/variant_position/credible/roussos_2024/variant_figures/roussos_2024.childhood.GABA/rs62062275_profile_position.png",4,220,900)</f>
        <v/>
      </c>
    </row>
    <row r="1840">
      <c r="A1840" t="inlineStr">
        <is>
          <t>chr17</t>
        </is>
      </c>
      <c r="B1840" t="n">
        <v>46024197</v>
      </c>
      <c r="C1840" t="inlineStr">
        <is>
          <t>T</t>
        </is>
      </c>
      <c r="D1840" t="inlineStr">
        <is>
          <t>C</t>
        </is>
      </c>
      <c r="E1840" t="inlineStr">
        <is>
          <t>rs9468</t>
        </is>
      </c>
      <c r="F1840" t="n">
        <v>0.030070004</v>
      </c>
      <c r="G1840" t="n">
        <v>0.2843873443845195</v>
      </c>
      <c r="H1840" t="n">
        <v>0.0095322984062171</v>
      </c>
      <c r="I1840" t="n">
        <v>0.6969731419977858</v>
      </c>
      <c r="J1840" t="n">
        <v>0.4435320726267512</v>
      </c>
      <c r="K1840" t="n">
        <v>0.0686412952841976</v>
      </c>
      <c r="L1840" t="b">
        <v>0</v>
      </c>
      <c r="M1840" t="b">
        <v>0</v>
      </c>
      <c r="N1840" t="inlineStr">
        <is>
          <t>alt</t>
        </is>
      </c>
      <c r="O1840" t="n">
        <v>100</v>
      </c>
      <c r="P1840" t="n">
        <v>0.0534</v>
      </c>
      <c r="Q1840" t="n">
        <v>-50</v>
      </c>
      <c r="R1840" t="n">
        <v>0.05225</v>
      </c>
      <c r="S1840">
        <f>IMAGE("https://mitra.stanford.edu/kundaje/oak/projects/neuro-variants/variant_position/credible/roussos_2024/variant_figures/roussos_2024.childhood.GABA/rs9468_count_position.png",4,220,900)</f>
        <v/>
      </c>
      <c r="T1840">
        <f>IMAGE("https://mitra.stanford.edu/kundaje/oak/projects/neuro-variants/variant_position/credible/roussos_2024/variant_figures/roussos_2024.childhood.GABA/rs9468_profile_position.png",4,220,900)</f>
        <v/>
      </c>
    </row>
    <row r="1841">
      <c r="A1841" t="inlineStr">
        <is>
          <t>chr17</t>
        </is>
      </c>
      <c r="B1841" t="n">
        <v>46025272</v>
      </c>
      <c r="C1841" t="inlineStr">
        <is>
          <t>A</t>
        </is>
      </c>
      <c r="D1841" t="inlineStr">
        <is>
          <t>G</t>
        </is>
      </c>
      <c r="E1841" t="inlineStr">
        <is>
          <t>rs1052590</t>
        </is>
      </c>
      <c r="F1841" t="n">
        <v>0.064854315</v>
      </c>
      <c r="G1841" t="n">
        <v>0.07953036265065461</v>
      </c>
      <c r="H1841" t="n">
        <v>0.0135758142215431</v>
      </c>
      <c r="I1841" t="n">
        <v>0.3118415846573928</v>
      </c>
      <c r="J1841" t="n">
        <v>0.4613683483068417</v>
      </c>
      <c r="K1841" t="n">
        <v>0.0629751875938924</v>
      </c>
      <c r="L1841" t="b">
        <v>0</v>
      </c>
      <c r="M1841" t="b">
        <v>0</v>
      </c>
      <c r="N1841" t="inlineStr">
        <is>
          <t>alt</t>
        </is>
      </c>
      <c r="O1841" t="n">
        <v>20</v>
      </c>
      <c r="P1841" t="n">
        <v>0.000373</v>
      </c>
      <c r="Q1841" t="n">
        <v>15</v>
      </c>
      <c r="R1841" t="n">
        <v>0.0188</v>
      </c>
      <c r="S1841">
        <f>IMAGE("https://mitra.stanford.edu/kundaje/oak/projects/neuro-variants/variant_position/credible/roussos_2024/variant_figures/roussos_2024.childhood.GABA/rs1052590_count_position.png",4,220,900)</f>
        <v/>
      </c>
      <c r="T1841">
        <f>IMAGE("https://mitra.stanford.edu/kundaje/oak/projects/neuro-variants/variant_position/credible/roussos_2024/variant_figures/roussos_2024.childhood.GABA/rs1052590_profile_position.png",4,220,900)</f>
        <v/>
      </c>
    </row>
    <row r="1842">
      <c r="A1842" t="inlineStr">
        <is>
          <t>chr17</t>
        </is>
      </c>
      <c r="B1842" t="n">
        <v>46026250</v>
      </c>
      <c r="C1842" t="inlineStr">
        <is>
          <t>C</t>
        </is>
      </c>
      <c r="D1842" t="inlineStr">
        <is>
          <t>T</t>
        </is>
      </c>
      <c r="E1842" t="inlineStr">
        <is>
          <t>rs17652748</t>
        </is>
      </c>
      <c r="F1842" t="n">
        <v>0.0288808355999999</v>
      </c>
      <c r="G1842" t="n">
        <v>0.3035160452863005</v>
      </c>
      <c r="H1842" t="n">
        <v>0.0182916490077707</v>
      </c>
      <c r="I1842" t="n">
        <v>0.1092461528397586</v>
      </c>
      <c r="J1842" t="n">
        <v>0.4339511214424829</v>
      </c>
      <c r="K1842" t="n">
        <v>0.07236744324048799</v>
      </c>
      <c r="L1842" t="b">
        <v>0</v>
      </c>
      <c r="M1842" t="b">
        <v>0</v>
      </c>
      <c r="N1842" t="inlineStr">
        <is>
          <t>alt</t>
        </is>
      </c>
      <c r="O1842" t="n">
        <v>-85</v>
      </c>
      <c r="P1842" t="n">
        <v>0.06900000000000001</v>
      </c>
      <c r="Q1842" t="n">
        <v>55</v>
      </c>
      <c r="R1842" t="n">
        <v>0.05997</v>
      </c>
      <c r="S1842">
        <f>IMAGE("https://mitra.stanford.edu/kundaje/oak/projects/neuro-variants/variant_position/credible/roussos_2024/variant_figures/roussos_2024.childhood.GABA/rs17652748_count_position.png",4,220,900)</f>
        <v/>
      </c>
      <c r="T1842">
        <f>IMAGE("https://mitra.stanford.edu/kundaje/oak/projects/neuro-variants/variant_position/credible/roussos_2024/variant_figures/roussos_2024.childhood.GABA/rs17652748_profile_position.png",4,220,900)</f>
        <v/>
      </c>
    </row>
    <row r="1843">
      <c r="A1843" t="inlineStr">
        <is>
          <t>chr17</t>
        </is>
      </c>
      <c r="B1843" t="n">
        <v>46026459</v>
      </c>
      <c r="C1843" t="inlineStr">
        <is>
          <t>T</t>
        </is>
      </c>
      <c r="D1843" t="inlineStr">
        <is>
          <t>C</t>
        </is>
      </c>
      <c r="E1843" t="inlineStr">
        <is>
          <t>rs75010486</t>
        </is>
      </c>
      <c r="F1843" t="n">
        <v>0.0679764652</v>
      </c>
      <c r="G1843" t="n">
        <v>0.08497591898258861</v>
      </c>
      <c r="H1843" t="n">
        <v>0.0118347669136159</v>
      </c>
      <c r="I1843" t="n">
        <v>0.4166317499692088</v>
      </c>
      <c r="J1843" t="n">
        <v>0.4580417164038449</v>
      </c>
      <c r="K1843" t="n">
        <v>0.063895406856005</v>
      </c>
      <c r="L1843" t="b">
        <v>0</v>
      </c>
      <c r="M1843" t="b">
        <v>0</v>
      </c>
      <c r="N1843" t="inlineStr">
        <is>
          <t>alt</t>
        </is>
      </c>
      <c r="O1843" t="n">
        <v>-65</v>
      </c>
      <c r="P1843" t="n">
        <v>0.002329</v>
      </c>
      <c r="Q1843" t="n">
        <v>85</v>
      </c>
      <c r="R1843" t="n">
        <v>0.05994</v>
      </c>
      <c r="S1843">
        <f>IMAGE("https://mitra.stanford.edu/kundaje/oak/projects/neuro-variants/variant_position/credible/roussos_2024/variant_figures/roussos_2024.childhood.GABA/rs75010486_count_position.png",4,220,900)</f>
        <v/>
      </c>
      <c r="T1843">
        <f>IMAGE("https://mitra.stanford.edu/kundaje/oak/projects/neuro-variants/variant_position/credible/roussos_2024/variant_figures/roussos_2024.childhood.GABA/rs75010486_profile_position.png",4,220,900)</f>
        <v/>
      </c>
    </row>
    <row r="1844">
      <c r="A1844" t="inlineStr">
        <is>
          <t>chr17</t>
        </is>
      </c>
      <c r="B1844" t="n">
        <v>46028854</v>
      </c>
      <c r="C1844" t="inlineStr">
        <is>
          <t>A</t>
        </is>
      </c>
      <c r="D1844" t="inlineStr">
        <is>
          <t>G</t>
        </is>
      </c>
      <c r="E1844" t="inlineStr">
        <is>
          <t>rs79772576</t>
        </is>
      </c>
      <c r="F1844" t="n">
        <v>0.0676406678</v>
      </c>
      <c r="G1844" t="n">
        <v>0.0751080396746785</v>
      </c>
      <c r="H1844" t="n">
        <v>0.0126564887329171</v>
      </c>
      <c r="I1844" t="n">
        <v>0.3763062634175663</v>
      </c>
      <c r="J1844" t="n">
        <v>0.2174142949885865</v>
      </c>
      <c r="K1844" t="n">
        <v>0.2005183981584659</v>
      </c>
      <c r="L1844" t="b">
        <v>0</v>
      </c>
      <c r="M1844" t="b">
        <v>0</v>
      </c>
      <c r="N1844" t="inlineStr">
        <is>
          <t>alt</t>
        </is>
      </c>
      <c r="O1844" t="n">
        <v>100</v>
      </c>
      <c r="P1844" t="n">
        <v>0.03152</v>
      </c>
      <c r="Q1844" t="n">
        <v>100</v>
      </c>
      <c r="R1844" t="n">
        <v>0.0999</v>
      </c>
      <c r="S1844">
        <f>IMAGE("https://mitra.stanford.edu/kundaje/oak/projects/neuro-variants/variant_position/credible/roussos_2024/variant_figures/roussos_2024.childhood.GABA/rs79772576_count_position.png",4,220,900)</f>
        <v/>
      </c>
      <c r="T1844">
        <f>IMAGE("https://mitra.stanford.edu/kundaje/oak/projects/neuro-variants/variant_position/credible/roussos_2024/variant_figures/roussos_2024.childhood.GABA/rs79772576_profile_position.png",4,220,900)</f>
        <v/>
      </c>
    </row>
    <row r="1845">
      <c r="A1845" t="inlineStr">
        <is>
          <t>chr17</t>
        </is>
      </c>
      <c r="B1845" t="n">
        <v>46031540</v>
      </c>
      <c r="C1845" t="inlineStr">
        <is>
          <t>A</t>
        </is>
      </c>
      <c r="D1845" t="inlineStr">
        <is>
          <t>G</t>
        </is>
      </c>
      <c r="E1845" t="inlineStr">
        <is>
          <t>rs34579536</t>
        </is>
      </c>
      <c r="F1845" t="n">
        <v>-0.009058830028</v>
      </c>
      <c r="G1845" t="n">
        <v>0.5314808793577374</v>
      </c>
      <c r="H1845" t="n">
        <v>0.0109054657411356</v>
      </c>
      <c r="I1845" t="n">
        <v>0.5367477158902372</v>
      </c>
      <c r="J1845" t="n">
        <v>0.5044292266130552</v>
      </c>
      <c r="K1845" t="n">
        <v>0.0506989516573197</v>
      </c>
      <c r="L1845" t="b">
        <v>0</v>
      </c>
      <c r="M1845" t="b">
        <v>0</v>
      </c>
      <c r="N1845" t="inlineStr">
        <is>
          <t>ref</t>
        </is>
      </c>
      <c r="O1845" t="n">
        <v>-100</v>
      </c>
      <c r="P1845" t="n">
        <v>0.0858</v>
      </c>
      <c r="Q1845" t="n">
        <v>40</v>
      </c>
      <c r="R1845" t="n">
        <v>0.01929</v>
      </c>
      <c r="S1845">
        <f>IMAGE("https://mitra.stanford.edu/kundaje/oak/projects/neuro-variants/variant_position/credible/roussos_2024/variant_figures/roussos_2024.childhood.GABA/rs34579536_count_position.png",4,220,900)</f>
        <v/>
      </c>
      <c r="T1845">
        <f>IMAGE("https://mitra.stanford.edu/kundaje/oak/projects/neuro-variants/variant_position/credible/roussos_2024/variant_figures/roussos_2024.childhood.GABA/rs34579536_profile_position.png",4,220,900)</f>
        <v/>
      </c>
    </row>
    <row r="1846">
      <c r="A1846" t="inlineStr">
        <is>
          <t>chr17</t>
        </is>
      </c>
      <c r="B1846" t="n">
        <v>46033743</v>
      </c>
      <c r="C1846" t="inlineStr">
        <is>
          <t>A</t>
        </is>
      </c>
      <c r="D1846" t="inlineStr">
        <is>
          <t>G</t>
        </is>
      </c>
      <c r="E1846" t="inlineStr">
        <is>
          <t>rs62062321</t>
        </is>
      </c>
      <c r="F1846" t="n">
        <v>-0.0141134949999999</v>
      </c>
      <c r="G1846" t="n">
        <v>0.544888214796007</v>
      </c>
      <c r="H1846" t="n">
        <v>0.0105813097657873</v>
      </c>
      <c r="I1846" t="n">
        <v>0.577237494378095</v>
      </c>
      <c r="J1846" t="n">
        <v>0.1583757408221817</v>
      </c>
      <c r="K1846" t="n">
        <v>0.2623424612187711</v>
      </c>
      <c r="L1846" t="b">
        <v>0</v>
      </c>
      <c r="M1846" t="b">
        <v>0</v>
      </c>
      <c r="N1846" t="inlineStr">
        <is>
          <t>ref</t>
        </is>
      </c>
      <c r="O1846" t="n">
        <v>50</v>
      </c>
      <c r="P1846" t="n">
        <v>0.006516</v>
      </c>
      <c r="Q1846" t="n">
        <v>-40</v>
      </c>
      <c r="R1846" t="n">
        <v>0.0655</v>
      </c>
      <c r="S1846">
        <f>IMAGE("https://mitra.stanford.edu/kundaje/oak/projects/neuro-variants/variant_position/credible/roussos_2024/variant_figures/roussos_2024.childhood.GABA/rs62062321_count_position.png",4,220,900)</f>
        <v/>
      </c>
      <c r="T1846">
        <f>IMAGE("https://mitra.stanford.edu/kundaje/oak/projects/neuro-variants/variant_position/credible/roussos_2024/variant_figures/roussos_2024.childhood.GABA/rs62062321_profile_position.png",4,220,900)</f>
        <v/>
      </c>
    </row>
    <row r="1847">
      <c r="A1847" t="inlineStr">
        <is>
          <t>chr17</t>
        </is>
      </c>
      <c r="B1847" t="n">
        <v>46035019</v>
      </c>
      <c r="C1847" t="inlineStr">
        <is>
          <t>A</t>
        </is>
      </c>
      <c r="D1847" t="inlineStr">
        <is>
          <t>G</t>
        </is>
      </c>
      <c r="E1847" t="inlineStr">
        <is>
          <t>rs62062322</t>
        </is>
      </c>
      <c r="F1847" t="n">
        <v>-0.01095488</v>
      </c>
      <c r="G1847" t="n">
        <v>0.6322569403706501</v>
      </c>
      <c r="H1847" t="n">
        <v>0.0238604061537407</v>
      </c>
      <c r="I1847" t="n">
        <v>0.0349048055893243</v>
      </c>
      <c r="J1847" t="n">
        <v>0.227693660865741</v>
      </c>
      <c r="K1847" t="n">
        <v>0.191761090400336</v>
      </c>
      <c r="L1847" t="b">
        <v>0</v>
      </c>
      <c r="M1847" t="b">
        <v>0</v>
      </c>
      <c r="N1847" t="inlineStr">
        <is>
          <t>ref</t>
        </is>
      </c>
      <c r="O1847" t="n">
        <v>100</v>
      </c>
      <c r="P1847" t="n">
        <v>0.04147</v>
      </c>
      <c r="Q1847" t="n">
        <v>100</v>
      </c>
      <c r="R1847" t="n">
        <v>0.602</v>
      </c>
      <c r="S1847">
        <f>IMAGE("https://mitra.stanford.edu/kundaje/oak/projects/neuro-variants/variant_position/credible/roussos_2024/variant_figures/roussos_2024.childhood.GABA/rs62062322_count_position.png",4,220,900)</f>
        <v/>
      </c>
      <c r="T1847">
        <f>IMAGE("https://mitra.stanford.edu/kundaje/oak/projects/neuro-variants/variant_position/credible/roussos_2024/variant_figures/roussos_2024.childhood.GABA/rs62062322_profile_position.png",4,220,900)</f>
        <v/>
      </c>
    </row>
    <row r="1848">
      <c r="A1848" t="inlineStr">
        <is>
          <t>chr17</t>
        </is>
      </c>
      <c r="B1848" t="n">
        <v>46038074</v>
      </c>
      <c r="C1848" t="inlineStr">
        <is>
          <t>T</t>
        </is>
      </c>
      <c r="D1848" t="inlineStr">
        <is>
          <t>C</t>
        </is>
      </c>
      <c r="E1848" t="inlineStr">
        <is>
          <t>rs8077487</t>
        </is>
      </c>
      <c r="F1848" t="n">
        <v>-0.0126145321199999</v>
      </c>
      <c r="G1848" t="n">
        <v>0.5838112686788489</v>
      </c>
      <c r="H1848" t="n">
        <v>0.0079843999704964</v>
      </c>
      <c r="I1848" t="n">
        <v>0.8630011786736044</v>
      </c>
      <c r="J1848" t="n">
        <v>0.08460765219576551</v>
      </c>
      <c r="K1848" t="n">
        <v>0.4002706215713411</v>
      </c>
      <c r="L1848" t="b">
        <v>0</v>
      </c>
      <c r="M1848" t="b">
        <v>0</v>
      </c>
      <c r="N1848" t="inlineStr">
        <is>
          <t>ref</t>
        </is>
      </c>
      <c r="O1848" t="n">
        <v>-85</v>
      </c>
      <c r="P1848" t="n">
        <v>0.01727</v>
      </c>
      <c r="Q1848" t="n">
        <v>-45</v>
      </c>
      <c r="R1848" t="n">
        <v>0.09030000000000001</v>
      </c>
      <c r="S1848">
        <f>IMAGE("https://mitra.stanford.edu/kundaje/oak/projects/neuro-variants/variant_position/credible/roussos_2024/variant_figures/roussos_2024.childhood.GABA/rs8077487_count_position.png",4,220,900)</f>
        <v/>
      </c>
      <c r="T1848">
        <f>IMAGE("https://mitra.stanford.edu/kundaje/oak/projects/neuro-variants/variant_position/credible/roussos_2024/variant_figures/roussos_2024.childhood.GABA/rs8077487_profile_position.png",4,220,900)</f>
        <v/>
      </c>
    </row>
    <row r="1849">
      <c r="A1849" t="inlineStr">
        <is>
          <t>chr17</t>
        </is>
      </c>
      <c r="B1849" t="n">
        <v>46039584</v>
      </c>
      <c r="C1849" t="inlineStr">
        <is>
          <t>T</t>
        </is>
      </c>
      <c r="D1849" t="inlineStr">
        <is>
          <t>G</t>
        </is>
      </c>
      <c r="E1849" t="inlineStr">
        <is>
          <t>rs7221390</t>
        </is>
      </c>
      <c r="F1849" t="n">
        <v>-0.0112062402799999</v>
      </c>
      <c r="G1849" t="n">
        <v>0.6181751463405025</v>
      </c>
      <c r="H1849" t="n">
        <v>0.0288843616019406</v>
      </c>
      <c r="I1849" t="n">
        <v>0.0148085898637291</v>
      </c>
      <c r="J1849" t="n">
        <v>0.2971393269250905</v>
      </c>
      <c r="K1849" t="n">
        <v>0.1375316083900253</v>
      </c>
      <c r="L1849" t="b">
        <v>1</v>
      </c>
      <c r="M1849" t="b">
        <v>0</v>
      </c>
      <c r="N1849" t="inlineStr">
        <is>
          <t>ref</t>
        </is>
      </c>
      <c r="O1849" t="n">
        <v>100</v>
      </c>
      <c r="P1849" t="n">
        <v>0.02998</v>
      </c>
      <c r="Q1849" t="n">
        <v>70</v>
      </c>
      <c r="R1849" t="n">
        <v>0.2383</v>
      </c>
      <c r="S1849">
        <f>IMAGE("https://mitra.stanford.edu/kundaje/oak/projects/neuro-variants/variant_position/credible/roussos_2024/variant_figures/roussos_2024.childhood.GABA/rs7221390_count_position.png",4,220,900)</f>
        <v/>
      </c>
      <c r="T1849">
        <f>IMAGE("https://mitra.stanford.edu/kundaje/oak/projects/neuro-variants/variant_position/credible/roussos_2024/variant_figures/roussos_2024.childhood.GABA/rs7221390_profile_position.png",4,220,900)</f>
        <v/>
      </c>
    </row>
    <row r="1850">
      <c r="A1850" t="inlineStr">
        <is>
          <t>chr17</t>
        </is>
      </c>
      <c r="B1850" t="n">
        <v>46041482</v>
      </c>
      <c r="C1850" t="inlineStr">
        <is>
          <t>G</t>
        </is>
      </c>
      <c r="D1850" t="inlineStr">
        <is>
          <t>A</t>
        </is>
      </c>
      <c r="E1850" t="inlineStr">
        <is>
          <t>rs62062137</t>
        </is>
      </c>
      <c r="F1850" t="n">
        <v>-0.0162780106999999</v>
      </c>
      <c r="G1850" t="n">
        <v>0.3396417438793873</v>
      </c>
      <c r="H1850" t="n">
        <v>0.012289668782143</v>
      </c>
      <c r="I1850" t="n">
        <v>0.4094845865004733</v>
      </c>
      <c r="J1850" t="n">
        <v>0.0531402483717618</v>
      </c>
      <c r="K1850" t="n">
        <v>0.5021608278125806</v>
      </c>
      <c r="L1850" t="b">
        <v>0</v>
      </c>
      <c r="M1850" t="b">
        <v>0</v>
      </c>
      <c r="N1850" t="inlineStr">
        <is>
          <t>ref</t>
        </is>
      </c>
      <c r="O1850" t="n">
        <v>-100</v>
      </c>
      <c r="P1850" t="n">
        <v>0.00414</v>
      </c>
      <c r="Q1850" t="n">
        <v>40</v>
      </c>
      <c r="R1850" t="n">
        <v>0.05798</v>
      </c>
      <c r="S1850">
        <f>IMAGE("https://mitra.stanford.edu/kundaje/oak/projects/neuro-variants/variant_position/credible/roussos_2024/variant_figures/roussos_2024.childhood.GABA/rs62062137_count_position.png",4,220,900)</f>
        <v/>
      </c>
      <c r="T1850">
        <f>IMAGE("https://mitra.stanford.edu/kundaje/oak/projects/neuro-variants/variant_position/credible/roussos_2024/variant_figures/roussos_2024.childhood.GABA/rs62062137_profile_position.png",4,220,900)</f>
        <v/>
      </c>
    </row>
    <row r="1851">
      <c r="A1851" t="inlineStr">
        <is>
          <t>chr17</t>
        </is>
      </c>
      <c r="B1851" t="n">
        <v>46041954</v>
      </c>
      <c r="C1851" t="inlineStr">
        <is>
          <t>C</t>
        </is>
      </c>
      <c r="D1851" t="inlineStr">
        <is>
          <t>T</t>
        </is>
      </c>
      <c r="E1851" t="inlineStr">
        <is>
          <t>rs55893711</t>
        </is>
      </c>
      <c r="F1851" t="n">
        <v>-0.0339497632</v>
      </c>
      <c r="G1851" t="n">
        <v>0.2680243861066255</v>
      </c>
      <c r="H1851" t="n">
        <v>0.0129117765352045</v>
      </c>
      <c r="I1851" t="n">
        <v>0.356667348212031</v>
      </c>
      <c r="J1851" t="n">
        <v>0.0671033067370316</v>
      </c>
      <c r="K1851" t="n">
        <v>0.4494830795071238</v>
      </c>
      <c r="L1851" t="b">
        <v>0</v>
      </c>
      <c r="M1851" t="b">
        <v>0</v>
      </c>
      <c r="N1851" t="inlineStr">
        <is>
          <t>ref</t>
        </is>
      </c>
      <c r="O1851" t="n">
        <v>-10</v>
      </c>
      <c r="P1851" t="n">
        <v>0.0004272</v>
      </c>
      <c r="Q1851" t="n">
        <v>55</v>
      </c>
      <c r="R1851" t="n">
        <v>0.02588</v>
      </c>
      <c r="S1851">
        <f>IMAGE("https://mitra.stanford.edu/kundaje/oak/projects/neuro-variants/variant_position/credible/roussos_2024/variant_figures/roussos_2024.childhood.GABA/rs55893711_count_position.png",4,220,900)</f>
        <v/>
      </c>
      <c r="T1851">
        <f>IMAGE("https://mitra.stanford.edu/kundaje/oak/projects/neuro-variants/variant_position/credible/roussos_2024/variant_figures/roussos_2024.childhood.GABA/rs55893711_profile_position.png",4,220,900)</f>
        <v/>
      </c>
    </row>
    <row r="1852">
      <c r="A1852" t="inlineStr">
        <is>
          <t>chr17</t>
        </is>
      </c>
      <c r="B1852" t="n">
        <v>46045882</v>
      </c>
      <c r="C1852" t="inlineStr">
        <is>
          <t>T</t>
        </is>
      </c>
      <c r="D1852" t="inlineStr">
        <is>
          <t>C</t>
        </is>
      </c>
      <c r="E1852" t="inlineStr">
        <is>
          <t>rs62063670</t>
        </is>
      </c>
      <c r="F1852" t="n">
        <v>0.1018713904</v>
      </c>
      <c r="G1852" t="n">
        <v>0.0327195458366354</v>
      </c>
      <c r="H1852" t="n">
        <v>0.0141008988429611</v>
      </c>
      <c r="I1852" t="n">
        <v>0.2849849727199866</v>
      </c>
      <c r="J1852" t="n">
        <v>0.0442221105317165</v>
      </c>
      <c r="K1852" t="n">
        <v>0.5303703724198413</v>
      </c>
      <c r="L1852" t="b">
        <v>0</v>
      </c>
      <c r="M1852" t="b">
        <v>0</v>
      </c>
      <c r="N1852" t="inlineStr">
        <is>
          <t>alt</t>
        </is>
      </c>
      <c r="O1852" t="n">
        <v>-25</v>
      </c>
      <c r="P1852" t="n">
        <v>0.001404</v>
      </c>
      <c r="Q1852" t="n">
        <v>-75</v>
      </c>
      <c r="R1852" t="n">
        <v>0.08935999999999999</v>
      </c>
      <c r="S1852">
        <f>IMAGE("https://mitra.stanford.edu/kundaje/oak/projects/neuro-variants/variant_position/credible/roussos_2024/variant_figures/roussos_2024.childhood.GABA/rs62063670_count_position.png",4,220,900)</f>
        <v/>
      </c>
      <c r="T1852">
        <f>IMAGE("https://mitra.stanford.edu/kundaje/oak/projects/neuro-variants/variant_position/credible/roussos_2024/variant_figures/roussos_2024.childhood.GABA/rs62063670_profile_position.png",4,220,900)</f>
        <v/>
      </c>
    </row>
    <row r="1853">
      <c r="A1853" t="inlineStr">
        <is>
          <t>chr17</t>
        </is>
      </c>
      <c r="B1853" t="n">
        <v>46047169</v>
      </c>
      <c r="C1853" t="inlineStr">
        <is>
          <t>T</t>
        </is>
      </c>
      <c r="D1853" t="inlineStr">
        <is>
          <t>C</t>
        </is>
      </c>
      <c r="E1853" t="inlineStr">
        <is>
          <t>rs79065019</t>
        </is>
      </c>
      <c r="F1853" t="n">
        <v>0.1742477872</v>
      </c>
      <c r="G1853" t="n">
        <v>0.0076320179523373</v>
      </c>
      <c r="H1853" t="n">
        <v>0.0363748348449818</v>
      </c>
      <c r="I1853" t="n">
        <v>0.0067641747583006</v>
      </c>
      <c r="J1853" t="n">
        <v>0.0278999392682875</v>
      </c>
      <c r="K1853" t="n">
        <v>0.6009509747114592</v>
      </c>
      <c r="L1853" t="b">
        <v>1</v>
      </c>
      <c r="M1853" t="b">
        <v>1</v>
      </c>
      <c r="N1853" t="inlineStr">
        <is>
          <t>alt</t>
        </is>
      </c>
      <c r="O1853" t="n">
        <v>60</v>
      </c>
      <c r="P1853" t="n">
        <v>0.002548</v>
      </c>
      <c r="Q1853" t="n">
        <v>-45</v>
      </c>
      <c r="R1853" t="n">
        <v>0.04376</v>
      </c>
      <c r="S1853">
        <f>IMAGE("https://mitra.stanford.edu/kundaje/oak/projects/neuro-variants/variant_position/credible/roussos_2024/variant_figures/roussos_2024.childhood.GABA/rs79065019_count_position.png",4,220,900)</f>
        <v/>
      </c>
      <c r="T1853">
        <f>IMAGE("https://mitra.stanford.edu/kundaje/oak/projects/neuro-variants/variant_position/credible/roussos_2024/variant_figures/roussos_2024.childhood.GABA/rs79065019_profile_position.png",4,220,900)</f>
        <v/>
      </c>
    </row>
    <row r="1854">
      <c r="A1854" t="inlineStr">
        <is>
          <t>chr17</t>
        </is>
      </c>
      <c r="B1854" t="n">
        <v>46056168</v>
      </c>
      <c r="C1854" t="inlineStr">
        <is>
          <t>C</t>
        </is>
      </c>
      <c r="D1854" t="inlineStr">
        <is>
          <t>T</t>
        </is>
      </c>
      <c r="E1854" t="inlineStr">
        <is>
          <t>rs111259120</t>
        </is>
      </c>
      <c r="F1854" t="n">
        <v>-0.004097105272</v>
      </c>
      <c r="G1854" t="n">
        <v>0.8247546913124032</v>
      </c>
      <c r="H1854" t="n">
        <v>0.0227300196354032</v>
      </c>
      <c r="I1854" t="n">
        <v>0.0435439313134361</v>
      </c>
      <c r="J1854" t="n">
        <v>0.0105264811208141</v>
      </c>
      <c r="K1854" t="n">
        <v>0.7364355170946255</v>
      </c>
      <c r="L1854" t="b">
        <v>0</v>
      </c>
      <c r="M1854" t="b">
        <v>0</v>
      </c>
      <c r="N1854" t="inlineStr">
        <is>
          <t>ref</t>
        </is>
      </c>
      <c r="O1854" t="n">
        <v>100</v>
      </c>
      <c r="P1854" t="n">
        <v>0.04303</v>
      </c>
      <c r="Q1854" t="n">
        <v>-95</v>
      </c>
      <c r="R1854" t="n">
        <v>0.07679999999999999</v>
      </c>
      <c r="S1854">
        <f>IMAGE("https://mitra.stanford.edu/kundaje/oak/projects/neuro-variants/variant_position/credible/roussos_2024/variant_figures/roussos_2024.childhood.GABA/rs111259120_count_position.png",4,220,900)</f>
        <v/>
      </c>
      <c r="T1854">
        <f>IMAGE("https://mitra.stanford.edu/kundaje/oak/projects/neuro-variants/variant_position/credible/roussos_2024/variant_figures/roussos_2024.childhood.GABA/rs111259120_profile_position.png",4,220,900)</f>
        <v/>
      </c>
    </row>
    <row r="1855">
      <c r="A1855" t="inlineStr">
        <is>
          <t>chr17</t>
        </is>
      </c>
      <c r="B1855" t="n">
        <v>46059211</v>
      </c>
      <c r="C1855" t="inlineStr">
        <is>
          <t>A</t>
        </is>
      </c>
      <c r="D1855" t="inlineStr">
        <is>
          <t>C</t>
        </is>
      </c>
      <c r="E1855" t="inlineStr">
        <is>
          <t>rs111372048</t>
        </is>
      </c>
      <c r="F1855" t="n">
        <v>0.0438918032</v>
      </c>
      <c r="G1855" t="n">
        <v>0.1772861999545954</v>
      </c>
      <c r="H1855" t="n">
        <v>0.0142123157164356</v>
      </c>
      <c r="I1855" t="n">
        <v>0.2689891920226481</v>
      </c>
      <c r="J1855" t="n">
        <v>0.1034658960021779</v>
      </c>
      <c r="K1855" t="n">
        <v>0.3611009238856386</v>
      </c>
      <c r="L1855" t="b">
        <v>0</v>
      </c>
      <c r="M1855" t="b">
        <v>0</v>
      </c>
      <c r="N1855" t="inlineStr">
        <is>
          <t>alt</t>
        </is>
      </c>
      <c r="O1855" t="n">
        <v>-75</v>
      </c>
      <c r="P1855" t="n">
        <v>0.0409</v>
      </c>
      <c r="Q1855" t="n">
        <v>0</v>
      </c>
      <c r="R1855" t="n">
        <v>0</v>
      </c>
      <c r="S1855">
        <f>IMAGE("https://mitra.stanford.edu/kundaje/oak/projects/neuro-variants/variant_position/credible/roussos_2024/variant_figures/roussos_2024.childhood.GABA/rs111372048_count_position.png",4,220,900)</f>
        <v/>
      </c>
      <c r="T1855">
        <f>IMAGE("https://mitra.stanford.edu/kundaje/oak/projects/neuro-variants/variant_position/credible/roussos_2024/variant_figures/roussos_2024.childhood.GABA/rs111372048_profile_position.png",4,220,900)</f>
        <v/>
      </c>
    </row>
    <row r="1856">
      <c r="A1856" t="inlineStr">
        <is>
          <t>chr17</t>
        </is>
      </c>
      <c r="B1856" t="n">
        <v>46059268</v>
      </c>
      <c r="C1856" t="inlineStr">
        <is>
          <t>G</t>
        </is>
      </c>
      <c r="D1856" t="inlineStr">
        <is>
          <t>A</t>
        </is>
      </c>
      <c r="E1856" t="inlineStr">
        <is>
          <t>rs62060785</t>
        </is>
      </c>
      <c r="F1856" t="n">
        <v>-0.0056770448</v>
      </c>
      <c r="G1856" t="n">
        <v>0.3523455064196804</v>
      </c>
      <c r="H1856" t="n">
        <v>0.0094360503431578</v>
      </c>
      <c r="I1856" t="n">
        <v>0.6963321208622257</v>
      </c>
      <c r="J1856" t="n">
        <v>0.1001497350840819</v>
      </c>
      <c r="K1856" t="n">
        <v>0.3673311819029611</v>
      </c>
      <c r="L1856" t="b">
        <v>0</v>
      </c>
      <c r="M1856" t="b">
        <v>0</v>
      </c>
      <c r="N1856" t="inlineStr">
        <is>
          <t>ref</t>
        </is>
      </c>
      <c r="O1856" t="n">
        <v>-100</v>
      </c>
      <c r="P1856" t="n">
        <v>0.04105</v>
      </c>
      <c r="Q1856" t="n">
        <v>-55</v>
      </c>
      <c r="R1856" t="n">
        <v>0.04272</v>
      </c>
      <c r="S1856">
        <f>IMAGE("https://mitra.stanford.edu/kundaje/oak/projects/neuro-variants/variant_position/credible/roussos_2024/variant_figures/roussos_2024.childhood.GABA/rs62060785_count_position.png",4,220,900)</f>
        <v/>
      </c>
      <c r="T1856">
        <f>IMAGE("https://mitra.stanford.edu/kundaje/oak/projects/neuro-variants/variant_position/credible/roussos_2024/variant_figures/roussos_2024.childhood.GABA/rs62060785_profile_position.png",4,220,900)</f>
        <v/>
      </c>
    </row>
    <row r="1857">
      <c r="A1857" t="inlineStr">
        <is>
          <t>chr17</t>
        </is>
      </c>
      <c r="B1857" t="n">
        <v>46063981</v>
      </c>
      <c r="C1857" t="inlineStr">
        <is>
          <t>A</t>
        </is>
      </c>
      <c r="D1857" t="inlineStr">
        <is>
          <t>G</t>
        </is>
      </c>
      <c r="E1857" t="inlineStr">
        <is>
          <t>rs2838</t>
        </is>
      </c>
      <c r="F1857" t="n">
        <v>0.02115890603</v>
      </c>
      <c r="G1857" t="n">
        <v>0.4105691759119858</v>
      </c>
      <c r="H1857" t="n">
        <v>0.0119117010764764</v>
      </c>
      <c r="I1857" t="n">
        <v>0.4472773734237277</v>
      </c>
      <c r="J1857" t="n">
        <v>0.0581349081694623</v>
      </c>
      <c r="K1857" t="n">
        <v>0.4544513513665536</v>
      </c>
      <c r="L1857" t="b">
        <v>0</v>
      </c>
      <c r="M1857" t="b">
        <v>0</v>
      </c>
      <c r="N1857" t="inlineStr">
        <is>
          <t>alt</t>
        </is>
      </c>
      <c r="O1857" t="n">
        <v>-20</v>
      </c>
      <c r="P1857" t="n">
        <v>0.001709</v>
      </c>
      <c r="Q1857" t="n">
        <v>-40</v>
      </c>
      <c r="R1857" t="n">
        <v>0.03375</v>
      </c>
      <c r="S1857">
        <f>IMAGE("https://mitra.stanford.edu/kundaje/oak/projects/neuro-variants/variant_position/credible/roussos_2024/variant_figures/roussos_2024.childhood.GABA/rs2838_count_position.png",4,220,900)</f>
        <v/>
      </c>
      <c r="T1857">
        <f>IMAGE("https://mitra.stanford.edu/kundaje/oak/projects/neuro-variants/variant_position/credible/roussos_2024/variant_figures/roussos_2024.childhood.GABA/rs2838_profile_position.png",4,220,900)</f>
        <v/>
      </c>
    </row>
    <row r="1858">
      <c r="A1858" t="inlineStr">
        <is>
          <t>chr17</t>
        </is>
      </c>
      <c r="B1858" t="n">
        <v>46064755</v>
      </c>
      <c r="C1858" t="inlineStr">
        <is>
          <t>G</t>
        </is>
      </c>
      <c r="D1858" t="inlineStr">
        <is>
          <t>A</t>
        </is>
      </c>
      <c r="E1858" t="inlineStr">
        <is>
          <t>rs76307183</t>
        </is>
      </c>
      <c r="F1858" t="n">
        <v>-0.0030533185999999</v>
      </c>
      <c r="G1858" t="n">
        <v>0.5875574515389504</v>
      </c>
      <c r="H1858" t="n">
        <v>0.0069842430372263</v>
      </c>
      <c r="I1858" t="n">
        <v>0.9408799415759328</v>
      </c>
      <c r="J1858" t="n">
        <v>0.0335553182132311</v>
      </c>
      <c r="K1858" t="n">
        <v>0.5654083350046295</v>
      </c>
      <c r="L1858" t="b">
        <v>0</v>
      </c>
      <c r="M1858" t="b">
        <v>0</v>
      </c>
      <c r="N1858" t="inlineStr">
        <is>
          <t>ref</t>
        </is>
      </c>
      <c r="O1858" t="n">
        <v>100</v>
      </c>
      <c r="P1858" t="n">
        <v>0.013916</v>
      </c>
      <c r="Q1858" t="n">
        <v>-45</v>
      </c>
      <c r="R1858" t="n">
        <v>0.01572</v>
      </c>
      <c r="S1858">
        <f>IMAGE("https://mitra.stanford.edu/kundaje/oak/projects/neuro-variants/variant_position/credible/roussos_2024/variant_figures/roussos_2024.childhood.GABA/rs76307183_count_position.png",4,220,900)</f>
        <v/>
      </c>
      <c r="T1858">
        <f>IMAGE("https://mitra.stanford.edu/kundaje/oak/projects/neuro-variants/variant_position/credible/roussos_2024/variant_figures/roussos_2024.childhood.GABA/rs76307183_profile_position.png",4,220,900)</f>
        <v/>
      </c>
    </row>
    <row r="1859">
      <c r="A1859" t="inlineStr">
        <is>
          <t>chr17</t>
        </is>
      </c>
      <c r="B1859" t="n">
        <v>46068970</v>
      </c>
      <c r="C1859" t="inlineStr">
        <is>
          <t>A</t>
        </is>
      </c>
      <c r="D1859" t="inlineStr">
        <is>
          <t>C</t>
        </is>
      </c>
      <c r="E1859" t="inlineStr">
        <is>
          <t>rs62060802</t>
        </is>
      </c>
      <c r="F1859" t="n">
        <v>0.0457835064</v>
      </c>
      <c r="G1859" t="n">
        <v>0.1538573023930541</v>
      </c>
      <c r="H1859" t="n">
        <v>0.0126619322823914</v>
      </c>
      <c r="I1859" t="n">
        <v>0.3762998290344159</v>
      </c>
      <c r="J1859" t="n">
        <v>0.0065318003811438</v>
      </c>
      <c r="K1859" t="n">
        <v>0.7884644123403483</v>
      </c>
      <c r="L1859" t="b">
        <v>0</v>
      </c>
      <c r="M1859" t="b">
        <v>0</v>
      </c>
      <c r="N1859" t="inlineStr">
        <is>
          <t>alt</t>
        </is>
      </c>
      <c r="O1859" t="n">
        <v>60</v>
      </c>
      <c r="P1859" t="n">
        <v>0.00425</v>
      </c>
      <c r="Q1859" t="n">
        <v>-75</v>
      </c>
      <c r="R1859" t="n">
        <v>0.0667</v>
      </c>
      <c r="S1859">
        <f>IMAGE("https://mitra.stanford.edu/kundaje/oak/projects/neuro-variants/variant_position/credible/roussos_2024/variant_figures/roussos_2024.childhood.GABA/rs62060802_count_position.png",4,220,900)</f>
        <v/>
      </c>
      <c r="T1859">
        <f>IMAGE("https://mitra.stanford.edu/kundaje/oak/projects/neuro-variants/variant_position/credible/roussos_2024/variant_figures/roussos_2024.childhood.GABA/rs62060802_profile_position.png",4,220,900)</f>
        <v/>
      </c>
    </row>
    <row r="1860">
      <c r="A1860" t="inlineStr">
        <is>
          <t>chr17</t>
        </is>
      </c>
      <c r="B1860" t="n">
        <v>46075892</v>
      </c>
      <c r="C1860" t="inlineStr">
        <is>
          <t>A</t>
        </is>
      </c>
      <c r="D1860" t="inlineStr">
        <is>
          <t>G</t>
        </is>
      </c>
      <c r="E1860" t="inlineStr">
        <is>
          <t>rs62060840</t>
        </is>
      </c>
      <c r="F1860" t="n">
        <v>0.0757713248</v>
      </c>
      <c r="G1860" t="n">
        <v>0.0554477906307101</v>
      </c>
      <c r="H1860" t="n">
        <v>0.0126692752712011</v>
      </c>
      <c r="I1860" t="n">
        <v>0.3825445605470876</v>
      </c>
      <c r="J1860" t="n">
        <v>0.0152091055684697</v>
      </c>
      <c r="K1860" t="n">
        <v>0.6891153570361112</v>
      </c>
      <c r="L1860" t="b">
        <v>0</v>
      </c>
      <c r="M1860" t="b">
        <v>0</v>
      </c>
      <c r="N1860" t="inlineStr">
        <is>
          <t>alt</t>
        </is>
      </c>
      <c r="O1860" t="n">
        <v>100</v>
      </c>
      <c r="P1860" t="n">
        <v>0.0138</v>
      </c>
      <c r="Q1860" t="n">
        <v>-55</v>
      </c>
      <c r="R1860" t="n">
        <v>0.0964</v>
      </c>
      <c r="S1860">
        <f>IMAGE("https://mitra.stanford.edu/kundaje/oak/projects/neuro-variants/variant_position/credible/roussos_2024/variant_figures/roussos_2024.childhood.GABA/rs62060840_count_position.png",4,220,900)</f>
        <v/>
      </c>
      <c r="T1860">
        <f>IMAGE("https://mitra.stanford.edu/kundaje/oak/projects/neuro-variants/variant_position/credible/roussos_2024/variant_figures/roussos_2024.childhood.GABA/rs62060840_profile_position.png",4,220,900)</f>
        <v/>
      </c>
    </row>
    <row r="1861">
      <c r="A1861" t="inlineStr">
        <is>
          <t>chr17</t>
        </is>
      </c>
      <c r="B1861" t="n">
        <v>46082483</v>
      </c>
      <c r="C1861" t="inlineStr">
        <is>
          <t>T</t>
        </is>
      </c>
      <c r="D1861" t="inlineStr">
        <is>
          <t>C</t>
        </is>
      </c>
      <c r="E1861" t="inlineStr">
        <is>
          <t>rs17576165</t>
        </is>
      </c>
      <c r="F1861" t="n">
        <v>0.0825942296</v>
      </c>
      <c r="G1861" t="n">
        <v>0.0452385148977808</v>
      </c>
      <c r="H1861" t="n">
        <v>0.0152435175065336</v>
      </c>
      <c r="I1861" t="n">
        <v>0.2130507454115757</v>
      </c>
      <c r="J1861" t="n">
        <v>0.1277837113358882</v>
      </c>
      <c r="K1861" t="n">
        <v>0.3002334375389439</v>
      </c>
      <c r="L1861" t="b">
        <v>0</v>
      </c>
      <c r="M1861" t="b">
        <v>0</v>
      </c>
      <c r="N1861" t="inlineStr">
        <is>
          <t>alt</t>
        </is>
      </c>
      <c r="O1861" t="n">
        <v>100</v>
      </c>
      <c r="P1861" t="n">
        <v>0.009339999999999999</v>
      </c>
      <c r="Q1861" t="n">
        <v>100</v>
      </c>
      <c r="R1861" t="n">
        <v>0.1619</v>
      </c>
      <c r="S1861">
        <f>IMAGE("https://mitra.stanford.edu/kundaje/oak/projects/neuro-variants/variant_position/credible/roussos_2024/variant_figures/roussos_2024.childhood.GABA/rs17576165_count_position.png",4,220,900)</f>
        <v/>
      </c>
      <c r="T1861">
        <f>IMAGE("https://mitra.stanford.edu/kundaje/oak/projects/neuro-variants/variant_position/credible/roussos_2024/variant_figures/roussos_2024.childhood.GABA/rs17576165_profile_position.png",4,220,900)</f>
        <v/>
      </c>
    </row>
    <row r="1862">
      <c r="A1862" t="inlineStr">
        <is>
          <t>chr17</t>
        </is>
      </c>
      <c r="B1862" t="n">
        <v>46103631</v>
      </c>
      <c r="C1862" t="inlineStr">
        <is>
          <t>C</t>
        </is>
      </c>
      <c r="D1862" t="inlineStr">
        <is>
          <t>T</t>
        </is>
      </c>
      <c r="E1862" t="inlineStr">
        <is>
          <t>rs62061812</t>
        </is>
      </c>
      <c r="F1862" t="n">
        <v>-0.0355709682</v>
      </c>
      <c r="G1862" t="n">
        <v>0.248276138353704</v>
      </c>
      <c r="H1862" t="n">
        <v>0.0123736992804877</v>
      </c>
      <c r="I1862" t="n">
        <v>0.4066905909091728</v>
      </c>
      <c r="J1862" t="n">
        <v>0.0068061401855458</v>
      </c>
      <c r="K1862" t="n">
        <v>0.7860332670229381</v>
      </c>
      <c r="L1862" t="b">
        <v>0</v>
      </c>
      <c r="M1862" t="b">
        <v>0</v>
      </c>
      <c r="N1862" t="inlineStr">
        <is>
          <t>ref</t>
        </is>
      </c>
      <c r="O1862" t="n">
        <v>-100</v>
      </c>
      <c r="P1862" t="n">
        <v>0.006187</v>
      </c>
      <c r="Q1862" t="n">
        <v>25</v>
      </c>
      <c r="R1862" t="n">
        <v>0.004944</v>
      </c>
      <c r="S1862">
        <f>IMAGE("https://mitra.stanford.edu/kundaje/oak/projects/neuro-variants/variant_position/credible/roussos_2024/variant_figures/roussos_2024.childhood.GABA/rs62061812_count_position.png",4,220,900)</f>
        <v/>
      </c>
      <c r="T1862">
        <f>IMAGE("https://mitra.stanford.edu/kundaje/oak/projects/neuro-variants/variant_position/credible/roussos_2024/variant_figures/roussos_2024.childhood.GABA/rs62061812_profile_position.png",4,220,900)</f>
        <v/>
      </c>
    </row>
    <row r="1863">
      <c r="A1863" t="inlineStr">
        <is>
          <t>chr17</t>
        </is>
      </c>
      <c r="B1863" t="n">
        <v>46106250</v>
      </c>
      <c r="C1863" t="inlineStr">
        <is>
          <t>C</t>
        </is>
      </c>
      <c r="D1863" t="inlineStr">
        <is>
          <t>A</t>
        </is>
      </c>
      <c r="E1863" t="inlineStr">
        <is>
          <t>rs17576989</t>
        </is>
      </c>
      <c r="F1863" t="n">
        <v>0.00129372622</v>
      </c>
      <c r="G1863" t="n">
        <v>0.7196157703359131</v>
      </c>
      <c r="H1863" t="n">
        <v>0.0199812453911403</v>
      </c>
      <c r="I1863" t="n">
        <v>0.0745258088806517</v>
      </c>
      <c r="J1863" t="n">
        <v>0.0719000649201063</v>
      </c>
      <c r="K1863" t="n">
        <v>0.4251341778138506</v>
      </c>
      <c r="L1863" t="b">
        <v>0</v>
      </c>
      <c r="M1863" t="b">
        <v>0</v>
      </c>
      <c r="N1863" t="inlineStr">
        <is>
          <t>alt</t>
        </is>
      </c>
      <c r="O1863" t="n">
        <v>-45</v>
      </c>
      <c r="P1863" t="n">
        <v>0.012474</v>
      </c>
      <c r="Q1863" t="n">
        <v>100</v>
      </c>
      <c r="R1863" t="n">
        <v>0.05206</v>
      </c>
      <c r="S1863">
        <f>IMAGE("https://mitra.stanford.edu/kundaje/oak/projects/neuro-variants/variant_position/credible/roussos_2024/variant_figures/roussos_2024.childhood.GABA/rs17576989_count_position.png",4,220,900)</f>
        <v/>
      </c>
      <c r="T1863">
        <f>IMAGE("https://mitra.stanford.edu/kundaje/oak/projects/neuro-variants/variant_position/credible/roussos_2024/variant_figures/roussos_2024.childhood.GABA/rs17576989_profile_position.png",4,220,900)</f>
        <v/>
      </c>
    </row>
    <row r="1864">
      <c r="A1864" t="inlineStr">
        <is>
          <t>chr17</t>
        </is>
      </c>
      <c r="B1864" t="n">
        <v>46107062</v>
      </c>
      <c r="C1864" t="inlineStr">
        <is>
          <t>T</t>
        </is>
      </c>
      <c r="D1864" t="inlineStr">
        <is>
          <t>C</t>
        </is>
      </c>
      <c r="E1864" t="inlineStr">
        <is>
          <t>rs111295615</t>
        </is>
      </c>
      <c r="F1864" t="n">
        <v>0.00878472898</v>
      </c>
      <c r="G1864" t="n">
        <v>0.639724922431858</v>
      </c>
      <c r="H1864" t="n">
        <v>0.009411365207651699</v>
      </c>
      <c r="I1864" t="n">
        <v>0.6970138272914815</v>
      </c>
      <c r="J1864" t="n">
        <v>0.0339218026847604</v>
      </c>
      <c r="K1864" t="n">
        <v>0.5724662818702185</v>
      </c>
      <c r="L1864" t="b">
        <v>0</v>
      </c>
      <c r="M1864" t="b">
        <v>0</v>
      </c>
      <c r="N1864" t="inlineStr">
        <is>
          <t>alt</t>
        </is>
      </c>
      <c r="O1864" t="n">
        <v>-100</v>
      </c>
      <c r="P1864" t="n">
        <v>0.004665</v>
      </c>
      <c r="Q1864" t="n">
        <v>95</v>
      </c>
      <c r="R1864" t="n">
        <v>0.1326</v>
      </c>
      <c r="S1864">
        <f>IMAGE("https://mitra.stanford.edu/kundaje/oak/projects/neuro-variants/variant_position/credible/roussos_2024/variant_figures/roussos_2024.childhood.GABA/rs111295615_count_position.png",4,220,900)</f>
        <v/>
      </c>
      <c r="T1864">
        <f>IMAGE("https://mitra.stanford.edu/kundaje/oak/projects/neuro-variants/variant_position/credible/roussos_2024/variant_figures/roussos_2024.childhood.GABA/rs111295615_profile_position.png",4,220,900)</f>
        <v/>
      </c>
    </row>
    <row r="1865">
      <c r="A1865" t="inlineStr">
        <is>
          <t>chr17</t>
        </is>
      </c>
      <c r="B1865" t="n">
        <v>46114469</v>
      </c>
      <c r="C1865" t="inlineStr">
        <is>
          <t>A</t>
        </is>
      </c>
      <c r="D1865" t="inlineStr">
        <is>
          <t>G</t>
        </is>
      </c>
      <c r="E1865" t="inlineStr">
        <is>
          <t>rs17577313</t>
        </is>
      </c>
      <c r="F1865" t="n">
        <v>0.0561981156</v>
      </c>
      <c r="G1865" t="n">
        <v>0.1059827319585677</v>
      </c>
      <c r="H1865" t="n">
        <v>0.0174114110736242</v>
      </c>
      <c r="I1865" t="n">
        <v>0.130232871295198</v>
      </c>
      <c r="J1865" t="n">
        <v>0.0160457372620468</v>
      </c>
      <c r="K1865" t="n">
        <v>0.6889687959565748</v>
      </c>
      <c r="L1865" t="b">
        <v>0</v>
      </c>
      <c r="M1865" t="b">
        <v>0</v>
      </c>
      <c r="N1865" t="inlineStr">
        <is>
          <t>alt</t>
        </is>
      </c>
      <c r="O1865" t="n">
        <v>-100</v>
      </c>
      <c r="P1865" t="n">
        <v>0.009735000000000001</v>
      </c>
      <c r="Q1865" t="n">
        <v>-100</v>
      </c>
      <c r="R1865" t="n">
        <v>0.1061</v>
      </c>
      <c r="S1865">
        <f>IMAGE("https://mitra.stanford.edu/kundaje/oak/projects/neuro-variants/variant_position/credible/roussos_2024/variant_figures/roussos_2024.childhood.GABA/rs17577313_count_position.png",4,220,900)</f>
        <v/>
      </c>
      <c r="T1865">
        <f>IMAGE("https://mitra.stanford.edu/kundaje/oak/projects/neuro-variants/variant_position/credible/roussos_2024/variant_figures/roussos_2024.childhood.GABA/rs17577313_profile_position.png",4,220,900)</f>
        <v/>
      </c>
    </row>
    <row r="1866">
      <c r="A1866" t="inlineStr">
        <is>
          <t>chr17</t>
        </is>
      </c>
      <c r="B1866" t="n">
        <v>46115029</v>
      </c>
      <c r="C1866" t="inlineStr">
        <is>
          <t>G</t>
        </is>
      </c>
      <c r="D1866" t="inlineStr">
        <is>
          <t>T</t>
        </is>
      </c>
      <c r="E1866" t="inlineStr">
        <is>
          <t>rs4548919</t>
        </is>
      </c>
      <c r="F1866" t="n">
        <v>0.00224360986</v>
      </c>
      <c r="G1866" t="n">
        <v>0.7787062055907055</v>
      </c>
      <c r="H1866" t="n">
        <v>0.0149712874333151</v>
      </c>
      <c r="I1866" t="n">
        <v>0.2259155597027243</v>
      </c>
      <c r="J1866" t="n">
        <v>0.0146080710351615</v>
      </c>
      <c r="K1866" t="n">
        <v>0.6979030823475836</v>
      </c>
      <c r="L1866" t="b">
        <v>0</v>
      </c>
      <c r="M1866" t="b">
        <v>0</v>
      </c>
      <c r="N1866" t="inlineStr">
        <is>
          <t>alt</t>
        </is>
      </c>
      <c r="O1866" t="n">
        <v>85</v>
      </c>
      <c r="P1866" t="n">
        <v>0.01831</v>
      </c>
      <c r="Q1866" t="n">
        <v>95</v>
      </c>
      <c r="R1866" t="n">
        <v>0.08685</v>
      </c>
      <c r="S1866">
        <f>IMAGE("https://mitra.stanford.edu/kundaje/oak/projects/neuro-variants/variant_position/credible/roussos_2024/variant_figures/roussos_2024.childhood.GABA/rs4548919_count_position.png",4,220,900)</f>
        <v/>
      </c>
      <c r="T1866">
        <f>IMAGE("https://mitra.stanford.edu/kundaje/oak/projects/neuro-variants/variant_position/credible/roussos_2024/variant_figures/roussos_2024.childhood.GABA/rs4548919_profile_position.png",4,220,900)</f>
        <v/>
      </c>
    </row>
    <row r="1867">
      <c r="A1867" t="inlineStr">
        <is>
          <t>chr17</t>
        </is>
      </c>
      <c r="B1867" t="n">
        <v>46118769</v>
      </c>
      <c r="C1867" t="inlineStr">
        <is>
          <t>G</t>
        </is>
      </c>
      <c r="D1867" t="inlineStr">
        <is>
          <t>A</t>
        </is>
      </c>
      <c r="E1867" t="inlineStr">
        <is>
          <t>rs77560794</t>
        </is>
      </c>
      <c r="F1867" t="n">
        <v>-0.07732058579999999</v>
      </c>
      <c r="G1867" t="n">
        <v>0.0625163205231415</v>
      </c>
      <c r="H1867" t="n">
        <v>0.0152822307990021</v>
      </c>
      <c r="I1867" t="n">
        <v>0.213559076496099</v>
      </c>
      <c r="J1867" t="n">
        <v>0.172356599861783</v>
      </c>
      <c r="K1867" t="n">
        <v>0.2422336361889258</v>
      </c>
      <c r="L1867" t="b">
        <v>0</v>
      </c>
      <c r="M1867" t="b">
        <v>0</v>
      </c>
      <c r="N1867" t="inlineStr">
        <is>
          <t>ref</t>
        </is>
      </c>
      <c r="O1867" t="n">
        <v>-50</v>
      </c>
      <c r="P1867" t="n">
        <v>0.002731</v>
      </c>
      <c r="Q1867" t="n">
        <v>-95</v>
      </c>
      <c r="R1867" t="n">
        <v>0.03015</v>
      </c>
      <c r="S1867">
        <f>IMAGE("https://mitra.stanford.edu/kundaje/oak/projects/neuro-variants/variant_position/credible/roussos_2024/variant_figures/roussos_2024.childhood.GABA/rs77560794_count_position.png",4,220,900)</f>
        <v/>
      </c>
      <c r="T1867">
        <f>IMAGE("https://mitra.stanford.edu/kundaje/oak/projects/neuro-variants/variant_position/credible/roussos_2024/variant_figures/roussos_2024.childhood.GABA/rs77560794_profile_position.png",4,220,900)</f>
        <v/>
      </c>
    </row>
    <row r="1868">
      <c r="A1868" t="inlineStr">
        <is>
          <t>chr17</t>
        </is>
      </c>
      <c r="B1868" t="n">
        <v>46121440</v>
      </c>
      <c r="C1868" t="inlineStr">
        <is>
          <t>T</t>
        </is>
      </c>
      <c r="D1868" t="inlineStr">
        <is>
          <t>C</t>
        </is>
      </c>
      <c r="E1868" t="inlineStr">
        <is>
          <t>rs3087534</t>
        </is>
      </c>
      <c r="F1868" t="n">
        <v>0.100409402</v>
      </c>
      <c r="G1868" t="n">
        <v>0.0271186194794515</v>
      </c>
      <c r="H1868" t="n">
        <v>0.0173120777237116</v>
      </c>
      <c r="I1868" t="n">
        <v>0.1398683172339818</v>
      </c>
      <c r="J1868" t="n">
        <v>0.0381353270088584</v>
      </c>
      <c r="K1868" t="n">
        <v>0.5406056052150979</v>
      </c>
      <c r="L1868" t="b">
        <v>0</v>
      </c>
      <c r="M1868" t="b">
        <v>0</v>
      </c>
      <c r="N1868" t="inlineStr">
        <is>
          <t>alt</t>
        </is>
      </c>
      <c r="O1868" t="n">
        <v>-50</v>
      </c>
      <c r="P1868" t="n">
        <v>0.00233</v>
      </c>
      <c r="Q1868" t="n">
        <v>70</v>
      </c>
      <c r="R1868" t="n">
        <v>0.04956</v>
      </c>
      <c r="S1868">
        <f>IMAGE("https://mitra.stanford.edu/kundaje/oak/projects/neuro-variants/variant_position/credible/roussos_2024/variant_figures/roussos_2024.childhood.GABA/rs3087534_count_position.png",4,220,900)</f>
        <v/>
      </c>
      <c r="T1868">
        <f>IMAGE("https://mitra.stanford.edu/kundaje/oak/projects/neuro-variants/variant_position/credible/roussos_2024/variant_figures/roussos_2024.childhood.GABA/rs3087534_profile_position.png",4,220,900)</f>
        <v/>
      </c>
    </row>
    <row r="1869">
      <c r="A1869" t="inlineStr">
        <is>
          <t>chr17</t>
        </is>
      </c>
      <c r="B1869" t="n">
        <v>46124314</v>
      </c>
      <c r="C1869" t="inlineStr">
        <is>
          <t>A</t>
        </is>
      </c>
      <c r="D1869" t="inlineStr">
        <is>
          <t>C</t>
        </is>
      </c>
      <c r="E1869" t="inlineStr">
        <is>
          <t>rs55672516</t>
        </is>
      </c>
      <c r="F1869" t="n">
        <v>0.035894464</v>
      </c>
      <c r="G1869" t="n">
        <v>0.2543138494494497</v>
      </c>
      <c r="H1869" t="n">
        <v>0.0114697438129261</v>
      </c>
      <c r="I1869" t="n">
        <v>0.4621057744819387</v>
      </c>
      <c r="J1869" t="n">
        <v>0.1031988858872064</v>
      </c>
      <c r="K1869" t="n">
        <v>0.3477277653766851</v>
      </c>
      <c r="L1869" t="b">
        <v>0</v>
      </c>
      <c r="M1869" t="b">
        <v>0</v>
      </c>
      <c r="N1869" t="inlineStr">
        <is>
          <t>alt</t>
        </is>
      </c>
      <c r="O1869" t="n">
        <v>-90</v>
      </c>
      <c r="P1869" t="n">
        <v>0.003212</v>
      </c>
      <c r="Q1869" t="n">
        <v>80</v>
      </c>
      <c r="R1869" t="n">
        <v>0.01041</v>
      </c>
      <c r="S1869">
        <f>IMAGE("https://mitra.stanford.edu/kundaje/oak/projects/neuro-variants/variant_position/credible/roussos_2024/variant_figures/roussos_2024.childhood.GABA/rs55672516_count_position.png",4,220,900)</f>
        <v/>
      </c>
      <c r="T1869">
        <f>IMAGE("https://mitra.stanford.edu/kundaje/oak/projects/neuro-variants/variant_position/credible/roussos_2024/variant_figures/roussos_2024.childhood.GABA/rs55672516_profile_position.png",4,220,900)</f>
        <v/>
      </c>
    </row>
    <row r="1870">
      <c r="A1870" t="inlineStr">
        <is>
          <t>chr17</t>
        </is>
      </c>
      <c r="B1870" t="n">
        <v>46143984</v>
      </c>
      <c r="C1870" t="inlineStr">
        <is>
          <t>G</t>
        </is>
      </c>
      <c r="D1870" t="inlineStr">
        <is>
          <t>A</t>
        </is>
      </c>
      <c r="E1870" t="inlineStr">
        <is>
          <t>rs2532307</t>
        </is>
      </c>
      <c r="F1870" t="n">
        <v>-0.01047431208</v>
      </c>
      <c r="G1870" t="n">
        <v>0.6124423286017961</v>
      </c>
      <c r="H1870" t="n">
        <v>0.0096976401721702</v>
      </c>
      <c r="I1870" t="n">
        <v>0.6435701811500476</v>
      </c>
      <c r="J1870" t="n">
        <v>0.0703451236623316</v>
      </c>
      <c r="K1870" t="n">
        <v>0.4197198858052423</v>
      </c>
      <c r="L1870" t="b">
        <v>0</v>
      </c>
      <c r="M1870" t="b">
        <v>0</v>
      </c>
      <c r="N1870" t="inlineStr">
        <is>
          <t>ref</t>
        </is>
      </c>
      <c r="O1870" t="n">
        <v>-60</v>
      </c>
      <c r="P1870" t="n">
        <v>0.10754</v>
      </c>
      <c r="Q1870" t="n">
        <v>-100</v>
      </c>
      <c r="R1870" t="n">
        <v>0.074</v>
      </c>
      <c r="S1870">
        <f>IMAGE("https://mitra.stanford.edu/kundaje/oak/projects/neuro-variants/variant_position/credible/roussos_2024/variant_figures/roussos_2024.childhood.GABA/rs2532307_count_position.png",4,220,900)</f>
        <v/>
      </c>
      <c r="T1870">
        <f>IMAGE("https://mitra.stanford.edu/kundaje/oak/projects/neuro-variants/variant_position/credible/roussos_2024/variant_figures/roussos_2024.childhood.GABA/rs2532307_profile_position.png",4,220,900)</f>
        <v/>
      </c>
    </row>
    <row r="1871">
      <c r="A1871" t="inlineStr">
        <is>
          <t>chr17</t>
        </is>
      </c>
      <c r="B1871" t="n">
        <v>46169258</v>
      </c>
      <c r="C1871" t="inlineStr">
        <is>
          <t>C</t>
        </is>
      </c>
      <c r="D1871" t="inlineStr">
        <is>
          <t>A</t>
        </is>
      </c>
      <c r="E1871" t="inlineStr">
        <is>
          <t>rs2532276</t>
        </is>
      </c>
      <c r="F1871" t="n">
        <v>-0.1461640089999999</v>
      </c>
      <c r="G1871" t="n">
        <v>0.0107143995440311</v>
      </c>
      <c r="H1871" t="n">
        <v>0.0198069808152164</v>
      </c>
      <c r="I1871" t="n">
        <v>0.0789946115509861</v>
      </c>
      <c r="J1871" t="n">
        <v>0.08795732026554411</v>
      </c>
      <c r="K1871" t="n">
        <v>0.3721562067186587</v>
      </c>
      <c r="L1871" t="b">
        <v>1</v>
      </c>
      <c r="M1871" t="b">
        <v>0</v>
      </c>
      <c r="N1871" t="inlineStr">
        <is>
          <t>ref</t>
        </is>
      </c>
      <c r="O1871" t="n">
        <v>90</v>
      </c>
      <c r="P1871" t="n">
        <v>0.0478</v>
      </c>
      <c r="Q1871" t="n">
        <v>-85</v>
      </c>
      <c r="R1871" t="n">
        <v>0.04858</v>
      </c>
      <c r="S1871">
        <f>IMAGE("https://mitra.stanford.edu/kundaje/oak/projects/neuro-variants/variant_position/credible/roussos_2024/variant_figures/roussos_2024.childhood.GABA/rs2532276_count_position.png",4,220,900)</f>
        <v/>
      </c>
      <c r="T1871">
        <f>IMAGE("https://mitra.stanford.edu/kundaje/oak/projects/neuro-variants/variant_position/credible/roussos_2024/variant_figures/roussos_2024.childhood.GABA/rs2532276_profile_position.png",4,220,900)</f>
        <v/>
      </c>
    </row>
    <row r="1872">
      <c r="A1872" t="inlineStr">
        <is>
          <t>chr17</t>
        </is>
      </c>
      <c r="B1872" t="n">
        <v>46189165</v>
      </c>
      <c r="C1872" t="inlineStr">
        <is>
          <t>G</t>
        </is>
      </c>
      <c r="D1872" t="inlineStr">
        <is>
          <t>A</t>
        </is>
      </c>
      <c r="E1872" t="inlineStr">
        <is>
          <t>rs2696566</t>
        </is>
      </c>
      <c r="F1872" t="n">
        <v>-0.0570693491999999</v>
      </c>
      <c r="G1872" t="n">
        <v>0.1125517260146238</v>
      </c>
      <c r="H1872" t="n">
        <v>0.0128956681526513</v>
      </c>
      <c r="I1872" t="n">
        <v>0.3658003234604082</v>
      </c>
      <c r="J1872" t="n">
        <v>0.1344505874222529</v>
      </c>
      <c r="K1872" t="n">
        <v>0.2948280711968146</v>
      </c>
      <c r="L1872" t="b">
        <v>0</v>
      </c>
      <c r="M1872" t="b">
        <v>0</v>
      </c>
      <c r="N1872" t="inlineStr">
        <is>
          <t>ref</t>
        </is>
      </c>
      <c r="O1872" t="n">
        <v>-75</v>
      </c>
      <c r="P1872" t="n">
        <v>0.01404</v>
      </c>
      <c r="Q1872" t="n">
        <v>-75</v>
      </c>
      <c r="R1872" t="n">
        <v>0.04807</v>
      </c>
      <c r="S1872">
        <f>IMAGE("https://mitra.stanford.edu/kundaje/oak/projects/neuro-variants/variant_position/credible/roussos_2024/variant_figures/roussos_2024.childhood.GABA/rs2696566_count_position.png",4,220,900)</f>
        <v/>
      </c>
      <c r="T1872">
        <f>IMAGE("https://mitra.stanford.edu/kundaje/oak/projects/neuro-variants/variant_position/credible/roussos_2024/variant_figures/roussos_2024.childhood.GABA/rs2696566_profile_position.png",4,220,900)</f>
        <v/>
      </c>
    </row>
    <row r="1873">
      <c r="A1873" t="inlineStr">
        <is>
          <t>chr17</t>
        </is>
      </c>
      <c r="B1873" t="n">
        <v>46708970</v>
      </c>
      <c r="C1873" t="inlineStr">
        <is>
          <t>T</t>
        </is>
      </c>
      <c r="D1873" t="inlineStr">
        <is>
          <t>A</t>
        </is>
      </c>
      <c r="E1873" t="inlineStr">
        <is>
          <t>rs199437</t>
        </is>
      </c>
      <c r="F1873" t="n">
        <v>-0.0004025671999999</v>
      </c>
      <c r="G1873" t="n">
        <v>0.7721354415921855</v>
      </c>
      <c r="H1873" t="n">
        <v>0.008624442421348801</v>
      </c>
      <c r="I1873" t="n">
        <v>0.7723177489746855</v>
      </c>
      <c r="J1873" t="n">
        <v>0.0054899373835102</v>
      </c>
      <c r="K1873" t="n">
        <v>0.8024328173540565</v>
      </c>
      <c r="L1873" t="b">
        <v>0</v>
      </c>
      <c r="M1873" t="b">
        <v>0</v>
      </c>
      <c r="N1873" t="inlineStr">
        <is>
          <t>ref</t>
        </is>
      </c>
      <c r="O1873" t="n">
        <v>-80</v>
      </c>
      <c r="P1873" t="n">
        <v>0.02844</v>
      </c>
      <c r="Q1873" t="n">
        <v>-90</v>
      </c>
      <c r="R1873" t="n">
        <v>0.06610000000000001</v>
      </c>
      <c r="S1873">
        <f>IMAGE("https://mitra.stanford.edu/kundaje/oak/projects/neuro-variants/variant_position/credible/roussos_2024/variant_figures/roussos_2024.childhood.GABA/rs199437_count_position.png",4,220,900)</f>
        <v/>
      </c>
      <c r="T1873">
        <f>IMAGE("https://mitra.stanford.edu/kundaje/oak/projects/neuro-variants/variant_position/credible/roussos_2024/variant_figures/roussos_2024.childhood.GABA/rs199437_profile_position.png",4,220,900)</f>
        <v/>
      </c>
    </row>
    <row r="1874">
      <c r="A1874" t="inlineStr">
        <is>
          <t>chr17</t>
        </is>
      </c>
      <c r="B1874" t="n">
        <v>46709947</v>
      </c>
      <c r="C1874" t="inlineStr">
        <is>
          <t>G</t>
        </is>
      </c>
      <c r="D1874" t="inlineStr">
        <is>
          <t>C</t>
        </is>
      </c>
      <c r="E1874" t="inlineStr">
        <is>
          <t>rs538628</t>
        </is>
      </c>
      <c r="F1874" t="n">
        <v>-0.0873625812</v>
      </c>
      <c r="G1874" t="n">
        <v>0.0462416943931296</v>
      </c>
      <c r="H1874" t="n">
        <v>0.0126124933732626</v>
      </c>
      <c r="I1874" t="n">
        <v>0.3790819417686066</v>
      </c>
      <c r="J1874" t="n">
        <v>0.004938116479236</v>
      </c>
      <c r="K1874" t="n">
        <v>0.8188136687730194</v>
      </c>
      <c r="L1874" t="b">
        <v>0</v>
      </c>
      <c r="M1874" t="b">
        <v>0</v>
      </c>
      <c r="N1874" t="inlineStr">
        <is>
          <t>ref</t>
        </is>
      </c>
      <c r="O1874" t="n">
        <v>100</v>
      </c>
      <c r="P1874" t="n">
        <v>0.0054</v>
      </c>
      <c r="Q1874" t="n">
        <v>-40</v>
      </c>
      <c r="R1874" t="n">
        <v>0.0989</v>
      </c>
      <c r="S1874">
        <f>IMAGE("https://mitra.stanford.edu/kundaje/oak/projects/neuro-variants/variant_position/credible/roussos_2024/variant_figures/roussos_2024.childhood.GABA/rs538628_count_position.png",4,220,900)</f>
        <v/>
      </c>
      <c r="T1874">
        <f>IMAGE("https://mitra.stanford.edu/kundaje/oak/projects/neuro-variants/variant_position/credible/roussos_2024/variant_figures/roussos_2024.childhood.GABA/rs538628_profile_position.png",4,220,900)</f>
        <v/>
      </c>
    </row>
    <row r="1875">
      <c r="A1875" t="inlineStr">
        <is>
          <t>chr17</t>
        </is>
      </c>
      <c r="B1875" t="n">
        <v>46711919</v>
      </c>
      <c r="C1875" t="inlineStr">
        <is>
          <t>A</t>
        </is>
      </c>
      <c r="D1875" t="inlineStr">
        <is>
          <t>G</t>
        </is>
      </c>
      <c r="E1875" t="inlineStr">
        <is>
          <t>rs199436</t>
        </is>
      </c>
      <c r="F1875" t="n">
        <v>-0.008470408746</v>
      </c>
      <c r="G1875" t="n">
        <v>0.678526807584917</v>
      </c>
      <c r="H1875" t="n">
        <v>0.009437274957795999</v>
      </c>
      <c r="I1875" t="n">
        <v>0.7003905260674513</v>
      </c>
      <c r="J1875" t="n">
        <v>0.0128824527235031</v>
      </c>
      <c r="K1875" t="n">
        <v>0.7127510981291688</v>
      </c>
      <c r="L1875" t="b">
        <v>0</v>
      </c>
      <c r="M1875" t="b">
        <v>0</v>
      </c>
      <c r="N1875" t="inlineStr">
        <is>
          <t>ref</t>
        </is>
      </c>
      <c r="O1875" t="n">
        <v>-100</v>
      </c>
      <c r="P1875" t="n">
        <v>0.004253</v>
      </c>
      <c r="Q1875" t="n">
        <v>35</v>
      </c>
      <c r="R1875" t="n">
        <v>0.01955</v>
      </c>
      <c r="S1875">
        <f>IMAGE("https://mitra.stanford.edu/kundaje/oak/projects/neuro-variants/variant_position/credible/roussos_2024/variant_figures/roussos_2024.childhood.GABA/rs199436_count_position.png",4,220,900)</f>
        <v/>
      </c>
      <c r="T1875">
        <f>IMAGE("https://mitra.stanford.edu/kundaje/oak/projects/neuro-variants/variant_position/credible/roussos_2024/variant_figures/roussos_2024.childhood.GABA/rs199436_profile_position.png",4,220,900)</f>
        <v/>
      </c>
    </row>
    <row r="1876">
      <c r="A1876" t="inlineStr">
        <is>
          <t>chr17</t>
        </is>
      </c>
      <c r="B1876" t="n">
        <v>46714277</v>
      </c>
      <c r="C1876" t="inlineStr">
        <is>
          <t>G</t>
        </is>
      </c>
      <c r="D1876" t="inlineStr">
        <is>
          <t>A</t>
        </is>
      </c>
      <c r="E1876" t="inlineStr">
        <is>
          <t>rs199438</t>
        </is>
      </c>
      <c r="F1876" t="n">
        <v>-0.00528377202</v>
      </c>
      <c r="G1876" t="n">
        <v>0.7917121335341335</v>
      </c>
      <c r="H1876" t="n">
        <v>0.0186547299649313</v>
      </c>
      <c r="I1876" t="n">
        <v>0.09919691211362081</v>
      </c>
      <c r="J1876" t="n">
        <v>0.0026386881950115</v>
      </c>
      <c r="K1876" t="n">
        <v>0.8740963975136794</v>
      </c>
      <c r="L1876" t="b">
        <v>0</v>
      </c>
      <c r="M1876" t="b">
        <v>0</v>
      </c>
      <c r="N1876" t="inlineStr">
        <is>
          <t>ref</t>
        </is>
      </c>
      <c r="O1876" t="n">
        <v>15</v>
      </c>
      <c r="P1876" t="n">
        <v>0.00136</v>
      </c>
      <c r="Q1876" t="n">
        <v>-100</v>
      </c>
      <c r="R1876" t="n">
        <v>0.0659</v>
      </c>
      <c r="S1876">
        <f>IMAGE("https://mitra.stanford.edu/kundaje/oak/projects/neuro-variants/variant_position/credible/roussos_2024/variant_figures/roussos_2024.childhood.GABA/rs199438_count_position.png",4,220,900)</f>
        <v/>
      </c>
      <c r="T1876">
        <f>IMAGE("https://mitra.stanford.edu/kundaje/oak/projects/neuro-variants/variant_position/credible/roussos_2024/variant_figures/roussos_2024.childhood.GABA/rs199438_profile_position.png",4,220,900)</f>
        <v/>
      </c>
    </row>
    <row r="1877">
      <c r="A1877" t="inlineStr">
        <is>
          <t>chr17</t>
        </is>
      </c>
      <c r="B1877" t="n">
        <v>46723580</v>
      </c>
      <c r="C1877" t="inlineStr">
        <is>
          <t>C</t>
        </is>
      </c>
      <c r="D1877" t="inlineStr">
        <is>
          <t>T</t>
        </is>
      </c>
      <c r="E1877" t="inlineStr">
        <is>
          <t>rs199453</t>
        </is>
      </c>
      <c r="F1877" t="n">
        <v>-0.0106044121</v>
      </c>
      <c r="G1877" t="n">
        <v>0.5784944941865445</v>
      </c>
      <c r="H1877" t="n">
        <v>0.0083612613298342</v>
      </c>
      <c r="I1877" t="n">
        <v>0.8113152339662746</v>
      </c>
      <c r="J1877" t="n">
        <v>0.0428169043580238</v>
      </c>
      <c r="K1877" t="n">
        <v>0.5199092365095401</v>
      </c>
      <c r="L1877" t="b">
        <v>0</v>
      </c>
      <c r="M1877" t="b">
        <v>0</v>
      </c>
      <c r="N1877" t="inlineStr">
        <is>
          <t>ref</t>
        </is>
      </c>
      <c r="O1877" t="n">
        <v>-60</v>
      </c>
      <c r="P1877" t="n">
        <v>0.01476</v>
      </c>
      <c r="Q1877" t="n">
        <v>-55</v>
      </c>
      <c r="R1877" t="n">
        <v>0.1562</v>
      </c>
      <c r="S1877">
        <f>IMAGE("https://mitra.stanford.edu/kundaje/oak/projects/neuro-variants/variant_position/credible/roussos_2024/variant_figures/roussos_2024.childhood.GABA/rs199453_count_position.png",4,220,900)</f>
        <v/>
      </c>
      <c r="T1877">
        <f>IMAGE("https://mitra.stanford.edu/kundaje/oak/projects/neuro-variants/variant_position/credible/roussos_2024/variant_figures/roussos_2024.childhood.GABA/rs199453_profile_position.png",4,220,900)</f>
        <v/>
      </c>
    </row>
    <row r="1878">
      <c r="A1878" t="inlineStr">
        <is>
          <t>chr17</t>
        </is>
      </c>
      <c r="B1878" t="n">
        <v>46724418</v>
      </c>
      <c r="C1878" t="inlineStr">
        <is>
          <t>G</t>
        </is>
      </c>
      <c r="D1878" t="inlineStr">
        <is>
          <t>A</t>
        </is>
      </c>
      <c r="E1878" t="inlineStr">
        <is>
          <t>rs199451</t>
        </is>
      </c>
      <c r="F1878" t="n">
        <v>-0.265987006</v>
      </c>
      <c r="G1878" t="n">
        <v>0.0019708430919119</v>
      </c>
      <c r="H1878" t="n">
        <v>0.0291665076541666</v>
      </c>
      <c r="I1878" t="n">
        <v>0.0154599476064991</v>
      </c>
      <c r="J1878" t="n">
        <v>0.0332453770601662</v>
      </c>
      <c r="K1878" t="n">
        <v>0.5721656895323952</v>
      </c>
      <c r="L1878" t="b">
        <v>1</v>
      </c>
      <c r="M1878" t="b">
        <v>1</v>
      </c>
      <c r="N1878" t="inlineStr">
        <is>
          <t>ref</t>
        </is>
      </c>
      <c r="O1878" t="n">
        <v>-100</v>
      </c>
      <c r="P1878" t="n">
        <v>0.005325</v>
      </c>
      <c r="Q1878" t="n">
        <v>55</v>
      </c>
      <c r="R1878" t="n">
        <v>0.02686</v>
      </c>
      <c r="S1878">
        <f>IMAGE("https://mitra.stanford.edu/kundaje/oak/projects/neuro-variants/variant_position/credible/roussos_2024/variant_figures/roussos_2024.childhood.GABA/rs199451_count_position.png",4,220,900)</f>
        <v/>
      </c>
      <c r="T1878">
        <f>IMAGE("https://mitra.stanford.edu/kundaje/oak/projects/neuro-variants/variant_position/credible/roussos_2024/variant_figures/roussos_2024.childhood.GABA/rs199451_profile_position.png",4,220,900)</f>
        <v/>
      </c>
    </row>
    <row r="1879">
      <c r="A1879" t="inlineStr">
        <is>
          <t>chr17</t>
        </is>
      </c>
      <c r="B1879" t="n">
        <v>46742756</v>
      </c>
      <c r="C1879" t="inlineStr">
        <is>
          <t>G</t>
        </is>
      </c>
      <c r="D1879" t="inlineStr">
        <is>
          <t>A</t>
        </is>
      </c>
      <c r="E1879" t="inlineStr">
        <is>
          <t>rs199442</t>
        </is>
      </c>
      <c r="F1879" t="n">
        <v>-0.1148611319999999</v>
      </c>
      <c r="G1879" t="n">
        <v>0.0226938870481617</v>
      </c>
      <c r="H1879" t="n">
        <v>0.0175236064706149</v>
      </c>
      <c r="I1879" t="n">
        <v>0.126755015435739</v>
      </c>
      <c r="J1879" t="n">
        <v>0.1445666059349542</v>
      </c>
      <c r="K1879" t="n">
        <v>0.2844199738420294</v>
      </c>
      <c r="L1879" t="b">
        <v>0</v>
      </c>
      <c r="M1879" t="b">
        <v>0</v>
      </c>
      <c r="N1879" t="inlineStr">
        <is>
          <t>ref</t>
        </is>
      </c>
      <c r="O1879" t="n">
        <v>100</v>
      </c>
      <c r="P1879" t="n">
        <v>0.01791</v>
      </c>
      <c r="Q1879" t="n">
        <v>-85</v>
      </c>
      <c r="R1879" t="n">
        <v>0.04993</v>
      </c>
      <c r="S1879">
        <f>IMAGE("https://mitra.stanford.edu/kundaje/oak/projects/neuro-variants/variant_position/credible/roussos_2024/variant_figures/roussos_2024.childhood.GABA/rs199442_count_position.png",4,220,900)</f>
        <v/>
      </c>
      <c r="T1879">
        <f>IMAGE("https://mitra.stanford.edu/kundaje/oak/projects/neuro-variants/variant_position/credible/roussos_2024/variant_figures/roussos_2024.childhood.GABA/rs199442_profile_position.png",4,220,900)</f>
        <v/>
      </c>
    </row>
    <row r="1880">
      <c r="A1880" t="inlineStr">
        <is>
          <t>chr17</t>
        </is>
      </c>
      <c r="B1880" t="n">
        <v>46746847</v>
      </c>
      <c r="C1880" t="inlineStr">
        <is>
          <t>T</t>
        </is>
      </c>
      <c r="D1880" t="inlineStr">
        <is>
          <t>G</t>
        </is>
      </c>
      <c r="E1880" t="inlineStr">
        <is>
          <t>rs199534</t>
        </is>
      </c>
      <c r="F1880" t="n">
        <v>0.0011621679284</v>
      </c>
      <c r="G1880" t="n">
        <v>0.8432664384992988</v>
      </c>
      <c r="H1880" t="n">
        <v>0.0244834262670113</v>
      </c>
      <c r="I1880" t="n">
        <v>0.0315698267182625</v>
      </c>
      <c r="J1880" t="n">
        <v>0.0010921237251575</v>
      </c>
      <c r="K1880" t="n">
        <v>0.907555172263996</v>
      </c>
      <c r="L1880" t="b">
        <v>0</v>
      </c>
      <c r="M1880" t="b">
        <v>0</v>
      </c>
      <c r="N1880" t="inlineStr">
        <is>
          <t>alt</t>
        </is>
      </c>
      <c r="O1880" t="n">
        <v>-80</v>
      </c>
      <c r="P1880" t="n">
        <v>0.00683</v>
      </c>
      <c r="Q1880" t="n">
        <v>95</v>
      </c>
      <c r="R1880" t="n">
        <v>0.1051</v>
      </c>
      <c r="S1880">
        <f>IMAGE("https://mitra.stanford.edu/kundaje/oak/projects/neuro-variants/variant_position/credible/roussos_2024/variant_figures/roussos_2024.childhood.GABA/rs199534_count_position.png",4,220,900)</f>
        <v/>
      </c>
      <c r="T1880">
        <f>IMAGE("https://mitra.stanford.edu/kundaje/oak/projects/neuro-variants/variant_position/credible/roussos_2024/variant_figures/roussos_2024.childhood.GABA/rs199534_profile_position.png",4,220,900)</f>
        <v/>
      </c>
    </row>
    <row r="1881">
      <c r="A1881" t="inlineStr">
        <is>
          <t>chr17</t>
        </is>
      </c>
      <c r="B1881" t="n">
        <v>46765770</v>
      </c>
      <c r="C1881" t="inlineStr">
        <is>
          <t>C</t>
        </is>
      </c>
      <c r="D1881" t="inlineStr">
        <is>
          <t>T</t>
        </is>
      </c>
      <c r="E1881" t="inlineStr">
        <is>
          <t>rs199528</t>
        </is>
      </c>
      <c r="F1881" t="n">
        <v>-0.0015358638399999</v>
      </c>
      <c r="G1881" t="n">
        <v>0.8766256822846231</v>
      </c>
      <c r="H1881" t="n">
        <v>0.0070277604306786</v>
      </c>
      <c r="I1881" t="n">
        <v>0.9400565052500072</v>
      </c>
      <c r="J1881" t="n">
        <v>0.4260120206906661</v>
      </c>
      <c r="K1881" t="n">
        <v>0.0754593544859636</v>
      </c>
      <c r="L1881" t="b">
        <v>0</v>
      </c>
      <c r="M1881" t="b">
        <v>0</v>
      </c>
      <c r="N1881" t="inlineStr">
        <is>
          <t>ref</t>
        </is>
      </c>
      <c r="O1881" t="n">
        <v>90</v>
      </c>
      <c r="P1881" t="n">
        <v>0.002178</v>
      </c>
      <c r="Q1881" t="n">
        <v>-100</v>
      </c>
      <c r="R1881" t="n">
        <v>0.03366</v>
      </c>
      <c r="S1881">
        <f>IMAGE("https://mitra.stanford.edu/kundaje/oak/projects/neuro-variants/variant_position/credible/roussos_2024/variant_figures/roussos_2024.childhood.GABA/rs199528_count_position.png",4,220,900)</f>
        <v/>
      </c>
      <c r="T1881">
        <f>IMAGE("https://mitra.stanford.edu/kundaje/oak/projects/neuro-variants/variant_position/credible/roussos_2024/variant_figures/roussos_2024.childhood.GABA/rs199528_profile_position.png",4,220,900)</f>
        <v/>
      </c>
    </row>
    <row r="1882">
      <c r="A1882" t="inlineStr">
        <is>
          <t>chr17</t>
        </is>
      </c>
      <c r="B1882" t="n">
        <v>46771151</v>
      </c>
      <c r="C1882" t="inlineStr">
        <is>
          <t>C</t>
        </is>
      </c>
      <c r="D1882" t="inlineStr">
        <is>
          <t>A</t>
        </is>
      </c>
      <c r="E1882" t="inlineStr">
        <is>
          <t>rs199523</t>
        </is>
      </c>
      <c r="F1882" t="n">
        <v>-0.0961782588</v>
      </c>
      <c r="G1882" t="n">
        <v>0.0332595607649396</v>
      </c>
      <c r="H1882" t="n">
        <v>0.033989772988992</v>
      </c>
      <c r="I1882" t="n">
        <v>0.0072897669511783</v>
      </c>
      <c r="J1882" t="n">
        <v>0.8700110992439949</v>
      </c>
      <c r="K1882" t="n">
        <v>0.0030657635127734</v>
      </c>
      <c r="L1882" t="b">
        <v>1</v>
      </c>
      <c r="M1882" t="b">
        <v>1</v>
      </c>
      <c r="N1882" t="inlineStr">
        <is>
          <t>ref</t>
        </is>
      </c>
      <c r="O1882" t="n">
        <v>55</v>
      </c>
      <c r="P1882" t="n">
        <v>0.003235</v>
      </c>
      <c r="Q1882" t="n">
        <v>100</v>
      </c>
      <c r="R1882" t="n">
        <v>0.02698</v>
      </c>
      <c r="S1882">
        <f>IMAGE("https://mitra.stanford.edu/kundaje/oak/projects/neuro-variants/variant_position/credible/roussos_2024/variant_figures/roussos_2024.childhood.GABA/rs199523_count_position.png",4,220,900)</f>
        <v/>
      </c>
      <c r="T1882">
        <f>IMAGE("https://mitra.stanford.edu/kundaje/oak/projects/neuro-variants/variant_position/credible/roussos_2024/variant_figures/roussos_2024.childhood.GABA/rs199523_profile_position.png",4,220,900)</f>
        <v/>
      </c>
    </row>
    <row r="1883">
      <c r="A1883" t="inlineStr">
        <is>
          <t>chr17</t>
        </is>
      </c>
      <c r="B1883" t="n">
        <v>46777214</v>
      </c>
      <c r="C1883" t="inlineStr">
        <is>
          <t>A</t>
        </is>
      </c>
      <c r="D1883" t="inlineStr">
        <is>
          <t>C</t>
        </is>
      </c>
      <c r="E1883" t="inlineStr">
        <is>
          <t>rs199518</t>
        </is>
      </c>
      <c r="F1883" t="n">
        <v>-0.0074058729999999</v>
      </c>
      <c r="G1883" t="n">
        <v>0.7190976539995376</v>
      </c>
      <c r="H1883" t="n">
        <v>0.0434133588438957</v>
      </c>
      <c r="I1883" t="n">
        <v>0.0028546638860829</v>
      </c>
      <c r="J1883" t="n">
        <v>0.3543695419991203</v>
      </c>
      <c r="K1883" t="n">
        <v>0.106972961893873</v>
      </c>
      <c r="L1883" t="b">
        <v>1</v>
      </c>
      <c r="M1883" t="b">
        <v>1</v>
      </c>
      <c r="N1883" t="inlineStr">
        <is>
          <t>ref</t>
        </is>
      </c>
      <c r="O1883" t="n">
        <v>-100</v>
      </c>
      <c r="P1883" t="n">
        <v>0.001282</v>
      </c>
      <c r="Q1883" t="n">
        <v>90</v>
      </c>
      <c r="R1883" t="n">
        <v>0.07340000000000001</v>
      </c>
      <c r="S1883">
        <f>IMAGE("https://mitra.stanford.edu/kundaje/oak/projects/neuro-variants/variant_position/credible/roussos_2024/variant_figures/roussos_2024.childhood.GABA/rs199518_count_position.png",4,220,900)</f>
        <v/>
      </c>
      <c r="T1883">
        <f>IMAGE("https://mitra.stanford.edu/kundaje/oak/projects/neuro-variants/variant_position/credible/roussos_2024/variant_figures/roussos_2024.childhood.GABA/rs199518_profile_position.png",4,220,900)</f>
        <v/>
      </c>
    </row>
    <row r="1884">
      <c r="A1884" t="inlineStr">
        <is>
          <t>chr17</t>
        </is>
      </c>
      <c r="B1884" t="n">
        <v>46777221</v>
      </c>
      <c r="C1884" t="inlineStr">
        <is>
          <t>A</t>
        </is>
      </c>
      <c r="D1884" t="inlineStr">
        <is>
          <t>G</t>
        </is>
      </c>
      <c r="E1884" t="inlineStr">
        <is>
          <t>rs199517</t>
        </is>
      </c>
      <c r="F1884" t="n">
        <v>-0.00038601361644</v>
      </c>
      <c r="G1884" t="n">
        <v>0.9368766900965108</v>
      </c>
      <c r="H1884" t="n">
        <v>0.0212503661318136</v>
      </c>
      <c r="I1884" t="n">
        <v>0.0578383662323046</v>
      </c>
      <c r="J1884" t="n">
        <v>0.3546752947582249</v>
      </c>
      <c r="K1884" t="n">
        <v>0.1068508226329223</v>
      </c>
      <c r="L1884" t="b">
        <v>0</v>
      </c>
      <c r="M1884" t="b">
        <v>0</v>
      </c>
      <c r="N1884" t="inlineStr">
        <is>
          <t>ref</t>
        </is>
      </c>
      <c r="O1884" t="n">
        <v>-90</v>
      </c>
      <c r="P1884" t="n">
        <v>0.0005493</v>
      </c>
      <c r="Q1884" t="n">
        <v>80</v>
      </c>
      <c r="R1884" t="n">
        <v>0.05563</v>
      </c>
      <c r="S1884">
        <f>IMAGE("https://mitra.stanford.edu/kundaje/oak/projects/neuro-variants/variant_position/credible/roussos_2024/variant_figures/roussos_2024.childhood.GABA/rs199517_count_position.png",4,220,900)</f>
        <v/>
      </c>
      <c r="T1884">
        <f>IMAGE("https://mitra.stanford.edu/kundaje/oak/projects/neuro-variants/variant_position/credible/roussos_2024/variant_figures/roussos_2024.childhood.GABA/rs199517_profile_position.png",4,220,900)</f>
        <v/>
      </c>
    </row>
    <row r="1885">
      <c r="A1885" t="inlineStr">
        <is>
          <t>chr17</t>
        </is>
      </c>
      <c r="B1885" t="n">
        <v>46779275</v>
      </c>
      <c r="C1885" t="inlineStr">
        <is>
          <t>G</t>
        </is>
      </c>
      <c r="D1885" t="inlineStr">
        <is>
          <t>C</t>
        </is>
      </c>
      <c r="E1885" t="inlineStr">
        <is>
          <t>rs199515</t>
        </is>
      </c>
      <c r="F1885" t="n">
        <v>0.0529407238</v>
      </c>
      <c r="G1885" t="n">
        <v>0.1460799727973211</v>
      </c>
      <c r="H1885" t="n">
        <v>0.0150548965413993</v>
      </c>
      <c r="I1885" t="n">
        <v>0.2213564140116933</v>
      </c>
      <c r="J1885" t="n">
        <v>0.6331804569537811</v>
      </c>
      <c r="K1885" t="n">
        <v>0.0235277760572838</v>
      </c>
      <c r="L1885" t="b">
        <v>0</v>
      </c>
      <c r="M1885" t="b">
        <v>0</v>
      </c>
      <c r="N1885" t="inlineStr">
        <is>
          <t>alt</t>
        </is>
      </c>
      <c r="O1885" t="n">
        <v>-100</v>
      </c>
      <c r="P1885" t="n">
        <v>0.02109</v>
      </c>
      <c r="Q1885" t="n">
        <v>70</v>
      </c>
      <c r="R1885" t="n">
        <v>0.1658</v>
      </c>
      <c r="S1885">
        <f>IMAGE("https://mitra.stanford.edu/kundaje/oak/projects/neuro-variants/variant_position/credible/roussos_2024/variant_figures/roussos_2024.childhood.GABA/rs199515_count_position.png",4,220,900)</f>
        <v/>
      </c>
      <c r="T1885">
        <f>IMAGE("https://mitra.stanford.edu/kundaje/oak/projects/neuro-variants/variant_position/credible/roussos_2024/variant_figures/roussos_2024.childhood.GABA/rs199515_profile_position.png",4,220,900)</f>
        <v/>
      </c>
    </row>
    <row r="1886">
      <c r="A1886" t="inlineStr">
        <is>
          <t>chr17</t>
        </is>
      </c>
      <c r="B1886" t="n">
        <v>46783637</v>
      </c>
      <c r="C1886" t="inlineStr">
        <is>
          <t>C</t>
        </is>
      </c>
      <c r="D1886" t="inlineStr">
        <is>
          <t>T</t>
        </is>
      </c>
      <c r="E1886" t="inlineStr">
        <is>
          <t>rs199504</t>
        </is>
      </c>
      <c r="F1886" t="n">
        <v>-0.0230174188</v>
      </c>
      <c r="G1886" t="n">
        <v>0.3805323579049492</v>
      </c>
      <c r="H1886" t="n">
        <v>0.0114944649537986</v>
      </c>
      <c r="I1886" t="n">
        <v>0.4854760004622339</v>
      </c>
      <c r="J1886" t="n">
        <v>0.3373845573914681</v>
      </c>
      <c r="K1886" t="n">
        <v>0.1155475020244865</v>
      </c>
      <c r="L1886" t="b">
        <v>0</v>
      </c>
      <c r="M1886" t="b">
        <v>0</v>
      </c>
      <c r="N1886" t="inlineStr">
        <is>
          <t>ref</t>
        </is>
      </c>
      <c r="O1886" t="n">
        <v>-100</v>
      </c>
      <c r="P1886" t="n">
        <v>0.02086</v>
      </c>
      <c r="Q1886" t="n">
        <v>-100</v>
      </c>
      <c r="R1886" t="n">
        <v>0.0843</v>
      </c>
      <c r="S1886">
        <f>IMAGE("https://mitra.stanford.edu/kundaje/oak/projects/neuro-variants/variant_position/credible/roussos_2024/variant_figures/roussos_2024.childhood.GABA/rs199504_count_position.png",4,220,900)</f>
        <v/>
      </c>
      <c r="T1886">
        <f>IMAGE("https://mitra.stanford.edu/kundaje/oak/projects/neuro-variants/variant_position/credible/roussos_2024/variant_figures/roussos_2024.childhood.GABA/rs199504_profile_position.png",4,220,900)</f>
        <v/>
      </c>
    </row>
    <row r="1887">
      <c r="A1887" t="inlineStr">
        <is>
          <t>chr17</t>
        </is>
      </c>
      <c r="B1887" t="n">
        <v>46784796</v>
      </c>
      <c r="C1887" t="inlineStr">
        <is>
          <t>G</t>
        </is>
      </c>
      <c r="D1887" t="inlineStr">
        <is>
          <t>A</t>
        </is>
      </c>
      <c r="E1887" t="inlineStr">
        <is>
          <t>rs199503</t>
        </is>
      </c>
      <c r="F1887" t="n">
        <v>0.01160091472</v>
      </c>
      <c r="G1887" t="n">
        <v>0.5743741974987786</v>
      </c>
      <c r="H1887" t="n">
        <v>0.0253791270916943</v>
      </c>
      <c r="I1887" t="n">
        <v>0.0265894267755013</v>
      </c>
      <c r="J1887" t="n">
        <v>0.2976335574124101</v>
      </c>
      <c r="K1887" t="n">
        <v>0.1394447417789522</v>
      </c>
      <c r="L1887" t="b">
        <v>0</v>
      </c>
      <c r="M1887" t="b">
        <v>0</v>
      </c>
      <c r="N1887" t="inlineStr">
        <is>
          <t>alt</t>
        </is>
      </c>
      <c r="O1887" t="n">
        <v>95</v>
      </c>
      <c r="P1887" t="n">
        <v>0.0401</v>
      </c>
      <c r="Q1887" t="n">
        <v>-60</v>
      </c>
      <c r="R1887" t="n">
        <v>0.06304999999999999</v>
      </c>
      <c r="S1887">
        <f>IMAGE("https://mitra.stanford.edu/kundaje/oak/projects/neuro-variants/variant_position/credible/roussos_2024/variant_figures/roussos_2024.childhood.GABA/rs199503_count_position.png",4,220,900)</f>
        <v/>
      </c>
      <c r="T1887">
        <f>IMAGE("https://mitra.stanford.edu/kundaje/oak/projects/neuro-variants/variant_position/credible/roussos_2024/variant_figures/roussos_2024.childhood.GABA/rs199503_profile_position.png",4,220,900)</f>
        <v/>
      </c>
    </row>
    <row r="1888">
      <c r="A1888" t="inlineStr">
        <is>
          <t>chr17</t>
        </is>
      </c>
      <c r="B1888" t="n">
        <v>46788237</v>
      </c>
      <c r="C1888" t="inlineStr">
        <is>
          <t>T</t>
        </is>
      </c>
      <c r="D1888" t="inlineStr">
        <is>
          <t>C</t>
        </is>
      </c>
      <c r="E1888" t="inlineStr">
        <is>
          <t>rs199498</t>
        </is>
      </c>
      <c r="F1888" t="n">
        <v>-0.013470149652</v>
      </c>
      <c r="G1888" t="n">
        <v>0.5797456837273987</v>
      </c>
      <c r="H1888" t="n">
        <v>0.0237885629606747</v>
      </c>
      <c r="I1888" t="n">
        <v>0.0350499320555268</v>
      </c>
      <c r="J1888" t="n">
        <v>0.1042082888316474</v>
      </c>
      <c r="K1888" t="n">
        <v>0.3636111504474897</v>
      </c>
      <c r="L1888" t="b">
        <v>0</v>
      </c>
      <c r="M1888" t="b">
        <v>0</v>
      </c>
      <c r="N1888" t="inlineStr">
        <is>
          <t>ref</t>
        </is>
      </c>
      <c r="O1888" t="n">
        <v>-5</v>
      </c>
      <c r="P1888" t="n">
        <v>0.0005608</v>
      </c>
      <c r="Q1888" t="n">
        <v>30</v>
      </c>
      <c r="R1888" t="n">
        <v>0.05896</v>
      </c>
      <c r="S1888">
        <f>IMAGE("https://mitra.stanford.edu/kundaje/oak/projects/neuro-variants/variant_position/credible/roussos_2024/variant_figures/roussos_2024.childhood.GABA/rs199498_count_position.png",4,220,900)</f>
        <v/>
      </c>
      <c r="T1888">
        <f>IMAGE("https://mitra.stanford.edu/kundaje/oak/projects/neuro-variants/variant_position/credible/roussos_2024/variant_figures/roussos_2024.childhood.GABA/rs199498_profile_position.png",4,220,900)</f>
        <v/>
      </c>
    </row>
    <row r="1889">
      <c r="A1889" t="inlineStr">
        <is>
          <t>chr17</t>
        </is>
      </c>
      <c r="B1889" t="n">
        <v>46881571</v>
      </c>
      <c r="C1889" t="inlineStr">
        <is>
          <t>A</t>
        </is>
      </c>
      <c r="D1889" t="inlineStr">
        <is>
          <t>G</t>
        </is>
      </c>
      <c r="E1889" t="inlineStr">
        <is>
          <t>rs4968282</t>
        </is>
      </c>
      <c r="F1889" t="n">
        <v>0.0469373857999999</v>
      </c>
      <c r="G1889" t="n">
        <v>0.1501666348948977</v>
      </c>
      <c r="H1889" t="n">
        <v>0.010883346511011</v>
      </c>
      <c r="I1889" t="n">
        <v>0.5497486549694662</v>
      </c>
      <c r="J1889" t="n">
        <v>0.2365008062658373</v>
      </c>
      <c r="K1889" t="n">
        <v>0.1847382176571449</v>
      </c>
      <c r="L1889" t="b">
        <v>0</v>
      </c>
      <c r="M1889" t="b">
        <v>0</v>
      </c>
      <c r="N1889" t="inlineStr">
        <is>
          <t>alt</t>
        </is>
      </c>
      <c r="O1889" t="n">
        <v>-100</v>
      </c>
      <c r="P1889" t="n">
        <v>0.01926</v>
      </c>
      <c r="Q1889" t="n">
        <v>-100</v>
      </c>
      <c r="R1889" t="n">
        <v>0.1171</v>
      </c>
      <c r="S1889">
        <f>IMAGE("https://mitra.stanford.edu/kundaje/oak/projects/neuro-variants/variant_position/credible/roussos_2024/variant_figures/roussos_2024.childhood.GABA/rs4968282_count_position.png",4,220,900)</f>
        <v/>
      </c>
      <c r="T1889">
        <f>IMAGE("https://mitra.stanford.edu/kundaje/oak/projects/neuro-variants/variant_position/credible/roussos_2024/variant_figures/roussos_2024.childhood.GABA/rs4968282_profile_position.png",4,220,900)</f>
        <v/>
      </c>
    </row>
    <row r="1890">
      <c r="A1890" t="inlineStr">
        <is>
          <t>chr17</t>
        </is>
      </c>
      <c r="B1890" t="n">
        <v>46885958</v>
      </c>
      <c r="C1890" t="inlineStr">
        <is>
          <t>G</t>
        </is>
      </c>
      <c r="D1890" t="inlineStr">
        <is>
          <t>A</t>
        </is>
      </c>
      <c r="E1890" t="inlineStr">
        <is>
          <t>rs34316808</t>
        </is>
      </c>
      <c r="F1890" t="n">
        <v>0.09573376879999999</v>
      </c>
      <c r="G1890" t="n">
        <v>0.0372032910096531</v>
      </c>
      <c r="H1890" t="n">
        <v>0.0260297611660409</v>
      </c>
      <c r="I1890" t="n">
        <v>0.024594626049931</v>
      </c>
      <c r="J1890" t="n">
        <v>0.1481696718393332</v>
      </c>
      <c r="K1890" t="n">
        <v>0.2764863759501009</v>
      </c>
      <c r="L1890" t="b">
        <v>0</v>
      </c>
      <c r="M1890" t="b">
        <v>0</v>
      </c>
      <c r="N1890" t="inlineStr">
        <is>
          <t>alt</t>
        </is>
      </c>
      <c r="O1890" t="n">
        <v>-95</v>
      </c>
      <c r="P1890" t="n">
        <v>0.002419</v>
      </c>
      <c r="Q1890" t="n">
        <v>40</v>
      </c>
      <c r="R1890" t="n">
        <v>0.083</v>
      </c>
      <c r="S1890">
        <f>IMAGE("https://mitra.stanford.edu/kundaje/oak/projects/neuro-variants/variant_position/credible/roussos_2024/variant_figures/roussos_2024.childhood.GABA/rs34316808_count_position.png",4,220,900)</f>
        <v/>
      </c>
      <c r="T1890">
        <f>IMAGE("https://mitra.stanford.edu/kundaje/oak/projects/neuro-variants/variant_position/credible/roussos_2024/variant_figures/roussos_2024.childhood.GABA/rs34316808_profile_position.png",4,220,900)</f>
        <v/>
      </c>
    </row>
    <row r="1891">
      <c r="A1891" t="inlineStr">
        <is>
          <t>chr17</t>
        </is>
      </c>
      <c r="B1891" t="n">
        <v>57657987</v>
      </c>
      <c r="C1891" t="inlineStr">
        <is>
          <t>A</t>
        </is>
      </c>
      <c r="D1891" t="inlineStr">
        <is>
          <t>G</t>
        </is>
      </c>
      <c r="E1891" t="inlineStr">
        <is>
          <t>rs4530197</t>
        </is>
      </c>
      <c r="F1891" t="n">
        <v>-0.022943423</v>
      </c>
      <c r="G1891" t="n">
        <v>0.3860001833754635</v>
      </c>
      <c r="H1891" t="n">
        <v>0.0100030967913609</v>
      </c>
      <c r="I1891" t="n">
        <v>0.6281951556220671</v>
      </c>
      <c r="J1891" t="n">
        <v>0.1542910096123641</v>
      </c>
      <c r="K1891" t="n">
        <v>0.2730492921950274</v>
      </c>
      <c r="L1891" t="b">
        <v>0</v>
      </c>
      <c r="M1891" t="b">
        <v>0</v>
      </c>
      <c r="N1891" t="inlineStr">
        <is>
          <t>ref</t>
        </is>
      </c>
      <c r="O1891" t="n">
        <v>-45</v>
      </c>
      <c r="P1891" t="n">
        <v>0.004078</v>
      </c>
      <c r="Q1891" t="n">
        <v>40</v>
      </c>
      <c r="R1891" t="n">
        <v>0.05203</v>
      </c>
      <c r="S1891">
        <f>IMAGE("https://mitra.stanford.edu/kundaje/oak/projects/neuro-variants/variant_position/credible/roussos_2024/variant_figures/roussos_2024.childhood.GABA/rs4530197_count_position.png",4,220,900)</f>
        <v/>
      </c>
      <c r="T1891">
        <f>IMAGE("https://mitra.stanford.edu/kundaje/oak/projects/neuro-variants/variant_position/credible/roussos_2024/variant_figures/roussos_2024.childhood.GABA/rs4530197_profile_position.png",4,220,900)</f>
        <v/>
      </c>
    </row>
    <row r="1892">
      <c r="A1892" t="inlineStr">
        <is>
          <t>chr17</t>
        </is>
      </c>
      <c r="B1892" t="n">
        <v>57668632</v>
      </c>
      <c r="C1892" t="inlineStr">
        <is>
          <t>G</t>
        </is>
      </c>
      <c r="D1892" t="inlineStr">
        <is>
          <t>T</t>
        </is>
      </c>
      <c r="E1892" t="inlineStr">
        <is>
          <t>rs12603880</t>
        </is>
      </c>
      <c r="F1892" t="n">
        <v>0.0249037748</v>
      </c>
      <c r="G1892" t="n">
        <v>0.3426346888652496</v>
      </c>
      <c r="H1892" t="n">
        <v>0.0204686027522412</v>
      </c>
      <c r="I1892" t="n">
        <v>0.068654547887953</v>
      </c>
      <c r="J1892" t="n">
        <v>0.0476042386546878</v>
      </c>
      <c r="K1892" t="n">
        <v>0.5071741150733581</v>
      </c>
      <c r="L1892" t="b">
        <v>0</v>
      </c>
      <c r="M1892" t="b">
        <v>0</v>
      </c>
      <c r="N1892" t="inlineStr">
        <is>
          <t>alt</t>
        </is>
      </c>
      <c r="O1892" t="n">
        <v>95</v>
      </c>
      <c r="P1892" t="n">
        <v>0.02272</v>
      </c>
      <c r="Q1892" t="n">
        <v>85</v>
      </c>
      <c r="R1892" t="n">
        <v>0.1171</v>
      </c>
      <c r="S1892">
        <f>IMAGE("https://mitra.stanford.edu/kundaje/oak/projects/neuro-variants/variant_position/credible/roussos_2024/variant_figures/roussos_2024.childhood.GABA/rs12603880_count_position.png",4,220,900)</f>
        <v/>
      </c>
      <c r="T1892">
        <f>IMAGE("https://mitra.stanford.edu/kundaje/oak/projects/neuro-variants/variant_position/credible/roussos_2024/variant_figures/roussos_2024.childhood.GABA/rs12603880_profile_position.png",4,220,900)</f>
        <v/>
      </c>
    </row>
    <row r="1893">
      <c r="A1893" t="inlineStr">
        <is>
          <t>chr17</t>
        </is>
      </c>
      <c r="B1893" t="n">
        <v>63480868</v>
      </c>
      <c r="C1893" t="inlineStr">
        <is>
          <t>A</t>
        </is>
      </c>
      <c r="D1893" t="inlineStr">
        <is>
          <t>G</t>
        </is>
      </c>
      <c r="E1893" t="inlineStr">
        <is>
          <t>rs4305</t>
        </is>
      </c>
      <c r="F1893" t="n">
        <v>0.0433738502</v>
      </c>
      <c r="G1893" t="n">
        <v>0.1685032927386739</v>
      </c>
      <c r="H1893" t="n">
        <v>0.0132665234828542</v>
      </c>
      <c r="I1893" t="n">
        <v>0.3329589621449546</v>
      </c>
      <c r="J1893" t="n">
        <v>0.5105599882724968</v>
      </c>
      <c r="K1893" t="n">
        <v>0.0481278767608917</v>
      </c>
      <c r="L1893" t="b">
        <v>0</v>
      </c>
      <c r="M1893" t="b">
        <v>0</v>
      </c>
      <c r="N1893" t="inlineStr">
        <is>
          <t>alt</t>
        </is>
      </c>
      <c r="O1893" t="n">
        <v>65</v>
      </c>
      <c r="P1893" t="n">
        <v>0.001747</v>
      </c>
      <c r="Q1893" t="n">
        <v>65</v>
      </c>
      <c r="R1893" t="n">
        <v>0.08685</v>
      </c>
      <c r="S1893">
        <f>IMAGE("https://mitra.stanford.edu/kundaje/oak/projects/neuro-variants/variant_position/credible/roussos_2024/variant_figures/roussos_2024.childhood.GABA/rs4305_count_position.png",4,220,900)</f>
        <v/>
      </c>
      <c r="T1893">
        <f>IMAGE("https://mitra.stanford.edu/kundaje/oak/projects/neuro-variants/variant_position/credible/roussos_2024/variant_figures/roussos_2024.childhood.GABA/rs4305_profile_position.png",4,220,900)</f>
        <v/>
      </c>
    </row>
    <row r="1894">
      <c r="A1894" t="inlineStr">
        <is>
          <t>chr17</t>
        </is>
      </c>
      <c r="B1894" t="n">
        <v>80556797</v>
      </c>
      <c r="C1894" t="inlineStr">
        <is>
          <t>A</t>
        </is>
      </c>
      <c r="D1894" t="inlineStr">
        <is>
          <t>G</t>
        </is>
      </c>
      <c r="E1894" t="inlineStr">
        <is>
          <t>rs72855201</t>
        </is>
      </c>
      <c r="F1894" t="n">
        <v>0.00389316102</v>
      </c>
      <c r="G1894" t="n">
        <v>0.7256330174078912</v>
      </c>
      <c r="H1894" t="n">
        <v>0.0332114449173445</v>
      </c>
      <c r="I1894" t="n">
        <v>0.0081696591606229</v>
      </c>
      <c r="J1894" t="n">
        <v>0.07194613725367</v>
      </c>
      <c r="K1894" t="n">
        <v>0.4357489409875189</v>
      </c>
      <c r="L1894" t="b">
        <v>1</v>
      </c>
      <c r="M1894" t="b">
        <v>1</v>
      </c>
      <c r="N1894" t="inlineStr">
        <is>
          <t>alt</t>
        </is>
      </c>
      <c r="O1894" t="n">
        <v>100</v>
      </c>
      <c r="P1894" t="n">
        <v>0.01312</v>
      </c>
      <c r="Q1894" t="n">
        <v>-100</v>
      </c>
      <c r="R1894" t="n">
        <v>0.01987</v>
      </c>
      <c r="S1894">
        <f>IMAGE("https://mitra.stanford.edu/kundaje/oak/projects/neuro-variants/variant_position/credible/roussos_2024/variant_figures/roussos_2024.childhood.GABA/rs72855201_count_position.png",4,220,900)</f>
        <v/>
      </c>
      <c r="T1894">
        <f>IMAGE("https://mitra.stanford.edu/kundaje/oak/projects/neuro-variants/variant_position/credible/roussos_2024/variant_figures/roussos_2024.childhood.GABA/rs72855201_profile_position.png",4,220,900)</f>
        <v/>
      </c>
    </row>
    <row r="1895">
      <c r="A1895" t="inlineStr">
        <is>
          <t>chr17</t>
        </is>
      </c>
      <c r="B1895" t="n">
        <v>80581712</v>
      </c>
      <c r="C1895" t="inlineStr">
        <is>
          <t>G</t>
        </is>
      </c>
      <c r="D1895" t="inlineStr">
        <is>
          <t>T</t>
        </is>
      </c>
      <c r="E1895" t="inlineStr">
        <is>
          <t>rs114177791</t>
        </is>
      </c>
      <c r="F1895" t="n">
        <v>-0.004697869544</v>
      </c>
      <c r="G1895" t="n">
        <v>0.7278609512307577</v>
      </c>
      <c r="H1895" t="n">
        <v>0.0130217814856946</v>
      </c>
      <c r="I1895" t="n">
        <v>0.3550546724642642</v>
      </c>
      <c r="J1895" t="n">
        <v>0.4015790245230467</v>
      </c>
      <c r="K1895" t="n">
        <v>0.0849467010312739</v>
      </c>
      <c r="L1895" t="b">
        <v>0</v>
      </c>
      <c r="M1895" t="b">
        <v>0</v>
      </c>
      <c r="N1895" t="inlineStr">
        <is>
          <t>ref</t>
        </is>
      </c>
      <c r="O1895" t="n">
        <v>20</v>
      </c>
      <c r="P1895" t="n">
        <v>0.001484</v>
      </c>
      <c r="Q1895" t="n">
        <v>-70</v>
      </c>
      <c r="R1895" t="n">
        <v>0.05347</v>
      </c>
      <c r="S1895">
        <f>IMAGE("https://mitra.stanford.edu/kundaje/oak/projects/neuro-variants/variant_position/credible/roussos_2024/variant_figures/roussos_2024.childhood.GABA/rs114177791_count_position.png",4,220,900)</f>
        <v/>
      </c>
      <c r="T1895">
        <f>IMAGE("https://mitra.stanford.edu/kundaje/oak/projects/neuro-variants/variant_position/credible/roussos_2024/variant_figures/roussos_2024.childhood.GABA/rs114177791_profile_position.png",4,220,900)</f>
        <v/>
      </c>
    </row>
    <row r="1896">
      <c r="A1896" t="inlineStr">
        <is>
          <t>chr18</t>
        </is>
      </c>
      <c r="B1896" t="n">
        <v>4999143</v>
      </c>
      <c r="C1896" t="inlineStr">
        <is>
          <t>G</t>
        </is>
      </c>
      <c r="D1896" t="inlineStr">
        <is>
          <t>A</t>
        </is>
      </c>
      <c r="E1896" t="inlineStr">
        <is>
          <t>rs11665120</t>
        </is>
      </c>
      <c r="F1896" t="n">
        <v>-0.0064630458</v>
      </c>
      <c r="G1896" t="n">
        <v>0.4037674114041135</v>
      </c>
      <c r="H1896" t="n">
        <v>0.0100817328390693</v>
      </c>
      <c r="I1896" t="n">
        <v>0.6346179122658202</v>
      </c>
      <c r="J1896" t="n">
        <v>0.1138719607966324</v>
      </c>
      <c r="K1896" t="n">
        <v>0.3321036689006409</v>
      </c>
      <c r="L1896" t="b">
        <v>0</v>
      </c>
      <c r="M1896" t="b">
        <v>0</v>
      </c>
      <c r="N1896" t="inlineStr">
        <is>
          <t>ref</t>
        </is>
      </c>
      <c r="O1896" t="n">
        <v>-60</v>
      </c>
      <c r="P1896" t="n">
        <v>0.003944</v>
      </c>
      <c r="Q1896" t="n">
        <v>45</v>
      </c>
      <c r="R1896" t="n">
        <v>0.04102</v>
      </c>
      <c r="S1896">
        <f>IMAGE("https://mitra.stanford.edu/kundaje/oak/projects/neuro-variants/variant_position/credible/roussos_2024/variant_figures/roussos_2024.childhood.GABA/rs11665120_count_position.png",4,220,900)</f>
        <v/>
      </c>
      <c r="T1896">
        <f>IMAGE("https://mitra.stanford.edu/kundaje/oak/projects/neuro-variants/variant_position/credible/roussos_2024/variant_figures/roussos_2024.childhood.GABA/rs11665120_profile_position.png",4,220,900)</f>
        <v/>
      </c>
    </row>
    <row r="1897">
      <c r="A1897" t="inlineStr">
        <is>
          <t>chr18</t>
        </is>
      </c>
      <c r="B1897" t="n">
        <v>29784902</v>
      </c>
      <c r="C1897" t="inlineStr">
        <is>
          <t>T</t>
        </is>
      </c>
      <c r="D1897" t="inlineStr">
        <is>
          <t>C</t>
        </is>
      </c>
      <c r="E1897" t="inlineStr">
        <is>
          <t>rs113895388</t>
        </is>
      </c>
      <c r="F1897" t="n">
        <v>-0.0041880971719999</v>
      </c>
      <c r="G1897" t="n">
        <v>0.8244617026583223</v>
      </c>
      <c r="H1897" t="n">
        <v>0.0061582574987088</v>
      </c>
      <c r="I1897" t="n">
        <v>0.9835122016036072</v>
      </c>
      <c r="J1897" t="n">
        <v>0.0005141253586311</v>
      </c>
      <c r="K1897" t="n">
        <v>0.9424948008211615</v>
      </c>
      <c r="L1897" t="b">
        <v>0</v>
      </c>
      <c r="M1897" t="b">
        <v>0</v>
      </c>
      <c r="N1897" t="inlineStr">
        <is>
          <t>ref</t>
        </is>
      </c>
      <c r="O1897" t="n">
        <v>90</v>
      </c>
      <c r="P1897" t="n">
        <v>0.0162</v>
      </c>
      <c r="Q1897" t="n">
        <v>-100</v>
      </c>
      <c r="R1897" t="n">
        <v>0.127</v>
      </c>
      <c r="S1897">
        <f>IMAGE("https://mitra.stanford.edu/kundaje/oak/projects/neuro-variants/variant_position/credible/roussos_2024/variant_figures/roussos_2024.childhood.GABA/rs113895388_count_position.png",4,220,900)</f>
        <v/>
      </c>
      <c r="T1897">
        <f>IMAGE("https://mitra.stanford.edu/kundaje/oak/projects/neuro-variants/variant_position/credible/roussos_2024/variant_figures/roussos_2024.childhood.GABA/rs113895388_profile_position.png",4,220,900)</f>
        <v/>
      </c>
    </row>
    <row r="1898">
      <c r="A1898" t="inlineStr">
        <is>
          <t>chr18</t>
        </is>
      </c>
      <c r="B1898" t="n">
        <v>29821318</v>
      </c>
      <c r="C1898" t="inlineStr">
        <is>
          <t>T</t>
        </is>
      </c>
      <c r="D1898" t="inlineStr">
        <is>
          <t>G</t>
        </is>
      </c>
      <c r="E1898" t="inlineStr">
        <is>
          <t>rs188275234</t>
        </is>
      </c>
      <c r="F1898" t="n">
        <v>-0.0619525396</v>
      </c>
      <c r="G1898" t="n">
        <v>0.1161187969194462</v>
      </c>
      <c r="H1898" t="n">
        <v>0.0276642672164495</v>
      </c>
      <c r="I1898" t="n">
        <v>0.0184811964095553</v>
      </c>
      <c r="J1898" t="n">
        <v>0.1214194467131577</v>
      </c>
      <c r="K1898" t="n">
        <v>0.3123592537811646</v>
      </c>
      <c r="L1898" t="b">
        <v>1</v>
      </c>
      <c r="M1898" t="b">
        <v>0</v>
      </c>
      <c r="N1898" t="inlineStr">
        <is>
          <t>ref</t>
        </is>
      </c>
      <c r="O1898" t="n">
        <v>85</v>
      </c>
      <c r="P1898" t="n">
        <v>0.01874</v>
      </c>
      <c r="Q1898" t="n">
        <v>90</v>
      </c>
      <c r="R1898" t="n">
        <v>0.10254</v>
      </c>
      <c r="S1898">
        <f>IMAGE("https://mitra.stanford.edu/kundaje/oak/projects/neuro-variants/variant_position/credible/roussos_2024/variant_figures/roussos_2024.childhood.GABA/rs188275234_count_position.png",4,220,900)</f>
        <v/>
      </c>
      <c r="T1898">
        <f>IMAGE("https://mitra.stanford.edu/kundaje/oak/projects/neuro-variants/variant_position/credible/roussos_2024/variant_figures/roussos_2024.childhood.GABA/rs188275234_profile_position.png",4,220,900)</f>
        <v/>
      </c>
    </row>
    <row r="1899">
      <c r="A1899" t="inlineStr">
        <is>
          <t>chr18</t>
        </is>
      </c>
      <c r="B1899" t="n">
        <v>29901722</v>
      </c>
      <c r="C1899" t="inlineStr">
        <is>
          <t>G</t>
        </is>
      </c>
      <c r="D1899" t="inlineStr">
        <is>
          <t>T</t>
        </is>
      </c>
      <c r="E1899" t="inlineStr">
        <is>
          <t>rs11083369</t>
        </is>
      </c>
      <c r="F1899" t="n">
        <v>-0.01102749346</v>
      </c>
      <c r="G1899" t="n">
        <v>0.5794274087922325</v>
      </c>
      <c r="H1899" t="n">
        <v>0.0305734209101607</v>
      </c>
      <c r="I1899" t="n">
        <v>0.0122020654139802</v>
      </c>
      <c r="J1899" t="n">
        <v>0.0508512910724382</v>
      </c>
      <c r="K1899" t="n">
        <v>0.4808530300941382</v>
      </c>
      <c r="L1899" t="b">
        <v>1</v>
      </c>
      <c r="M1899" t="b">
        <v>0</v>
      </c>
      <c r="N1899" t="inlineStr">
        <is>
          <t>ref</t>
        </is>
      </c>
      <c r="O1899" t="n">
        <v>-95</v>
      </c>
      <c r="P1899" t="n">
        <v>0.1117</v>
      </c>
      <c r="Q1899" t="n">
        <v>-60</v>
      </c>
      <c r="R1899" t="n">
        <v>0.4404</v>
      </c>
      <c r="S1899">
        <f>IMAGE("https://mitra.stanford.edu/kundaje/oak/projects/neuro-variants/variant_position/credible/roussos_2024/variant_figures/roussos_2024.childhood.GABA/rs11083369_count_position.png",4,220,900)</f>
        <v/>
      </c>
      <c r="T1899">
        <f>IMAGE("https://mitra.stanford.edu/kundaje/oak/projects/neuro-variants/variant_position/credible/roussos_2024/variant_figures/roussos_2024.childhood.GABA/rs11083369_profile_position.png",4,220,900)</f>
        <v/>
      </c>
    </row>
    <row r="1900">
      <c r="A1900" t="inlineStr">
        <is>
          <t>chr18</t>
        </is>
      </c>
      <c r="B1900" t="n">
        <v>53185406</v>
      </c>
      <c r="C1900" t="inlineStr">
        <is>
          <t>A</t>
        </is>
      </c>
      <c r="D1900" t="inlineStr">
        <is>
          <t>C</t>
        </is>
      </c>
      <c r="E1900" t="inlineStr">
        <is>
          <t>rs7505145</t>
        </is>
      </c>
      <c r="F1900" t="n">
        <v>-0.017024646366</v>
      </c>
      <c r="G1900" t="n">
        <v>0.497360616742244</v>
      </c>
      <c r="H1900" t="n">
        <v>0.016141682935128</v>
      </c>
      <c r="I1900" t="n">
        <v>0.1751675369614585</v>
      </c>
      <c r="J1900" t="n">
        <v>0.009279386819124101</v>
      </c>
      <c r="K1900" t="n">
        <v>0.7480875313317158</v>
      </c>
      <c r="L1900" t="b">
        <v>0</v>
      </c>
      <c r="M1900" t="b">
        <v>0</v>
      </c>
      <c r="N1900" t="inlineStr">
        <is>
          <t>ref</t>
        </is>
      </c>
      <c r="O1900" t="n">
        <v>25</v>
      </c>
      <c r="P1900" t="n">
        <v>0.02313</v>
      </c>
      <c r="Q1900" t="n">
        <v>65</v>
      </c>
      <c r="R1900" t="n">
        <v>0.05377</v>
      </c>
      <c r="S1900">
        <f>IMAGE("https://mitra.stanford.edu/kundaje/oak/projects/neuro-variants/variant_position/credible/roussos_2024/variant_figures/roussos_2024.childhood.GABA/rs7505145_count_position.png",4,220,900)</f>
        <v/>
      </c>
      <c r="T1900">
        <f>IMAGE("https://mitra.stanford.edu/kundaje/oak/projects/neuro-variants/variant_position/credible/roussos_2024/variant_figures/roussos_2024.childhood.GABA/rs7505145_profile_position.png",4,220,900)</f>
        <v/>
      </c>
    </row>
    <row r="1901">
      <c r="A1901" t="inlineStr">
        <is>
          <t>chr18</t>
        </is>
      </c>
      <c r="B1901" t="n">
        <v>53198529</v>
      </c>
      <c r="C1901" t="inlineStr">
        <is>
          <t>G</t>
        </is>
      </c>
      <c r="D1901" t="inlineStr">
        <is>
          <t>A</t>
        </is>
      </c>
      <c r="E1901" t="inlineStr">
        <is>
          <t>rs62099231</t>
        </is>
      </c>
      <c r="F1901" t="n">
        <v>-0.00115626114</v>
      </c>
      <c r="G1901" t="n">
        <v>0.7308566009360644</v>
      </c>
      <c r="H1901" t="n">
        <v>0.0064223800338146</v>
      </c>
      <c r="I1901" t="n">
        <v>0.9643518671055176</v>
      </c>
      <c r="J1901" t="n">
        <v>0.0048553956985193</v>
      </c>
      <c r="K1901" t="n">
        <v>0.8153252274816996</v>
      </c>
      <c r="L1901" t="b">
        <v>0</v>
      </c>
      <c r="M1901" t="b">
        <v>0</v>
      </c>
      <c r="N1901" t="inlineStr">
        <is>
          <t>ref</t>
        </is>
      </c>
      <c r="O1901" t="n">
        <v>100</v>
      </c>
      <c r="P1901" t="n">
        <v>0.00596</v>
      </c>
      <c r="Q1901" t="n">
        <v>-10</v>
      </c>
      <c r="R1901" t="n">
        <v>0.01349</v>
      </c>
      <c r="S1901">
        <f>IMAGE("https://mitra.stanford.edu/kundaje/oak/projects/neuro-variants/variant_position/credible/roussos_2024/variant_figures/roussos_2024.childhood.GABA/rs62099231_count_position.png",4,220,900)</f>
        <v/>
      </c>
      <c r="T1901">
        <f>IMAGE("https://mitra.stanford.edu/kundaje/oak/projects/neuro-variants/variant_position/credible/roussos_2024/variant_figures/roussos_2024.childhood.GABA/rs62099231_profile_position.png",4,220,900)</f>
        <v/>
      </c>
    </row>
    <row r="1902">
      <c r="A1902" t="inlineStr">
        <is>
          <t>chr18</t>
        </is>
      </c>
      <c r="B1902" t="n">
        <v>53256222</v>
      </c>
      <c r="C1902" t="inlineStr">
        <is>
          <t>A</t>
        </is>
      </c>
      <c r="D1902" t="inlineStr">
        <is>
          <t>G</t>
        </is>
      </c>
      <c r="E1902" t="inlineStr">
        <is>
          <t>rs4100041</t>
        </is>
      </c>
      <c r="F1902" t="n">
        <v>-0.0424032608</v>
      </c>
      <c r="G1902" t="n">
        <v>0.1888107281098419</v>
      </c>
      <c r="H1902" t="n">
        <v>0.0215816773244181</v>
      </c>
      <c r="I1902" t="n">
        <v>0.0539081974184173</v>
      </c>
      <c r="J1902" t="n">
        <v>0.0033213964105463</v>
      </c>
      <c r="K1902" t="n">
        <v>0.8497760689677554</v>
      </c>
      <c r="L1902" t="b">
        <v>0</v>
      </c>
      <c r="M1902" t="b">
        <v>0</v>
      </c>
      <c r="N1902" t="inlineStr">
        <is>
          <t>ref</t>
        </is>
      </c>
      <c r="O1902" t="n">
        <v>-95</v>
      </c>
      <c r="P1902" t="n">
        <v>0.015305</v>
      </c>
      <c r="Q1902" t="n">
        <v>100</v>
      </c>
      <c r="R1902" t="n">
        <v>0.0206</v>
      </c>
      <c r="S1902">
        <f>IMAGE("https://mitra.stanford.edu/kundaje/oak/projects/neuro-variants/variant_position/credible/roussos_2024/variant_figures/roussos_2024.childhood.GABA/rs4100041_count_position.png",4,220,900)</f>
        <v/>
      </c>
      <c r="T1902">
        <f>IMAGE("https://mitra.stanford.edu/kundaje/oak/projects/neuro-variants/variant_position/credible/roussos_2024/variant_figures/roussos_2024.childhood.GABA/rs4100041_profile_position.png",4,220,900)</f>
        <v/>
      </c>
    </row>
    <row r="1903">
      <c r="A1903" t="inlineStr">
        <is>
          <t>chr18</t>
        </is>
      </c>
      <c r="B1903" t="n">
        <v>53318766</v>
      </c>
      <c r="C1903" t="inlineStr">
        <is>
          <t>T</t>
        </is>
      </c>
      <c r="D1903" t="inlineStr">
        <is>
          <t>G</t>
        </is>
      </c>
      <c r="E1903" t="inlineStr">
        <is>
          <t>rs77916462</t>
        </is>
      </c>
      <c r="F1903" t="n">
        <v>-0.0169568895</v>
      </c>
      <c r="G1903" t="n">
        <v>0.4726042213151669</v>
      </c>
      <c r="H1903" t="n">
        <v>0.0412154013534264</v>
      </c>
      <c r="I1903" t="n">
        <v>0.0034955325030142</v>
      </c>
      <c r="J1903" t="n">
        <v>0.003878452807271</v>
      </c>
      <c r="K1903" t="n">
        <v>0.8355627257566405</v>
      </c>
      <c r="L1903" t="b">
        <v>0</v>
      </c>
      <c r="M1903" t="b">
        <v>0</v>
      </c>
      <c r="N1903" t="inlineStr">
        <is>
          <t>ref</t>
        </is>
      </c>
      <c r="O1903" t="n">
        <v>100</v>
      </c>
      <c r="P1903" t="n">
        <v>0.00476</v>
      </c>
      <c r="Q1903" t="n">
        <v>95</v>
      </c>
      <c r="R1903" t="n">
        <v>0.06884999999999999</v>
      </c>
      <c r="S1903">
        <f>IMAGE("https://mitra.stanford.edu/kundaje/oak/projects/neuro-variants/variant_position/credible/roussos_2024/variant_figures/roussos_2024.childhood.GABA/rs77916462_count_position.png",4,220,900)</f>
        <v/>
      </c>
      <c r="T1903">
        <f>IMAGE("https://mitra.stanford.edu/kundaje/oak/projects/neuro-variants/variant_position/credible/roussos_2024/variant_figures/roussos_2024.childhood.GABA/rs77916462_profile_position.png",4,220,900)</f>
        <v/>
      </c>
    </row>
    <row r="1904">
      <c r="A1904" t="inlineStr">
        <is>
          <t>chr18</t>
        </is>
      </c>
      <c r="B1904" t="n">
        <v>53318768</v>
      </c>
      <c r="C1904" t="inlineStr">
        <is>
          <t>T</t>
        </is>
      </c>
      <c r="D1904" t="inlineStr">
        <is>
          <t>G</t>
        </is>
      </c>
      <c r="E1904" t="inlineStr">
        <is>
          <t>rs75048819</t>
        </is>
      </c>
      <c r="F1904" t="n">
        <v>-0.01410405468</v>
      </c>
      <c r="G1904" t="n">
        <v>0.5265788202307361</v>
      </c>
      <c r="H1904" t="n">
        <v>0.0413221115802287</v>
      </c>
      <c r="I1904" t="n">
        <v>0.0033830872187939</v>
      </c>
      <c r="J1904" t="n">
        <v>0.0038899708906619</v>
      </c>
      <c r="K1904" t="n">
        <v>0.8353001397288334</v>
      </c>
      <c r="L1904" t="b">
        <v>0</v>
      </c>
      <c r="M1904" t="b">
        <v>0</v>
      </c>
      <c r="N1904" t="inlineStr">
        <is>
          <t>ref</t>
        </is>
      </c>
      <c r="O1904" t="n">
        <v>100</v>
      </c>
      <c r="P1904" t="n">
        <v>0.006317</v>
      </c>
      <c r="Q1904" t="n">
        <v>95</v>
      </c>
      <c r="R1904" t="n">
        <v>0.05768</v>
      </c>
      <c r="S1904">
        <f>IMAGE("https://mitra.stanford.edu/kundaje/oak/projects/neuro-variants/variant_position/credible/roussos_2024/variant_figures/roussos_2024.childhood.GABA/rs75048819_count_position.png",4,220,900)</f>
        <v/>
      </c>
      <c r="T1904">
        <f>IMAGE("https://mitra.stanford.edu/kundaje/oak/projects/neuro-variants/variant_position/credible/roussos_2024/variant_figures/roussos_2024.childhood.GABA/rs75048819_profile_position.png",4,220,900)</f>
        <v/>
      </c>
    </row>
    <row r="1905">
      <c r="A1905" t="inlineStr">
        <is>
          <t>chr18</t>
        </is>
      </c>
      <c r="B1905" t="n">
        <v>53425189</v>
      </c>
      <c r="C1905" t="inlineStr">
        <is>
          <t>G</t>
        </is>
      </c>
      <c r="D1905" t="inlineStr">
        <is>
          <t>A</t>
        </is>
      </c>
      <c r="E1905" t="inlineStr">
        <is>
          <t>rs138740375</t>
        </is>
      </c>
      <c r="F1905" t="n">
        <v>-0.0336280433999999</v>
      </c>
      <c r="G1905" t="n">
        <v>0.2574456157368855</v>
      </c>
      <c r="H1905" t="n">
        <v>0.0104348317577468</v>
      </c>
      <c r="I1905" t="n">
        <v>0.5878018395131944</v>
      </c>
      <c r="J1905" t="n">
        <v>0.0645619987015978</v>
      </c>
      <c r="K1905" t="n">
        <v>0.4454669438407032</v>
      </c>
      <c r="L1905" t="b">
        <v>0</v>
      </c>
      <c r="M1905" t="b">
        <v>0</v>
      </c>
      <c r="N1905" t="inlineStr">
        <is>
          <t>ref</t>
        </is>
      </c>
      <c r="O1905" t="n">
        <v>85</v>
      </c>
      <c r="P1905" t="n">
        <v>0.04587</v>
      </c>
      <c r="Q1905" t="n">
        <v>-100</v>
      </c>
      <c r="R1905" t="n">
        <v>0.1578</v>
      </c>
      <c r="S1905">
        <f>IMAGE("https://mitra.stanford.edu/kundaje/oak/projects/neuro-variants/variant_position/credible/roussos_2024/variant_figures/roussos_2024.childhood.GABA/rs138740375_count_position.png",4,220,900)</f>
        <v/>
      </c>
      <c r="T1905">
        <f>IMAGE("https://mitra.stanford.edu/kundaje/oak/projects/neuro-variants/variant_position/credible/roussos_2024/variant_figures/roussos_2024.childhood.GABA/rs138740375_profile_position.png",4,220,900)</f>
        <v/>
      </c>
    </row>
    <row r="1906">
      <c r="A1906" t="inlineStr">
        <is>
          <t>chr18</t>
        </is>
      </c>
      <c r="B1906" t="n">
        <v>55083457</v>
      </c>
      <c r="C1906" t="inlineStr">
        <is>
          <t>T</t>
        </is>
      </c>
      <c r="D1906" t="inlineStr">
        <is>
          <t>G</t>
        </is>
      </c>
      <c r="E1906" t="inlineStr">
        <is>
          <t>rs11874716</t>
        </is>
      </c>
      <c r="F1906" t="n">
        <v>0.0061728033</v>
      </c>
      <c r="G1906" t="n">
        <v>0.6428215968021059</v>
      </c>
      <c r="H1906" t="n">
        <v>0.0225066708190585</v>
      </c>
      <c r="I1906" t="n">
        <v>0.0450967733540883</v>
      </c>
      <c r="J1906" t="n">
        <v>0.0548239827438168</v>
      </c>
      <c r="K1906" t="n">
        <v>0.4727644046518999</v>
      </c>
      <c r="L1906" t="b">
        <v>0</v>
      </c>
      <c r="M1906" t="b">
        <v>0</v>
      </c>
      <c r="N1906" t="inlineStr">
        <is>
          <t>alt</t>
        </is>
      </c>
      <c r="O1906" t="n">
        <v>-50</v>
      </c>
      <c r="P1906" t="n">
        <v>0.0013895</v>
      </c>
      <c r="Q1906" t="n">
        <v>-50</v>
      </c>
      <c r="R1906" t="n">
        <v>0.04504</v>
      </c>
      <c r="S1906">
        <f>IMAGE("https://mitra.stanford.edu/kundaje/oak/projects/neuro-variants/variant_position/credible/roussos_2024/variant_figures/roussos_2024.childhood.GABA/rs11874716_count_position.png",4,220,900)</f>
        <v/>
      </c>
      <c r="T1906">
        <f>IMAGE("https://mitra.stanford.edu/kundaje/oak/projects/neuro-variants/variant_position/credible/roussos_2024/variant_figures/roussos_2024.childhood.GABA/rs11874716_profile_position.png",4,220,900)</f>
        <v/>
      </c>
    </row>
    <row r="1907">
      <c r="A1907" t="inlineStr">
        <is>
          <t>chr18</t>
        </is>
      </c>
      <c r="B1907" t="n">
        <v>55085469</v>
      </c>
      <c r="C1907" t="inlineStr">
        <is>
          <t>C</t>
        </is>
      </c>
      <c r="D1907" t="inlineStr">
        <is>
          <t>T</t>
        </is>
      </c>
      <c r="E1907" t="inlineStr">
        <is>
          <t>rs4801131</t>
        </is>
      </c>
      <c r="F1907" t="n">
        <v>-0.002410155264</v>
      </c>
      <c r="G1907" t="n">
        <v>0.896888457733653</v>
      </c>
      <c r="H1907" t="n">
        <v>0.0062360353121257</v>
      </c>
      <c r="I1907" t="n">
        <v>0.9805002314493853</v>
      </c>
      <c r="J1907" t="n">
        <v>0.0030449624091641</v>
      </c>
      <c r="K1907" t="n">
        <v>0.8514635216821033</v>
      </c>
      <c r="L1907" t="b">
        <v>0</v>
      </c>
      <c r="M1907" t="b">
        <v>0</v>
      </c>
      <c r="N1907" t="inlineStr">
        <is>
          <t>ref</t>
        </is>
      </c>
      <c r="O1907" t="n">
        <v>50</v>
      </c>
      <c r="P1907" t="n">
        <v>0.003134</v>
      </c>
      <c r="Q1907" t="n">
        <v>100</v>
      </c>
      <c r="R1907" t="n">
        <v>0.07263</v>
      </c>
      <c r="S1907">
        <f>IMAGE("https://mitra.stanford.edu/kundaje/oak/projects/neuro-variants/variant_position/credible/roussos_2024/variant_figures/roussos_2024.childhood.GABA/rs4801131_count_position.png",4,220,900)</f>
        <v/>
      </c>
      <c r="T1907">
        <f>IMAGE("https://mitra.stanford.edu/kundaje/oak/projects/neuro-variants/variant_position/credible/roussos_2024/variant_figures/roussos_2024.childhood.GABA/rs4801131_profile_position.png",4,220,900)</f>
        <v/>
      </c>
    </row>
    <row r="1908">
      <c r="A1908" t="inlineStr">
        <is>
          <t>chr18</t>
        </is>
      </c>
      <c r="B1908" t="n">
        <v>55086009</v>
      </c>
      <c r="C1908" t="inlineStr">
        <is>
          <t>C</t>
        </is>
      </c>
      <c r="D1908" t="inlineStr">
        <is>
          <t>T</t>
        </is>
      </c>
      <c r="E1908" t="inlineStr">
        <is>
          <t>rs4589643</t>
        </is>
      </c>
      <c r="F1908" t="n">
        <v>0.00707191488</v>
      </c>
      <c r="G1908" t="n">
        <v>0.6634693559625574</v>
      </c>
      <c r="H1908" t="n">
        <v>0.0156834262121394</v>
      </c>
      <c r="I1908" t="n">
        <v>0.1894512567447497</v>
      </c>
      <c r="J1908" t="n">
        <v>0.0073548197943498</v>
      </c>
      <c r="K1908" t="n">
        <v>0.7734615103926286</v>
      </c>
      <c r="L1908" t="b">
        <v>0</v>
      </c>
      <c r="M1908" t="b">
        <v>0</v>
      </c>
      <c r="N1908" t="inlineStr">
        <is>
          <t>alt</t>
        </is>
      </c>
      <c r="O1908" t="n">
        <v>-50</v>
      </c>
      <c r="P1908" t="n">
        <v>0.0165</v>
      </c>
      <c r="Q1908" t="n">
        <v>-90</v>
      </c>
      <c r="R1908" t="n">
        <v>0.10425</v>
      </c>
      <c r="S1908">
        <f>IMAGE("https://mitra.stanford.edu/kundaje/oak/projects/neuro-variants/variant_position/credible/roussos_2024/variant_figures/roussos_2024.childhood.GABA/rs4589643_count_position.png",4,220,900)</f>
        <v/>
      </c>
      <c r="T1908">
        <f>IMAGE("https://mitra.stanford.edu/kundaje/oak/projects/neuro-variants/variant_position/credible/roussos_2024/variant_figures/roussos_2024.childhood.GABA/rs4589643_profile_position.png",4,220,900)</f>
        <v/>
      </c>
    </row>
    <row r="1909">
      <c r="A1909" t="inlineStr">
        <is>
          <t>chr18</t>
        </is>
      </c>
      <c r="B1909" t="n">
        <v>55157406</v>
      </c>
      <c r="C1909" t="inlineStr">
        <is>
          <t>C</t>
        </is>
      </c>
      <c r="D1909" t="inlineStr">
        <is>
          <t>T</t>
        </is>
      </c>
      <c r="E1909" t="inlineStr">
        <is>
          <t>rs4608411</t>
        </is>
      </c>
      <c r="F1909" t="n">
        <v>-0.00054253102</v>
      </c>
      <c r="G1909" t="n">
        <v>0.8168406977675018</v>
      </c>
      <c r="H1909" t="n">
        <v>0.0093622672635324</v>
      </c>
      <c r="I1909" t="n">
        <v>0.7012302249005928</v>
      </c>
      <c r="J1909" t="n">
        <v>0.0045674436137462</v>
      </c>
      <c r="K1909" t="n">
        <v>0.831728901585865</v>
      </c>
      <c r="L1909" t="b">
        <v>0</v>
      </c>
      <c r="M1909" t="b">
        <v>0</v>
      </c>
      <c r="N1909" t="inlineStr">
        <is>
          <t>ref</t>
        </is>
      </c>
      <c r="O1909" t="n">
        <v>-100</v>
      </c>
      <c r="P1909" t="n">
        <v>0.00508</v>
      </c>
      <c r="Q1909" t="n">
        <v>-90</v>
      </c>
      <c r="R1909" t="n">
        <v>0.0708</v>
      </c>
      <c r="S1909">
        <f>IMAGE("https://mitra.stanford.edu/kundaje/oak/projects/neuro-variants/variant_position/credible/roussos_2024/variant_figures/roussos_2024.childhood.GABA/rs4608411_count_position.png",4,220,900)</f>
        <v/>
      </c>
      <c r="T1909">
        <f>IMAGE("https://mitra.stanford.edu/kundaje/oak/projects/neuro-variants/variant_position/credible/roussos_2024/variant_figures/roussos_2024.childhood.GABA/rs4608411_profile_position.png",4,220,900)</f>
        <v/>
      </c>
    </row>
    <row r="1910">
      <c r="A1910" t="inlineStr">
        <is>
          <t>chr18</t>
        </is>
      </c>
      <c r="B1910" t="n">
        <v>55205375</v>
      </c>
      <c r="C1910" t="inlineStr">
        <is>
          <t>T</t>
        </is>
      </c>
      <c r="D1910" t="inlineStr">
        <is>
          <t>G</t>
        </is>
      </c>
      <c r="E1910" t="inlineStr">
        <is>
          <t>rs78468782</t>
        </is>
      </c>
      <c r="F1910" t="n">
        <v>0.015238242468</v>
      </c>
      <c r="G1910" t="n">
        <v>0.4990355639151219</v>
      </c>
      <c r="H1910" t="n">
        <v>0.008189769757890699</v>
      </c>
      <c r="I1910" t="n">
        <v>0.8368492934388417</v>
      </c>
      <c r="J1910" t="n">
        <v>0.0704833406630227</v>
      </c>
      <c r="K1910" t="n">
        <v>0.4321916829562661</v>
      </c>
      <c r="L1910" t="b">
        <v>0</v>
      </c>
      <c r="M1910" t="b">
        <v>0</v>
      </c>
      <c r="N1910" t="inlineStr">
        <is>
          <t>alt</t>
        </is>
      </c>
      <c r="O1910" t="n">
        <v>-100</v>
      </c>
      <c r="P1910" t="n">
        <v>0.006287</v>
      </c>
      <c r="Q1910" t="n">
        <v>-30</v>
      </c>
      <c r="R1910" t="n">
        <v>0.01611</v>
      </c>
      <c r="S1910">
        <f>IMAGE("https://mitra.stanford.edu/kundaje/oak/projects/neuro-variants/variant_position/credible/roussos_2024/variant_figures/roussos_2024.childhood.GABA/rs78468782_count_position.png",4,220,900)</f>
        <v/>
      </c>
      <c r="T1910">
        <f>IMAGE("https://mitra.stanford.edu/kundaje/oak/projects/neuro-variants/variant_position/credible/roussos_2024/variant_figures/roussos_2024.childhood.GABA/rs78468782_profile_position.png",4,220,900)</f>
        <v/>
      </c>
    </row>
    <row r="1911">
      <c r="A1911" t="inlineStr">
        <is>
          <t>chr18</t>
        </is>
      </c>
      <c r="B1911" t="n">
        <v>55207250</v>
      </c>
      <c r="C1911" t="inlineStr">
        <is>
          <t>G</t>
        </is>
      </c>
      <c r="D1911" t="inlineStr">
        <is>
          <t>T</t>
        </is>
      </c>
      <c r="E1911" t="inlineStr">
        <is>
          <t>rs79694868</t>
        </is>
      </c>
      <c r="F1911" t="n">
        <v>-0.0474784454</v>
      </c>
      <c r="G1911" t="n">
        <v>0.1743473387112291</v>
      </c>
      <c r="H1911" t="n">
        <v>0.0134703275034724</v>
      </c>
      <c r="I1911" t="n">
        <v>0.3222305120575542</v>
      </c>
      <c r="J1911" t="n">
        <v>0.3114761994513204</v>
      </c>
      <c r="K1911" t="n">
        <v>0.1282530635004822</v>
      </c>
      <c r="L1911" t="b">
        <v>0</v>
      </c>
      <c r="M1911" t="b">
        <v>0</v>
      </c>
      <c r="N1911" t="inlineStr">
        <is>
          <t>ref</t>
        </is>
      </c>
      <c r="O1911" t="n">
        <v>-95</v>
      </c>
      <c r="P1911" t="n">
        <v>0.0391</v>
      </c>
      <c r="Q1911" t="n">
        <v>-80</v>
      </c>
      <c r="R1911" t="n">
        <v>0.2847</v>
      </c>
      <c r="S1911">
        <f>IMAGE("https://mitra.stanford.edu/kundaje/oak/projects/neuro-variants/variant_position/credible/roussos_2024/variant_figures/roussos_2024.childhood.GABA/rs79694868_count_position.png",4,220,900)</f>
        <v/>
      </c>
      <c r="T1911">
        <f>IMAGE("https://mitra.stanford.edu/kundaje/oak/projects/neuro-variants/variant_position/credible/roussos_2024/variant_figures/roussos_2024.childhood.GABA/rs79694868_profile_position.png",4,220,900)</f>
        <v/>
      </c>
    </row>
    <row r="1912">
      <c r="A1912" t="inlineStr">
        <is>
          <t>chr18</t>
        </is>
      </c>
      <c r="B1912" t="n">
        <v>55210035</v>
      </c>
      <c r="C1912" t="inlineStr">
        <is>
          <t>C</t>
        </is>
      </c>
      <c r="D1912" t="inlineStr">
        <is>
          <t>T</t>
        </is>
      </c>
      <c r="E1912" t="inlineStr">
        <is>
          <t>rs9953026</t>
        </is>
      </c>
      <c r="F1912" t="n">
        <v>-0.1031092568</v>
      </c>
      <c r="G1912" t="n">
        <v>0.0282840893833304</v>
      </c>
      <c r="H1912" t="n">
        <v>0.0177959088959513</v>
      </c>
      <c r="I1912" t="n">
        <v>0.1186983606434609</v>
      </c>
      <c r="J1912" t="n">
        <v>0.0695503759083579</v>
      </c>
      <c r="K1912" t="n">
        <v>0.4297789571108198</v>
      </c>
      <c r="L1912" t="b">
        <v>0</v>
      </c>
      <c r="M1912" t="b">
        <v>0</v>
      </c>
      <c r="N1912" t="inlineStr">
        <is>
          <t>ref</t>
        </is>
      </c>
      <c r="O1912" t="n">
        <v>35</v>
      </c>
      <c r="P1912" t="n">
        <v>0.009169999999999999</v>
      </c>
      <c r="Q1912" t="n">
        <v>-95</v>
      </c>
      <c r="R1912" t="n">
        <v>0.09520000000000001</v>
      </c>
      <c r="S1912">
        <f>IMAGE("https://mitra.stanford.edu/kundaje/oak/projects/neuro-variants/variant_position/credible/roussos_2024/variant_figures/roussos_2024.childhood.GABA/rs9953026_count_position.png",4,220,900)</f>
        <v/>
      </c>
      <c r="T1912">
        <f>IMAGE("https://mitra.stanford.edu/kundaje/oak/projects/neuro-variants/variant_position/credible/roussos_2024/variant_figures/roussos_2024.childhood.GABA/rs9953026_profile_position.png",4,220,900)</f>
        <v/>
      </c>
    </row>
    <row r="1913">
      <c r="A1913" t="inlineStr">
        <is>
          <t>chr18</t>
        </is>
      </c>
      <c r="B1913" t="n">
        <v>55212207</v>
      </c>
      <c r="C1913" t="inlineStr">
        <is>
          <t>T</t>
        </is>
      </c>
      <c r="D1913" t="inlineStr">
        <is>
          <t>C</t>
        </is>
      </c>
      <c r="E1913" t="inlineStr">
        <is>
          <t>rs74776973</t>
        </is>
      </c>
      <c r="F1913" t="n">
        <v>-0.06982400499999999</v>
      </c>
      <c r="G1913" t="n">
        <v>0.0795037607455444</v>
      </c>
      <c r="H1913" t="n">
        <v>0.0259579225903221</v>
      </c>
      <c r="I1913" t="n">
        <v>0.0246264718455457</v>
      </c>
      <c r="J1913" t="n">
        <v>0.0211744256664781</v>
      </c>
      <c r="K1913" t="n">
        <v>0.6341121844556403</v>
      </c>
      <c r="L1913" t="b">
        <v>0</v>
      </c>
      <c r="M1913" t="b">
        <v>0</v>
      </c>
      <c r="N1913" t="inlineStr">
        <is>
          <t>ref</t>
        </is>
      </c>
      <c r="O1913" t="n">
        <v>-65</v>
      </c>
      <c r="P1913" t="n">
        <v>0.003551</v>
      </c>
      <c r="Q1913" t="n">
        <v>-50</v>
      </c>
      <c r="R1913" t="n">
        <v>0.05237</v>
      </c>
      <c r="S1913">
        <f>IMAGE("https://mitra.stanford.edu/kundaje/oak/projects/neuro-variants/variant_position/credible/roussos_2024/variant_figures/roussos_2024.childhood.GABA/rs74776973_count_position.png",4,220,900)</f>
        <v/>
      </c>
      <c r="T1913">
        <f>IMAGE("https://mitra.stanford.edu/kundaje/oak/projects/neuro-variants/variant_position/credible/roussos_2024/variant_figures/roussos_2024.childhood.GABA/rs74776973_profile_position.png",4,220,900)</f>
        <v/>
      </c>
    </row>
    <row r="1914">
      <c r="A1914" t="inlineStr">
        <is>
          <t>chr18</t>
        </is>
      </c>
      <c r="B1914" t="n">
        <v>55213644</v>
      </c>
      <c r="C1914" t="inlineStr">
        <is>
          <t>C</t>
        </is>
      </c>
      <c r="D1914" t="inlineStr">
        <is>
          <t>A</t>
        </is>
      </c>
      <c r="E1914" t="inlineStr">
        <is>
          <t>rs79467351</t>
        </is>
      </c>
      <c r="F1914" t="n">
        <v>-0.00738252436</v>
      </c>
      <c r="G1914" t="n">
        <v>0.5255874246519591</v>
      </c>
      <c r="H1914" t="n">
        <v>0.0233696598505926</v>
      </c>
      <c r="I1914" t="n">
        <v>0.0379845630728211</v>
      </c>
      <c r="J1914" t="n">
        <v>0.0390976105212455</v>
      </c>
      <c r="K1914" t="n">
        <v>0.5306088945954469</v>
      </c>
      <c r="L1914" t="b">
        <v>0</v>
      </c>
      <c r="M1914" t="b">
        <v>0</v>
      </c>
      <c r="N1914" t="inlineStr">
        <is>
          <t>ref</t>
        </is>
      </c>
      <c r="O1914" t="n">
        <v>-80</v>
      </c>
      <c r="P1914" t="n">
        <v>0.002045</v>
      </c>
      <c r="Q1914" t="n">
        <v>5</v>
      </c>
      <c r="R1914" t="n">
        <v>0.02185</v>
      </c>
      <c r="S1914">
        <f>IMAGE("https://mitra.stanford.edu/kundaje/oak/projects/neuro-variants/variant_position/credible/roussos_2024/variant_figures/roussos_2024.childhood.GABA/rs79467351_count_position.png",4,220,900)</f>
        <v/>
      </c>
      <c r="T1914">
        <f>IMAGE("https://mitra.stanford.edu/kundaje/oak/projects/neuro-variants/variant_position/credible/roussos_2024/variant_figures/roussos_2024.childhood.GABA/rs79467351_profile_position.png",4,220,900)</f>
        <v/>
      </c>
    </row>
    <row r="1915">
      <c r="A1915" t="inlineStr">
        <is>
          <t>chr18</t>
        </is>
      </c>
      <c r="B1915" t="n">
        <v>55219838</v>
      </c>
      <c r="C1915" t="inlineStr">
        <is>
          <t>T</t>
        </is>
      </c>
      <c r="D1915" t="inlineStr">
        <is>
          <t>C</t>
        </is>
      </c>
      <c r="E1915" t="inlineStr">
        <is>
          <t>rs76339649</t>
        </is>
      </c>
      <c r="F1915" t="n">
        <v>-0.0101595914999999</v>
      </c>
      <c r="G1915" t="n">
        <v>0.562496375765375</v>
      </c>
      <c r="H1915" t="n">
        <v>0.0112450347550349</v>
      </c>
      <c r="I1915" t="n">
        <v>0.4961217074765278</v>
      </c>
      <c r="J1915" t="n">
        <v>0.038106008251136</v>
      </c>
      <c r="K1915" t="n">
        <v>0.5445662093997969</v>
      </c>
      <c r="L1915" t="b">
        <v>0</v>
      </c>
      <c r="M1915" t="b">
        <v>0</v>
      </c>
      <c r="N1915" t="inlineStr">
        <is>
          <t>ref</t>
        </is>
      </c>
      <c r="O1915" t="n">
        <v>20</v>
      </c>
      <c r="P1915" t="n">
        <v>0.0006905</v>
      </c>
      <c r="Q1915" t="n">
        <v>-50</v>
      </c>
      <c r="R1915" t="n">
        <v>0.010864</v>
      </c>
      <c r="S1915">
        <f>IMAGE("https://mitra.stanford.edu/kundaje/oak/projects/neuro-variants/variant_position/credible/roussos_2024/variant_figures/roussos_2024.childhood.GABA/rs76339649_count_position.png",4,220,900)</f>
        <v/>
      </c>
      <c r="T1915">
        <f>IMAGE("https://mitra.stanford.edu/kundaje/oak/projects/neuro-variants/variant_position/credible/roussos_2024/variant_figures/roussos_2024.childhood.GABA/rs76339649_profile_position.png",4,220,900)</f>
        <v/>
      </c>
    </row>
    <row r="1916">
      <c r="A1916" t="inlineStr">
        <is>
          <t>chr18</t>
        </is>
      </c>
      <c r="B1916" t="n">
        <v>55220120</v>
      </c>
      <c r="C1916" t="inlineStr">
        <is>
          <t>A</t>
        </is>
      </c>
      <c r="D1916" t="inlineStr">
        <is>
          <t>T</t>
        </is>
      </c>
      <c r="E1916" t="inlineStr">
        <is>
          <t>rs187698281</t>
        </is>
      </c>
      <c r="F1916" t="n">
        <v>-0.0509041794</v>
      </c>
      <c r="G1916" t="n">
        <v>0.1529933652368854</v>
      </c>
      <c r="H1916" t="n">
        <v>0.0187507876000037</v>
      </c>
      <c r="I1916" t="n">
        <v>0.1013425509641553</v>
      </c>
      <c r="J1916" t="n">
        <v>0.0440838935310254</v>
      </c>
      <c r="K1916" t="n">
        <v>0.5100904173301342</v>
      </c>
      <c r="L1916" t="b">
        <v>0</v>
      </c>
      <c r="M1916" t="b">
        <v>0</v>
      </c>
      <c r="N1916" t="inlineStr">
        <is>
          <t>ref</t>
        </is>
      </c>
      <c r="O1916" t="n">
        <v>95</v>
      </c>
      <c r="P1916" t="n">
        <v>0.01399</v>
      </c>
      <c r="Q1916" t="n">
        <v>100</v>
      </c>
      <c r="R1916" t="n">
        <v>0.04083</v>
      </c>
      <c r="S1916">
        <f>IMAGE("https://mitra.stanford.edu/kundaje/oak/projects/neuro-variants/variant_position/credible/roussos_2024/variant_figures/roussos_2024.childhood.GABA/rs187698281_count_position.png",4,220,900)</f>
        <v/>
      </c>
      <c r="T1916">
        <f>IMAGE("https://mitra.stanford.edu/kundaje/oak/projects/neuro-variants/variant_position/credible/roussos_2024/variant_figures/roussos_2024.childhood.GABA/rs187698281_profile_position.png",4,220,900)</f>
        <v/>
      </c>
    </row>
    <row r="1917">
      <c r="A1917" t="inlineStr">
        <is>
          <t>chr18</t>
        </is>
      </c>
      <c r="B1917" t="n">
        <v>55221949</v>
      </c>
      <c r="C1917" t="inlineStr">
        <is>
          <t>T</t>
        </is>
      </c>
      <c r="D1917" t="inlineStr">
        <is>
          <t>A</t>
        </is>
      </c>
      <c r="E1917" t="inlineStr">
        <is>
          <t>rs116959829</t>
        </is>
      </c>
      <c r="F1917" t="n">
        <v>0.0214521722</v>
      </c>
      <c r="G1917" t="n">
        <v>0.4193915536432151</v>
      </c>
      <c r="H1917" t="n">
        <v>0.007907313880604901</v>
      </c>
      <c r="I1917" t="n">
        <v>0.8411366799849623</v>
      </c>
      <c r="J1917" t="n">
        <v>0.0519633096689074</v>
      </c>
      <c r="K1917" t="n">
        <v>0.4751667338159678</v>
      </c>
      <c r="L1917" t="b">
        <v>0</v>
      </c>
      <c r="M1917" t="b">
        <v>0</v>
      </c>
      <c r="N1917" t="inlineStr">
        <is>
          <t>alt</t>
        </is>
      </c>
      <c r="O1917" t="n">
        <v>-15</v>
      </c>
      <c r="P1917" t="n">
        <v>0.001051</v>
      </c>
      <c r="Q1917" t="n">
        <v>10</v>
      </c>
      <c r="R1917" t="n">
        <v>0.02197</v>
      </c>
      <c r="S1917">
        <f>IMAGE("https://mitra.stanford.edu/kundaje/oak/projects/neuro-variants/variant_position/credible/roussos_2024/variant_figures/roussos_2024.childhood.GABA/rs116959829_count_position.png",4,220,900)</f>
        <v/>
      </c>
      <c r="T1917">
        <f>IMAGE("https://mitra.stanford.edu/kundaje/oak/projects/neuro-variants/variant_position/credible/roussos_2024/variant_figures/roussos_2024.childhood.GABA/rs116959829_profile_position.png",4,220,900)</f>
        <v/>
      </c>
    </row>
    <row r="1918">
      <c r="A1918" t="inlineStr">
        <is>
          <t>chr18</t>
        </is>
      </c>
      <c r="B1918" t="n">
        <v>55236277</v>
      </c>
      <c r="C1918" t="inlineStr">
        <is>
          <t>G</t>
        </is>
      </c>
      <c r="D1918" t="inlineStr">
        <is>
          <t>T</t>
        </is>
      </c>
      <c r="E1918" t="inlineStr">
        <is>
          <t>rs73487018</t>
        </is>
      </c>
      <c r="F1918" t="n">
        <v>-0.0562219094</v>
      </c>
      <c r="G1918" t="n">
        <v>0.1152568623873632</v>
      </c>
      <c r="H1918" t="n">
        <v>0.0125936128482666</v>
      </c>
      <c r="I1918" t="n">
        <v>0.3831208694177924</v>
      </c>
      <c r="J1918" t="n">
        <v>0.1160530669514774</v>
      </c>
      <c r="K1918" t="n">
        <v>0.3234805863349556</v>
      </c>
      <c r="L1918" t="b">
        <v>0</v>
      </c>
      <c r="M1918" t="b">
        <v>0</v>
      </c>
      <c r="N1918" t="inlineStr">
        <is>
          <t>ref</t>
        </is>
      </c>
      <c r="O1918" t="n">
        <v>-35</v>
      </c>
      <c r="P1918" t="n">
        <v>0.01014</v>
      </c>
      <c r="Q1918" t="n">
        <v>85</v>
      </c>
      <c r="R1918" t="n">
        <v>0.0829</v>
      </c>
      <c r="S1918">
        <f>IMAGE("https://mitra.stanford.edu/kundaje/oak/projects/neuro-variants/variant_position/credible/roussos_2024/variant_figures/roussos_2024.childhood.GABA/rs73487018_count_position.png",4,220,900)</f>
        <v/>
      </c>
      <c r="T1918">
        <f>IMAGE("https://mitra.stanford.edu/kundaje/oak/projects/neuro-variants/variant_position/credible/roussos_2024/variant_figures/roussos_2024.childhood.GABA/rs73487018_profile_position.png",4,220,900)</f>
        <v/>
      </c>
    </row>
    <row r="1919">
      <c r="A1919" t="inlineStr">
        <is>
          <t>chr18</t>
        </is>
      </c>
      <c r="B1919" t="n">
        <v>55236451</v>
      </c>
      <c r="C1919" t="inlineStr">
        <is>
          <t>A</t>
        </is>
      </c>
      <c r="D1919" t="inlineStr">
        <is>
          <t>G</t>
        </is>
      </c>
      <c r="E1919" t="inlineStr">
        <is>
          <t>rs73487023</t>
        </is>
      </c>
      <c r="F1919" t="n">
        <v>0.0134811525999999</v>
      </c>
      <c r="G1919" t="n">
        <v>0.4756670756133116</v>
      </c>
      <c r="H1919" t="n">
        <v>0.0181040462835025</v>
      </c>
      <c r="I1919" t="n">
        <v>0.1130289054480076</v>
      </c>
      <c r="J1919" t="n">
        <v>0.1264570375489518</v>
      </c>
      <c r="K1919" t="n">
        <v>0.3061723629907999</v>
      </c>
      <c r="L1919" t="b">
        <v>0</v>
      </c>
      <c r="M1919" t="b">
        <v>0</v>
      </c>
      <c r="N1919" t="inlineStr">
        <is>
          <t>alt</t>
        </is>
      </c>
      <c r="O1919" t="n">
        <v>100</v>
      </c>
      <c r="P1919" t="n">
        <v>0.02327</v>
      </c>
      <c r="Q1919" t="n">
        <v>90</v>
      </c>
      <c r="R1919" t="n">
        <v>0.0779</v>
      </c>
      <c r="S1919">
        <f>IMAGE("https://mitra.stanford.edu/kundaje/oak/projects/neuro-variants/variant_position/credible/roussos_2024/variant_figures/roussos_2024.childhood.GABA/rs73487023_count_position.png",4,220,900)</f>
        <v/>
      </c>
      <c r="T1919">
        <f>IMAGE("https://mitra.stanford.edu/kundaje/oak/projects/neuro-variants/variant_position/credible/roussos_2024/variant_figures/roussos_2024.childhood.GABA/rs73487023_profile_position.png",4,220,900)</f>
        <v/>
      </c>
    </row>
    <row r="1920">
      <c r="A1920" t="inlineStr">
        <is>
          <t>chr18</t>
        </is>
      </c>
      <c r="B1920" t="n">
        <v>55242449</v>
      </c>
      <c r="C1920" t="inlineStr">
        <is>
          <t>A</t>
        </is>
      </c>
      <c r="D1920" t="inlineStr">
        <is>
          <t>C</t>
        </is>
      </c>
      <c r="E1920" t="inlineStr">
        <is>
          <t>rs150458109</t>
        </is>
      </c>
      <c r="F1920" t="n">
        <v>-0.0451671312</v>
      </c>
      <c r="G1920" t="n">
        <v>0.1891736040578741</v>
      </c>
      <c r="H1920" t="n">
        <v>0.030754735077265</v>
      </c>
      <c r="I1920" t="n">
        <v>0.011586303229538</v>
      </c>
      <c r="J1920" t="n">
        <v>0.06359238549978009</v>
      </c>
      <c r="K1920" t="n">
        <v>0.4488646930266177</v>
      </c>
      <c r="L1920" t="b">
        <v>1</v>
      </c>
      <c r="M1920" t="b">
        <v>0</v>
      </c>
      <c r="N1920" t="inlineStr">
        <is>
          <t>ref</t>
        </is>
      </c>
      <c r="O1920" t="n">
        <v>75</v>
      </c>
      <c r="P1920" t="n">
        <v>0.03442</v>
      </c>
      <c r="Q1920" t="n">
        <v>75</v>
      </c>
      <c r="R1920" t="n">
        <v>0.0369</v>
      </c>
      <c r="S1920">
        <f>IMAGE("https://mitra.stanford.edu/kundaje/oak/projects/neuro-variants/variant_position/credible/roussos_2024/variant_figures/roussos_2024.childhood.GABA/rs150458109_count_position.png",4,220,900)</f>
        <v/>
      </c>
      <c r="T1920">
        <f>IMAGE("https://mitra.stanford.edu/kundaje/oak/projects/neuro-variants/variant_position/credible/roussos_2024/variant_figures/roussos_2024.childhood.GABA/rs150458109_profile_position.png",4,220,900)</f>
        <v/>
      </c>
    </row>
    <row r="1921">
      <c r="A1921" t="inlineStr">
        <is>
          <t>chr18</t>
        </is>
      </c>
      <c r="B1921" t="n">
        <v>55247745</v>
      </c>
      <c r="C1921" t="inlineStr">
        <is>
          <t>T</t>
        </is>
      </c>
      <c r="D1921" t="inlineStr">
        <is>
          <t>C</t>
        </is>
      </c>
      <c r="E1921" t="inlineStr">
        <is>
          <t>rs142300078</t>
        </is>
      </c>
      <c r="F1921" t="n">
        <v>-0.01046175356</v>
      </c>
      <c r="G1921" t="n">
        <v>0.6177523134223026</v>
      </c>
      <c r="H1921" t="n">
        <v>0.0177973277250585</v>
      </c>
      <c r="I1921" t="n">
        <v>0.12251124206962</v>
      </c>
      <c r="J1921" t="n">
        <v>0.0122322045611609</v>
      </c>
      <c r="K1921" t="n">
        <v>0.7191577041729728</v>
      </c>
      <c r="L1921" t="b">
        <v>0</v>
      </c>
      <c r="M1921" t="b">
        <v>0</v>
      </c>
      <c r="N1921" t="inlineStr">
        <is>
          <t>ref</t>
        </is>
      </c>
      <c r="O1921" t="n">
        <v>100</v>
      </c>
      <c r="P1921" t="n">
        <v>0.002644</v>
      </c>
      <c r="Q1921" t="n">
        <v>-75</v>
      </c>
      <c r="R1921" t="n">
        <v>0.04874</v>
      </c>
      <c r="S1921">
        <f>IMAGE("https://mitra.stanford.edu/kundaje/oak/projects/neuro-variants/variant_position/credible/roussos_2024/variant_figures/roussos_2024.childhood.GABA/rs142300078_count_position.png",4,220,900)</f>
        <v/>
      </c>
      <c r="T1921">
        <f>IMAGE("https://mitra.stanford.edu/kundaje/oak/projects/neuro-variants/variant_position/credible/roussos_2024/variant_figures/roussos_2024.childhood.GABA/rs142300078_profile_position.png",4,220,900)</f>
        <v/>
      </c>
    </row>
    <row r="1922">
      <c r="A1922" t="inlineStr">
        <is>
          <t>chr18</t>
        </is>
      </c>
      <c r="B1922" t="n">
        <v>55272905</v>
      </c>
      <c r="C1922" t="inlineStr">
        <is>
          <t>G</t>
        </is>
      </c>
      <c r="D1922" t="inlineStr">
        <is>
          <t>T</t>
        </is>
      </c>
      <c r="E1922" t="inlineStr">
        <is>
          <t>rs146016468</t>
        </is>
      </c>
      <c r="F1922" t="n">
        <v>-0.0149027927999999</v>
      </c>
      <c r="G1922" t="n">
        <v>0.5257310902172442</v>
      </c>
      <c r="H1922" t="n">
        <v>0.0106394487909003</v>
      </c>
      <c r="I1922" t="n">
        <v>0.5735260545770314</v>
      </c>
      <c r="J1922" t="n">
        <v>0.1033957404033422</v>
      </c>
      <c r="K1922" t="n">
        <v>0.352825865108145</v>
      </c>
      <c r="L1922" t="b">
        <v>0</v>
      </c>
      <c r="M1922" t="b">
        <v>0</v>
      </c>
      <c r="N1922" t="inlineStr">
        <is>
          <t>ref</t>
        </is>
      </c>
      <c r="O1922" t="n">
        <v>-90</v>
      </c>
      <c r="P1922" t="n">
        <v>0.006012</v>
      </c>
      <c r="Q1922" t="n">
        <v>-85</v>
      </c>
      <c r="R1922" t="n">
        <v>0.286</v>
      </c>
      <c r="S1922">
        <f>IMAGE("https://mitra.stanford.edu/kundaje/oak/projects/neuro-variants/variant_position/credible/roussos_2024/variant_figures/roussos_2024.childhood.GABA/rs146016468_count_position.png",4,220,900)</f>
        <v/>
      </c>
      <c r="T1922">
        <f>IMAGE("https://mitra.stanford.edu/kundaje/oak/projects/neuro-variants/variant_position/credible/roussos_2024/variant_figures/roussos_2024.childhood.GABA/rs146016468_profile_position.png",4,220,900)</f>
        <v/>
      </c>
    </row>
    <row r="1923">
      <c r="A1923" t="inlineStr">
        <is>
          <t>chr18</t>
        </is>
      </c>
      <c r="B1923" t="n">
        <v>55273297</v>
      </c>
      <c r="C1923" t="inlineStr">
        <is>
          <t>A</t>
        </is>
      </c>
      <c r="D1923" t="inlineStr">
        <is>
          <t>G</t>
        </is>
      </c>
      <c r="E1923" t="inlineStr">
        <is>
          <t>rs1261115</t>
        </is>
      </c>
      <c r="F1923" t="n">
        <v>0.0024094597</v>
      </c>
      <c r="G1923" t="n">
        <v>0.8679544390223153</v>
      </c>
      <c r="H1923" t="n">
        <v>0.0191429880268055</v>
      </c>
      <c r="I1923" t="n">
        <v>0.0894434210197686</v>
      </c>
      <c r="J1923" t="n">
        <v>0.0486188770915792</v>
      </c>
      <c r="K1923" t="n">
        <v>0.4993041573517946</v>
      </c>
      <c r="L1923" t="b">
        <v>0</v>
      </c>
      <c r="M1923" t="b">
        <v>0</v>
      </c>
      <c r="N1923" t="inlineStr">
        <is>
          <t>alt</t>
        </is>
      </c>
      <c r="O1923" t="n">
        <v>-100</v>
      </c>
      <c r="P1923" t="n">
        <v>0.007446</v>
      </c>
      <c r="Q1923" t="n">
        <v>-10</v>
      </c>
      <c r="R1923" t="n">
        <v>0.0119</v>
      </c>
      <c r="S1923">
        <f>IMAGE("https://mitra.stanford.edu/kundaje/oak/projects/neuro-variants/variant_position/credible/roussos_2024/variant_figures/roussos_2024.childhood.GABA/rs1261115_count_position.png",4,220,900)</f>
        <v/>
      </c>
      <c r="T1923">
        <f>IMAGE("https://mitra.stanford.edu/kundaje/oak/projects/neuro-variants/variant_position/credible/roussos_2024/variant_figures/roussos_2024.childhood.GABA/rs1261115_profile_position.png",4,220,900)</f>
        <v/>
      </c>
    </row>
    <row r="1924">
      <c r="A1924" t="inlineStr">
        <is>
          <t>chr18</t>
        </is>
      </c>
      <c r="B1924" t="n">
        <v>55278031</v>
      </c>
      <c r="C1924" t="inlineStr">
        <is>
          <t>G</t>
        </is>
      </c>
      <c r="D1924" t="inlineStr">
        <is>
          <t>A</t>
        </is>
      </c>
      <c r="E1924" t="inlineStr">
        <is>
          <t>rs56666482</t>
        </is>
      </c>
      <c r="F1924" t="n">
        <v>-0.020836039</v>
      </c>
      <c r="G1924" t="n">
        <v>0.4144710890065696</v>
      </c>
      <c r="H1924" t="n">
        <v>0.010255376175888</v>
      </c>
      <c r="I1924" t="n">
        <v>0.6154970053964748</v>
      </c>
      <c r="J1924" t="n">
        <v>0.023841385520722</v>
      </c>
      <c r="K1924" t="n">
        <v>0.6263767776688927</v>
      </c>
      <c r="L1924" t="b">
        <v>0</v>
      </c>
      <c r="M1924" t="b">
        <v>0</v>
      </c>
      <c r="N1924" t="inlineStr">
        <is>
          <t>ref</t>
        </is>
      </c>
      <c r="O1924" t="n">
        <v>-100</v>
      </c>
      <c r="P1924" t="n">
        <v>0.00809</v>
      </c>
      <c r="Q1924" t="n">
        <v>-100</v>
      </c>
      <c r="R1924" t="n">
        <v>0.04114</v>
      </c>
      <c r="S1924">
        <f>IMAGE("https://mitra.stanford.edu/kundaje/oak/projects/neuro-variants/variant_position/credible/roussos_2024/variant_figures/roussos_2024.childhood.GABA/rs56666482_count_position.png",4,220,900)</f>
        <v/>
      </c>
      <c r="T1924">
        <f>IMAGE("https://mitra.stanford.edu/kundaje/oak/projects/neuro-variants/variant_position/credible/roussos_2024/variant_figures/roussos_2024.childhood.GABA/rs56666482_profile_position.png",4,220,900)</f>
        <v/>
      </c>
    </row>
    <row r="1925">
      <c r="A1925" t="inlineStr">
        <is>
          <t>chr18</t>
        </is>
      </c>
      <c r="B1925" t="n">
        <v>55282426</v>
      </c>
      <c r="C1925" t="inlineStr">
        <is>
          <t>T</t>
        </is>
      </c>
      <c r="D1925" t="inlineStr">
        <is>
          <t>C</t>
        </is>
      </c>
      <c r="E1925" t="inlineStr">
        <is>
          <t>rs1261117</t>
        </is>
      </c>
      <c r="F1925" t="n">
        <v>-0.00367847912</v>
      </c>
      <c r="G1925" t="n">
        <v>0.6726325572315588</v>
      </c>
      <c r="H1925" t="n">
        <v>0.0213180394822994</v>
      </c>
      <c r="I1925" t="n">
        <v>0.0578911985485049</v>
      </c>
      <c r="J1925" t="n">
        <v>3.769554564302318e-05</v>
      </c>
      <c r="K1925" t="n">
        <v>0.9942842982258721</v>
      </c>
      <c r="L1925" t="b">
        <v>0</v>
      </c>
      <c r="M1925" t="b">
        <v>0</v>
      </c>
      <c r="N1925" t="inlineStr">
        <is>
          <t>ref</t>
        </is>
      </c>
      <c r="O1925" t="n">
        <v>-80</v>
      </c>
      <c r="P1925" t="n">
        <v>0.002708</v>
      </c>
      <c r="Q1925" t="n">
        <v>-100</v>
      </c>
      <c r="R1925" t="n">
        <v>0.01648</v>
      </c>
      <c r="S1925">
        <f>IMAGE("https://mitra.stanford.edu/kundaje/oak/projects/neuro-variants/variant_position/credible/roussos_2024/variant_figures/roussos_2024.childhood.GABA/rs1261117_count_position.png",4,220,900)</f>
        <v/>
      </c>
      <c r="T1925">
        <f>IMAGE("https://mitra.stanford.edu/kundaje/oak/projects/neuro-variants/variant_position/credible/roussos_2024/variant_figures/roussos_2024.childhood.GABA/rs1261117_profile_position.png",4,220,900)</f>
        <v/>
      </c>
    </row>
    <row r="1926">
      <c r="A1926" t="inlineStr">
        <is>
          <t>chr18</t>
        </is>
      </c>
      <c r="B1926" t="n">
        <v>55286318</v>
      </c>
      <c r="C1926" t="inlineStr">
        <is>
          <t>T</t>
        </is>
      </c>
      <c r="D1926" t="inlineStr">
        <is>
          <t>C</t>
        </is>
      </c>
      <c r="E1926" t="inlineStr">
        <is>
          <t>rs1788031</t>
        </is>
      </c>
      <c r="F1926" t="n">
        <v>0.00747152982</v>
      </c>
      <c r="G1926" t="n">
        <v>0.6959774604056633</v>
      </c>
      <c r="H1926" t="n">
        <v>0.0187827039883156</v>
      </c>
      <c r="I1926" t="n">
        <v>0.0969810837842176</v>
      </c>
      <c r="J1926" t="n">
        <v>0.008291972942974899</v>
      </c>
      <c r="K1926" t="n">
        <v>0.7750372544977685</v>
      </c>
      <c r="L1926" t="b">
        <v>0</v>
      </c>
      <c r="M1926" t="b">
        <v>0</v>
      </c>
      <c r="N1926" t="inlineStr">
        <is>
          <t>alt</t>
        </is>
      </c>
      <c r="O1926" t="n">
        <v>-100</v>
      </c>
      <c r="P1926" t="n">
        <v>0.004654</v>
      </c>
      <c r="Q1926" t="n">
        <v>100</v>
      </c>
      <c r="R1926" t="n">
        <v>0.08716</v>
      </c>
      <c r="S1926">
        <f>IMAGE("https://mitra.stanford.edu/kundaje/oak/projects/neuro-variants/variant_position/credible/roussos_2024/variant_figures/roussos_2024.childhood.GABA/rs1788031_count_position.png",4,220,900)</f>
        <v/>
      </c>
      <c r="T1926">
        <f>IMAGE("https://mitra.stanford.edu/kundaje/oak/projects/neuro-variants/variant_position/credible/roussos_2024/variant_figures/roussos_2024.childhood.GABA/rs1788031_profile_position.png",4,220,900)</f>
        <v/>
      </c>
    </row>
    <row r="1927">
      <c r="A1927" t="inlineStr">
        <is>
          <t>chr18</t>
        </is>
      </c>
      <c r="B1927" t="n">
        <v>55341866</v>
      </c>
      <c r="C1927" t="inlineStr">
        <is>
          <t>A</t>
        </is>
      </c>
      <c r="D1927" t="inlineStr">
        <is>
          <t>G</t>
        </is>
      </c>
      <c r="E1927" t="inlineStr">
        <is>
          <t>rs79926379</t>
        </is>
      </c>
      <c r="F1927" t="n">
        <v>0.00085402255</v>
      </c>
      <c r="G1927" t="n">
        <v>0.9043870874461292</v>
      </c>
      <c r="H1927" t="n">
        <v>0.011237262526374</v>
      </c>
      <c r="I1927" t="n">
        <v>0.5158501811623483</v>
      </c>
      <c r="J1927" t="n">
        <v>0.0171483319721052</v>
      </c>
      <c r="K1927" t="n">
        <v>0.6704937757319959</v>
      </c>
      <c r="L1927" t="b">
        <v>0</v>
      </c>
      <c r="M1927" t="b">
        <v>0</v>
      </c>
      <c r="N1927" t="inlineStr">
        <is>
          <t>alt</t>
        </is>
      </c>
      <c r="O1927" t="n">
        <v>55</v>
      </c>
      <c r="P1927" t="n">
        <v>0.004387</v>
      </c>
      <c r="Q1927" t="n">
        <v>80</v>
      </c>
      <c r="R1927" t="n">
        <v>0.0386</v>
      </c>
      <c r="S1927">
        <f>IMAGE("https://mitra.stanford.edu/kundaje/oak/projects/neuro-variants/variant_position/credible/roussos_2024/variant_figures/roussos_2024.childhood.GABA/rs79926379_count_position.png",4,220,900)</f>
        <v/>
      </c>
      <c r="T1927">
        <f>IMAGE("https://mitra.stanford.edu/kundaje/oak/projects/neuro-variants/variant_position/credible/roussos_2024/variant_figures/roussos_2024.childhood.GABA/rs79926379_profile_position.png",4,220,900)</f>
        <v/>
      </c>
    </row>
    <row r="1928">
      <c r="A1928" t="inlineStr">
        <is>
          <t>chr18</t>
        </is>
      </c>
      <c r="B1928" t="n">
        <v>55364663</v>
      </c>
      <c r="C1928" t="inlineStr">
        <is>
          <t>T</t>
        </is>
      </c>
      <c r="D1928" t="inlineStr">
        <is>
          <t>C</t>
        </is>
      </c>
      <c r="E1928" t="inlineStr">
        <is>
          <t>rs77355441</t>
        </is>
      </c>
      <c r="F1928" t="n">
        <v>0.09665088499999989</v>
      </c>
      <c r="G1928" t="n">
        <v>0.0317946229973456</v>
      </c>
      <c r="H1928" t="n">
        <v>0.0193736312932161</v>
      </c>
      <c r="I1928" t="n">
        <v>0.0842556816007588</v>
      </c>
      <c r="J1928" t="n">
        <v>0.0039056773680131</v>
      </c>
      <c r="K1928" t="n">
        <v>0.8319391398958617</v>
      </c>
      <c r="L1928" t="b">
        <v>0</v>
      </c>
      <c r="M1928" t="b">
        <v>0</v>
      </c>
      <c r="N1928" t="inlineStr">
        <is>
          <t>alt</t>
        </is>
      </c>
      <c r="O1928" t="n">
        <v>-70</v>
      </c>
      <c r="P1928" t="n">
        <v>0.00451</v>
      </c>
      <c r="Q1928" t="n">
        <v>-55</v>
      </c>
      <c r="R1928" t="n">
        <v>0.0277</v>
      </c>
      <c r="S1928">
        <f>IMAGE("https://mitra.stanford.edu/kundaje/oak/projects/neuro-variants/variant_position/credible/roussos_2024/variant_figures/roussos_2024.childhood.GABA/rs77355441_count_position.png",4,220,900)</f>
        <v/>
      </c>
      <c r="T1928">
        <f>IMAGE("https://mitra.stanford.edu/kundaje/oak/projects/neuro-variants/variant_position/credible/roussos_2024/variant_figures/roussos_2024.childhood.GABA/rs77355441_profile_position.png",4,220,900)</f>
        <v/>
      </c>
    </row>
    <row r="1929">
      <c r="A1929" t="inlineStr">
        <is>
          <t>chr18</t>
        </is>
      </c>
      <c r="B1929" t="n">
        <v>55396445</v>
      </c>
      <c r="C1929" t="inlineStr">
        <is>
          <t>G</t>
        </is>
      </c>
      <c r="D1929" t="inlineStr">
        <is>
          <t>T</t>
        </is>
      </c>
      <c r="E1929" t="inlineStr">
        <is>
          <t>rs78322266</t>
        </is>
      </c>
      <c r="F1929" t="n">
        <v>0.0352276694</v>
      </c>
      <c r="G1929" t="n">
        <v>0.2385430623594011</v>
      </c>
      <c r="H1929" t="n">
        <v>0.0291123262251822</v>
      </c>
      <c r="I1929" t="n">
        <v>0.0145592676859786</v>
      </c>
      <c r="J1929" t="n">
        <v>0.0459267868735733</v>
      </c>
      <c r="K1929" t="n">
        <v>0.501857548941426</v>
      </c>
      <c r="L1929" t="b">
        <v>1</v>
      </c>
      <c r="M1929" t="b">
        <v>0</v>
      </c>
      <c r="N1929" t="inlineStr">
        <is>
          <t>alt</t>
        </is>
      </c>
      <c r="O1929" t="n">
        <v>65</v>
      </c>
      <c r="P1929" t="n">
        <v>0.001034</v>
      </c>
      <c r="Q1929" t="n">
        <v>-40</v>
      </c>
      <c r="R1929" t="n">
        <v>0.03455</v>
      </c>
      <c r="S1929">
        <f>IMAGE("https://mitra.stanford.edu/kundaje/oak/projects/neuro-variants/variant_position/credible/roussos_2024/variant_figures/roussos_2024.childhood.GABA/rs78322266_count_position.png",4,220,900)</f>
        <v/>
      </c>
      <c r="T1929">
        <f>IMAGE("https://mitra.stanford.edu/kundaje/oak/projects/neuro-variants/variant_position/credible/roussos_2024/variant_figures/roussos_2024.childhood.GABA/rs78322266_profile_position.png",4,220,900)</f>
        <v/>
      </c>
    </row>
    <row r="1930">
      <c r="A1930" t="inlineStr">
        <is>
          <t>chr18</t>
        </is>
      </c>
      <c r="B1930" t="n">
        <v>55398661</v>
      </c>
      <c r="C1930" t="inlineStr">
        <is>
          <t>A</t>
        </is>
      </c>
      <c r="D1930" t="inlineStr">
        <is>
          <t>G</t>
        </is>
      </c>
      <c r="E1930" t="inlineStr">
        <is>
          <t>rs17594721</t>
        </is>
      </c>
      <c r="F1930" t="n">
        <v>-0.0835080658</v>
      </c>
      <c r="G1930" t="n">
        <v>0.0556909605293748</v>
      </c>
      <c r="H1930" t="n">
        <v>0.0258767667715924</v>
      </c>
      <c r="I1930" t="n">
        <v>0.0245974466296587</v>
      </c>
      <c r="J1930" t="n">
        <v>0.1219293836778286</v>
      </c>
      <c r="K1930" t="n">
        <v>0.3133546127791142</v>
      </c>
      <c r="L1930" t="b">
        <v>0</v>
      </c>
      <c r="M1930" t="b">
        <v>0</v>
      </c>
      <c r="N1930" t="inlineStr">
        <is>
          <t>ref</t>
        </is>
      </c>
      <c r="O1930" t="n">
        <v>-70</v>
      </c>
      <c r="P1930" t="n">
        <v>0.003677</v>
      </c>
      <c r="Q1930" t="n">
        <v>-55</v>
      </c>
      <c r="R1930" t="n">
        <v>0.01373</v>
      </c>
      <c r="S1930">
        <f>IMAGE("https://mitra.stanford.edu/kundaje/oak/projects/neuro-variants/variant_position/credible/roussos_2024/variant_figures/roussos_2024.childhood.GABA/rs17594721_count_position.png",4,220,900)</f>
        <v/>
      </c>
      <c r="T1930">
        <f>IMAGE("https://mitra.stanford.edu/kundaje/oak/projects/neuro-variants/variant_position/credible/roussos_2024/variant_figures/roussos_2024.childhood.GABA/rs17594721_profile_position.png",4,220,900)</f>
        <v/>
      </c>
    </row>
    <row r="1931">
      <c r="A1931" t="inlineStr">
        <is>
          <t>chr18</t>
        </is>
      </c>
      <c r="B1931" t="n">
        <v>55414923</v>
      </c>
      <c r="C1931" t="inlineStr">
        <is>
          <t>G</t>
        </is>
      </c>
      <c r="D1931" t="inlineStr">
        <is>
          <t>T</t>
        </is>
      </c>
      <c r="E1931" t="inlineStr">
        <is>
          <t>rs1371833</t>
        </is>
      </c>
      <c r="F1931" t="n">
        <v>-0.08683820840000001</v>
      </c>
      <c r="G1931" t="n">
        <v>0.0505549680352392</v>
      </c>
      <c r="H1931" t="n">
        <v>0.018566038099091</v>
      </c>
      <c r="I1931" t="n">
        <v>0.1047144564435738</v>
      </c>
      <c r="J1931" t="n">
        <v>0.3154583150091097</v>
      </c>
      <c r="K1931" t="n">
        <v>0.124451738577342</v>
      </c>
      <c r="L1931" t="b">
        <v>0</v>
      </c>
      <c r="M1931" t="b">
        <v>0</v>
      </c>
      <c r="N1931" t="inlineStr">
        <is>
          <t>ref</t>
        </is>
      </c>
      <c r="O1931" t="n">
        <v>-100</v>
      </c>
      <c r="P1931" t="n">
        <v>0.009990000000000001</v>
      </c>
      <c r="Q1931" t="n">
        <v>-100</v>
      </c>
      <c r="R1931" t="n">
        <v>0.0371</v>
      </c>
      <c r="S1931">
        <f>IMAGE("https://mitra.stanford.edu/kundaje/oak/projects/neuro-variants/variant_position/credible/roussos_2024/variant_figures/roussos_2024.childhood.GABA/rs1371833_count_position.png",4,220,900)</f>
        <v/>
      </c>
      <c r="T1931">
        <f>IMAGE("https://mitra.stanford.edu/kundaje/oak/projects/neuro-variants/variant_position/credible/roussos_2024/variant_figures/roussos_2024.childhood.GABA/rs1371833_profile_position.png",4,220,900)</f>
        <v/>
      </c>
    </row>
    <row r="1932">
      <c r="A1932" t="inlineStr">
        <is>
          <t>chr18</t>
        </is>
      </c>
      <c r="B1932" t="n">
        <v>55428385</v>
      </c>
      <c r="C1932" t="inlineStr">
        <is>
          <t>A</t>
        </is>
      </c>
      <c r="D1932" t="inlineStr">
        <is>
          <t>G</t>
        </is>
      </c>
      <c r="E1932" t="inlineStr">
        <is>
          <t>rs73477275</t>
        </is>
      </c>
      <c r="F1932" t="n">
        <v>0.132028084</v>
      </c>
      <c r="G1932" t="n">
        <v>0.0135456012804287</v>
      </c>
      <c r="H1932" t="n">
        <v>0.0211067906459199</v>
      </c>
      <c r="I1932" t="n">
        <v>0.0624516974676226</v>
      </c>
      <c r="J1932" t="n">
        <v>0.0086846348767564</v>
      </c>
      <c r="K1932" t="n">
        <v>0.7550074169963863</v>
      </c>
      <c r="L1932" t="b">
        <v>1</v>
      </c>
      <c r="M1932" t="b">
        <v>0</v>
      </c>
      <c r="N1932" t="inlineStr">
        <is>
          <t>alt</t>
        </is>
      </c>
      <c r="O1932" t="n">
        <v>-100</v>
      </c>
      <c r="P1932" t="n">
        <v>0.004406</v>
      </c>
      <c r="Q1932" t="n">
        <v>-60</v>
      </c>
      <c r="R1932" t="n">
        <v>0.11237</v>
      </c>
      <c r="S1932">
        <f>IMAGE("https://mitra.stanford.edu/kundaje/oak/projects/neuro-variants/variant_position/credible/roussos_2024/variant_figures/roussos_2024.childhood.GABA/rs73477275_count_position.png",4,220,900)</f>
        <v/>
      </c>
      <c r="T1932">
        <f>IMAGE("https://mitra.stanford.edu/kundaje/oak/projects/neuro-variants/variant_position/credible/roussos_2024/variant_figures/roussos_2024.childhood.GABA/rs73477275_profile_position.png",4,220,900)</f>
        <v/>
      </c>
    </row>
    <row r="1933">
      <c r="A1933" t="inlineStr">
        <is>
          <t>chr18</t>
        </is>
      </c>
      <c r="B1933" t="n">
        <v>55486362</v>
      </c>
      <c r="C1933" t="inlineStr">
        <is>
          <t>T</t>
        </is>
      </c>
      <c r="D1933" t="inlineStr">
        <is>
          <t>C</t>
        </is>
      </c>
      <c r="E1933" t="inlineStr">
        <is>
          <t>rs140282719</t>
        </is>
      </c>
      <c r="F1933" t="n">
        <v>0.07138028339999999</v>
      </c>
      <c r="G1933" t="n">
        <v>0.0670684761269871</v>
      </c>
      <c r="H1933" t="n">
        <v>0.0139883832663797</v>
      </c>
      <c r="I1933" t="n">
        <v>0.2866016951152111</v>
      </c>
      <c r="J1933" t="n">
        <v>0.0122604762203932</v>
      </c>
      <c r="K1933" t="n">
        <v>0.7186206471442548</v>
      </c>
      <c r="L1933" t="b">
        <v>0</v>
      </c>
      <c r="M1933" t="b">
        <v>0</v>
      </c>
      <c r="N1933" t="inlineStr">
        <is>
          <t>alt</t>
        </is>
      </c>
      <c r="O1933" t="n">
        <v>30</v>
      </c>
      <c r="P1933" t="n">
        <v>0.002628</v>
      </c>
      <c r="Q1933" t="n">
        <v>30</v>
      </c>
      <c r="R1933" t="n">
        <v>0.0612</v>
      </c>
      <c r="S1933">
        <f>IMAGE("https://mitra.stanford.edu/kundaje/oak/projects/neuro-variants/variant_position/credible/roussos_2024/variant_figures/roussos_2024.childhood.GABA/rs140282719_count_position.png",4,220,900)</f>
        <v/>
      </c>
      <c r="T1933">
        <f>IMAGE("https://mitra.stanford.edu/kundaje/oak/projects/neuro-variants/variant_position/credible/roussos_2024/variant_figures/roussos_2024.childhood.GABA/rs140282719_profile_position.png",4,220,900)</f>
        <v/>
      </c>
    </row>
    <row r="1934">
      <c r="A1934" t="inlineStr">
        <is>
          <t>chr18</t>
        </is>
      </c>
      <c r="B1934" t="n">
        <v>55536474</v>
      </c>
      <c r="C1934" t="inlineStr">
        <is>
          <t>C</t>
        </is>
      </c>
      <c r="D1934" t="inlineStr">
        <is>
          <t>T</t>
        </is>
      </c>
      <c r="E1934" t="inlineStr">
        <is>
          <t>rs78431385</t>
        </is>
      </c>
      <c r="F1934" t="n">
        <v>-0.0151465923199999</v>
      </c>
      <c r="G1934" t="n">
        <v>0.5088014123179402</v>
      </c>
      <c r="H1934" t="n">
        <v>0.0099236910224697</v>
      </c>
      <c r="I1934" t="n">
        <v>0.6393293639239805</v>
      </c>
      <c r="J1934" t="n">
        <v>0.0010554752780046</v>
      </c>
      <c r="K1934" t="n">
        <v>0.9082908479420718</v>
      </c>
      <c r="L1934" t="b">
        <v>0</v>
      </c>
      <c r="M1934" t="b">
        <v>0</v>
      </c>
      <c r="N1934" t="inlineStr">
        <is>
          <t>ref</t>
        </is>
      </c>
      <c r="O1934" t="n">
        <v>-100</v>
      </c>
      <c r="P1934" t="n">
        <v>0.00587</v>
      </c>
      <c r="Q1934" t="n">
        <v>-45</v>
      </c>
      <c r="R1934" t="n">
        <v>0.05624</v>
      </c>
      <c r="S1934">
        <f>IMAGE("https://mitra.stanford.edu/kundaje/oak/projects/neuro-variants/variant_position/credible/roussos_2024/variant_figures/roussos_2024.childhood.GABA/rs78431385_count_position.png",4,220,900)</f>
        <v/>
      </c>
      <c r="T1934">
        <f>IMAGE("https://mitra.stanford.edu/kundaje/oak/projects/neuro-variants/variant_position/credible/roussos_2024/variant_figures/roussos_2024.childhood.GABA/rs78431385_profile_position.png",4,220,900)</f>
        <v/>
      </c>
    </row>
    <row r="1935">
      <c r="A1935" t="inlineStr">
        <is>
          <t>chr18</t>
        </is>
      </c>
      <c r="B1935" t="n">
        <v>55715473</v>
      </c>
      <c r="C1935" t="inlineStr">
        <is>
          <t>G</t>
        </is>
      </c>
      <c r="D1935" t="inlineStr">
        <is>
          <t>T</t>
        </is>
      </c>
      <c r="E1935" t="inlineStr">
        <is>
          <t>rs184174206</t>
        </is>
      </c>
      <c r="F1935" t="n">
        <v>0.00528073072</v>
      </c>
      <c r="G1935" t="n">
        <v>0.7552502946827087</v>
      </c>
      <c r="H1935" t="n">
        <v>0.0219608788544416</v>
      </c>
      <c r="I1935" t="n">
        <v>0.0502694848626576</v>
      </c>
      <c r="J1935" t="n">
        <v>0.0275564909635399</v>
      </c>
      <c r="K1935" t="n">
        <v>0.5957563573824526</v>
      </c>
      <c r="L1935" t="b">
        <v>0</v>
      </c>
      <c r="M1935" t="b">
        <v>0</v>
      </c>
      <c r="N1935" t="inlineStr">
        <is>
          <t>alt</t>
        </is>
      </c>
      <c r="O1935" t="n">
        <v>0</v>
      </c>
      <c r="P1935" t="n">
        <v>0</v>
      </c>
      <c r="Q1935" t="n">
        <v>75</v>
      </c>
      <c r="R1935" t="n">
        <v>0.2158</v>
      </c>
      <c r="S1935">
        <f>IMAGE("https://mitra.stanford.edu/kundaje/oak/projects/neuro-variants/variant_position/credible/roussos_2024/variant_figures/roussos_2024.childhood.GABA/rs184174206_count_position.png",4,220,900)</f>
        <v/>
      </c>
      <c r="T1935">
        <f>IMAGE("https://mitra.stanford.edu/kundaje/oak/projects/neuro-variants/variant_position/credible/roussos_2024/variant_figures/roussos_2024.childhood.GABA/rs184174206_profile_position.png",4,220,900)</f>
        <v/>
      </c>
    </row>
    <row r="1936">
      <c r="A1936" t="inlineStr">
        <is>
          <t>chr18</t>
        </is>
      </c>
      <c r="B1936" t="n">
        <v>55737463</v>
      </c>
      <c r="C1936" t="inlineStr">
        <is>
          <t>A</t>
        </is>
      </c>
      <c r="D1936" t="inlineStr">
        <is>
          <t>G</t>
        </is>
      </c>
      <c r="E1936" t="inlineStr">
        <is>
          <t>rs813043</t>
        </is>
      </c>
      <c r="F1936" t="n">
        <v>-0.0288094114</v>
      </c>
      <c r="G1936" t="n">
        <v>0.3203654074124847</v>
      </c>
      <c r="H1936" t="n">
        <v>0.0151551264523974</v>
      </c>
      <c r="I1936" t="n">
        <v>0.2182977684328921</v>
      </c>
      <c r="J1936" t="n">
        <v>0.0600050260727523</v>
      </c>
      <c r="K1936" t="n">
        <v>0.4735028959497397</v>
      </c>
      <c r="L1936" t="b">
        <v>0</v>
      </c>
      <c r="M1936" t="b">
        <v>0</v>
      </c>
      <c r="N1936" t="inlineStr">
        <is>
          <t>ref</t>
        </is>
      </c>
      <c r="O1936" t="n">
        <v>70</v>
      </c>
      <c r="P1936" t="n">
        <v>0.003597</v>
      </c>
      <c r="Q1936" t="n">
        <v>-30</v>
      </c>
      <c r="R1936" t="n">
        <v>0.01923</v>
      </c>
      <c r="S1936">
        <f>IMAGE("https://mitra.stanford.edu/kundaje/oak/projects/neuro-variants/variant_position/credible/roussos_2024/variant_figures/roussos_2024.childhood.GABA/rs813043_count_position.png",4,220,900)</f>
        <v/>
      </c>
      <c r="T1936">
        <f>IMAGE("https://mitra.stanford.edu/kundaje/oak/projects/neuro-variants/variant_position/credible/roussos_2024/variant_figures/roussos_2024.childhood.GABA/rs813043_profile_position.png",4,220,900)</f>
        <v/>
      </c>
    </row>
    <row r="1937">
      <c r="A1937" t="inlineStr">
        <is>
          <t>chr18</t>
        </is>
      </c>
      <c r="B1937" t="n">
        <v>55737755</v>
      </c>
      <c r="C1937" t="inlineStr">
        <is>
          <t>C</t>
        </is>
      </c>
      <c r="D1937" t="inlineStr">
        <is>
          <t>T</t>
        </is>
      </c>
      <c r="E1937" t="inlineStr">
        <is>
          <t>rs17527878</t>
        </is>
      </c>
      <c r="F1937" t="n">
        <v>-0.01527477546</v>
      </c>
      <c r="G1937" t="n">
        <v>0.5420980890540691</v>
      </c>
      <c r="H1937" t="n">
        <v>0.0168790021623579</v>
      </c>
      <c r="I1937" t="n">
        <v>0.1472123986509859</v>
      </c>
      <c r="J1937" t="n">
        <v>0.0381520805846997</v>
      </c>
      <c r="K1937" t="n">
        <v>0.5634547424276256</v>
      </c>
      <c r="L1937" t="b">
        <v>0</v>
      </c>
      <c r="M1937" t="b">
        <v>0</v>
      </c>
      <c r="N1937" t="inlineStr">
        <is>
          <t>ref</t>
        </is>
      </c>
      <c r="O1937" t="n">
        <v>-25</v>
      </c>
      <c r="P1937" t="n">
        <v>0.002346</v>
      </c>
      <c r="Q1937" t="n">
        <v>35</v>
      </c>
      <c r="R1937" t="n">
        <v>0.0188</v>
      </c>
      <c r="S1937">
        <f>IMAGE("https://mitra.stanford.edu/kundaje/oak/projects/neuro-variants/variant_position/credible/roussos_2024/variant_figures/roussos_2024.childhood.GABA/rs17527878_count_position.png",4,220,900)</f>
        <v/>
      </c>
      <c r="T1937">
        <f>IMAGE("https://mitra.stanford.edu/kundaje/oak/projects/neuro-variants/variant_position/credible/roussos_2024/variant_figures/roussos_2024.childhood.GABA/rs17527878_profile_position.png",4,220,900)</f>
        <v/>
      </c>
    </row>
    <row r="1938">
      <c r="A1938" t="inlineStr">
        <is>
          <t>chr18</t>
        </is>
      </c>
      <c r="B1938" t="n">
        <v>55747832</v>
      </c>
      <c r="C1938" t="inlineStr">
        <is>
          <t>T</t>
        </is>
      </c>
      <c r="D1938" t="inlineStr">
        <is>
          <t>C</t>
        </is>
      </c>
      <c r="E1938" t="inlineStr">
        <is>
          <t>rs77882218</t>
        </is>
      </c>
      <c r="F1938" t="n">
        <v>0.0028700851</v>
      </c>
      <c r="G1938" t="n">
        <v>0.7833294769216381</v>
      </c>
      <c r="H1938" t="n">
        <v>0.0229164194157485</v>
      </c>
      <c r="I1938" t="n">
        <v>0.0414513478526938</v>
      </c>
      <c r="J1938" t="n">
        <v>0.0405886787711251</v>
      </c>
      <c r="K1938" t="n">
        <v>0.5341426655860338</v>
      </c>
      <c r="L1938" t="b">
        <v>0</v>
      </c>
      <c r="M1938" t="b">
        <v>0</v>
      </c>
      <c r="N1938" t="inlineStr">
        <is>
          <t>alt</t>
        </is>
      </c>
      <c r="O1938" t="n">
        <v>-40</v>
      </c>
      <c r="P1938" t="n">
        <v>0.0008984</v>
      </c>
      <c r="Q1938" t="n">
        <v>45</v>
      </c>
      <c r="R1938" t="n">
        <v>0.02975</v>
      </c>
      <c r="S1938">
        <f>IMAGE("https://mitra.stanford.edu/kundaje/oak/projects/neuro-variants/variant_position/credible/roussos_2024/variant_figures/roussos_2024.childhood.GABA/rs77882218_count_position.png",4,220,900)</f>
        <v/>
      </c>
      <c r="T1938">
        <f>IMAGE("https://mitra.stanford.edu/kundaje/oak/projects/neuro-variants/variant_position/credible/roussos_2024/variant_figures/roussos_2024.childhood.GABA/rs77882218_profile_position.png",4,220,900)</f>
        <v/>
      </c>
    </row>
    <row r="1939">
      <c r="A1939" t="inlineStr">
        <is>
          <t>chr18</t>
        </is>
      </c>
      <c r="B1939" t="n">
        <v>55786122</v>
      </c>
      <c r="C1939" t="inlineStr">
        <is>
          <t>A</t>
        </is>
      </c>
      <c r="D1939" t="inlineStr">
        <is>
          <t>G</t>
        </is>
      </c>
      <c r="E1939" t="inlineStr">
        <is>
          <t>rs72932579</t>
        </is>
      </c>
      <c r="F1939" t="n">
        <v>0.0457093636</v>
      </c>
      <c r="G1939" t="n">
        <v>0.1600529043534366</v>
      </c>
      <c r="H1939" t="n">
        <v>0.0131491429540033</v>
      </c>
      <c r="I1939" t="n">
        <v>0.3408586757098731</v>
      </c>
      <c r="J1939" t="n">
        <v>0.0116615358840652</v>
      </c>
      <c r="K1939" t="n">
        <v>0.7273285399327447</v>
      </c>
      <c r="L1939" t="b">
        <v>0</v>
      </c>
      <c r="M1939" t="b">
        <v>0</v>
      </c>
      <c r="N1939" t="inlineStr">
        <is>
          <t>alt</t>
        </is>
      </c>
      <c r="O1939" t="n">
        <v>-100</v>
      </c>
      <c r="P1939" t="n">
        <v>0.02727</v>
      </c>
      <c r="Q1939" t="n">
        <v>-20</v>
      </c>
      <c r="R1939" t="n">
        <v>0.00925</v>
      </c>
      <c r="S1939">
        <f>IMAGE("https://mitra.stanford.edu/kundaje/oak/projects/neuro-variants/variant_position/credible/roussos_2024/variant_figures/roussos_2024.childhood.GABA/rs72932579_count_position.png",4,220,900)</f>
        <v/>
      </c>
      <c r="T1939">
        <f>IMAGE("https://mitra.stanford.edu/kundaje/oak/projects/neuro-variants/variant_position/credible/roussos_2024/variant_figures/roussos_2024.childhood.GABA/rs72932579_profile_position.png",4,220,900)</f>
        <v/>
      </c>
    </row>
    <row r="1940">
      <c r="A1940" t="inlineStr">
        <is>
          <t>chr18</t>
        </is>
      </c>
      <c r="B1940" t="n">
        <v>55822147</v>
      </c>
      <c r="C1940" t="inlineStr">
        <is>
          <t>C</t>
        </is>
      </c>
      <c r="D1940" t="inlineStr">
        <is>
          <t>A</t>
        </is>
      </c>
      <c r="E1940" t="inlineStr">
        <is>
          <t>rs75882620</t>
        </is>
      </c>
      <c r="F1940" t="n">
        <v>0.00713056942</v>
      </c>
      <c r="G1940" t="n">
        <v>0.6274131759332263</v>
      </c>
      <c r="H1940" t="n">
        <v>0.02377353419456</v>
      </c>
      <c r="I1940" t="n">
        <v>0.0354348021910072</v>
      </c>
      <c r="J1940" t="n">
        <v>0.0609840631609808</v>
      </c>
      <c r="K1940" t="n">
        <v>0.4486193071307489</v>
      </c>
      <c r="L1940" t="b">
        <v>0</v>
      </c>
      <c r="M1940" t="b">
        <v>0</v>
      </c>
      <c r="N1940" t="inlineStr">
        <is>
          <t>alt</t>
        </is>
      </c>
      <c r="O1940" t="n">
        <v>-70</v>
      </c>
      <c r="P1940" t="n">
        <v>0.00874</v>
      </c>
      <c r="Q1940" t="n">
        <v>-40</v>
      </c>
      <c r="R1940" t="n">
        <v>0.03986</v>
      </c>
      <c r="S1940">
        <f>IMAGE("https://mitra.stanford.edu/kundaje/oak/projects/neuro-variants/variant_position/credible/roussos_2024/variant_figures/roussos_2024.childhood.GABA/rs75882620_count_position.png",4,220,900)</f>
        <v/>
      </c>
      <c r="T1940">
        <f>IMAGE("https://mitra.stanford.edu/kundaje/oak/projects/neuro-variants/variant_position/credible/roussos_2024/variant_figures/roussos_2024.childhood.GABA/rs75882620_profile_position.png",4,220,900)</f>
        <v/>
      </c>
    </row>
    <row r="1941">
      <c r="A1941" t="inlineStr">
        <is>
          <t>chr18</t>
        </is>
      </c>
      <c r="B1941" t="n">
        <v>55889643</v>
      </c>
      <c r="C1941" t="inlineStr">
        <is>
          <t>G</t>
        </is>
      </c>
      <c r="D1941" t="inlineStr">
        <is>
          <t>A</t>
        </is>
      </c>
      <c r="E1941" t="inlineStr">
        <is>
          <t>rs148652326</t>
        </is>
      </c>
      <c r="F1941" t="n">
        <v>-0.08724028239999999</v>
      </c>
      <c r="G1941" t="n">
        <v>0.0521767323008801</v>
      </c>
      <c r="H1941" t="n">
        <v>0.0189328006200531</v>
      </c>
      <c r="I1941" t="n">
        <v>0.0957407686083547</v>
      </c>
      <c r="J1941" t="n">
        <v>0.0093547779104102</v>
      </c>
      <c r="K1941" t="n">
        <v>0.7576729203422201</v>
      </c>
      <c r="L1941" t="b">
        <v>0</v>
      </c>
      <c r="M1941" t="b">
        <v>0</v>
      </c>
      <c r="N1941" t="inlineStr">
        <is>
          <t>ref</t>
        </is>
      </c>
      <c r="O1941" t="n">
        <v>100</v>
      </c>
      <c r="P1941" t="n">
        <v>0.01276</v>
      </c>
      <c r="Q1941" t="n">
        <v>-20</v>
      </c>
      <c r="R1941" t="n">
        <v>0.0672</v>
      </c>
      <c r="S1941">
        <f>IMAGE("https://mitra.stanford.edu/kundaje/oak/projects/neuro-variants/variant_position/credible/roussos_2024/variant_figures/roussos_2024.childhood.GABA/rs148652326_count_position.png",4,220,900)</f>
        <v/>
      </c>
      <c r="T1941">
        <f>IMAGE("https://mitra.stanford.edu/kundaje/oak/projects/neuro-variants/variant_position/credible/roussos_2024/variant_figures/roussos_2024.childhood.GABA/rs148652326_profile_position.png",4,220,900)</f>
        <v/>
      </c>
    </row>
    <row r="1942">
      <c r="A1942" t="inlineStr">
        <is>
          <t>chr18</t>
        </is>
      </c>
      <c r="B1942" t="n">
        <v>55898056</v>
      </c>
      <c r="C1942" t="inlineStr">
        <is>
          <t>T</t>
        </is>
      </c>
      <c r="D1942" t="inlineStr">
        <is>
          <t>C</t>
        </is>
      </c>
      <c r="E1942" t="inlineStr">
        <is>
          <t>rs17602354</t>
        </is>
      </c>
      <c r="F1942" t="n">
        <v>-0.0355486007999999</v>
      </c>
      <c r="G1942" t="n">
        <v>0.2505390033728793</v>
      </c>
      <c r="H1942" t="n">
        <v>0.0088764051720447</v>
      </c>
      <c r="I1942" t="n">
        <v>0.7698620174462079</v>
      </c>
      <c r="J1942" t="n">
        <v>0.0654562208121295</v>
      </c>
      <c r="K1942" t="n">
        <v>0.4384267155668934</v>
      </c>
      <c r="L1942" t="b">
        <v>0</v>
      </c>
      <c r="M1942" t="b">
        <v>0</v>
      </c>
      <c r="N1942" t="inlineStr">
        <is>
          <t>ref</t>
        </is>
      </c>
      <c r="O1942" t="n">
        <v>-45</v>
      </c>
      <c r="P1942" t="n">
        <v>0.01213</v>
      </c>
      <c r="Q1942" t="n">
        <v>95</v>
      </c>
      <c r="R1942" t="n">
        <v>0.07275</v>
      </c>
      <c r="S1942">
        <f>IMAGE("https://mitra.stanford.edu/kundaje/oak/projects/neuro-variants/variant_position/credible/roussos_2024/variant_figures/roussos_2024.childhood.GABA/rs17602354_count_position.png",4,220,900)</f>
        <v/>
      </c>
      <c r="T1942">
        <f>IMAGE("https://mitra.stanford.edu/kundaje/oak/projects/neuro-variants/variant_position/credible/roussos_2024/variant_figures/roussos_2024.childhood.GABA/rs17602354_profile_position.png",4,220,900)</f>
        <v/>
      </c>
    </row>
    <row r="1943">
      <c r="A1943" t="inlineStr">
        <is>
          <t>chr18</t>
        </is>
      </c>
      <c r="B1943" t="n">
        <v>55924568</v>
      </c>
      <c r="C1943" t="inlineStr">
        <is>
          <t>C</t>
        </is>
      </c>
      <c r="D1943" t="inlineStr">
        <is>
          <t>T</t>
        </is>
      </c>
      <c r="E1943" t="inlineStr">
        <is>
          <t>rs61576172</t>
        </is>
      </c>
      <c r="F1943" t="n">
        <v>-0.01044999094</v>
      </c>
      <c r="G1943" t="n">
        <v>0.6288744667546824</v>
      </c>
      <c r="H1943" t="n">
        <v>0.0142786007167045</v>
      </c>
      <c r="I1943" t="n">
        <v>0.2625056970141856</v>
      </c>
      <c r="J1943" t="n">
        <v>0.0046386463110719</v>
      </c>
      <c r="K1943" t="n">
        <v>0.8195435315274343</v>
      </c>
      <c r="L1943" t="b">
        <v>0</v>
      </c>
      <c r="M1943" t="b">
        <v>0</v>
      </c>
      <c r="N1943" t="inlineStr">
        <is>
          <t>ref</t>
        </is>
      </c>
      <c r="O1943" t="n">
        <v>-100</v>
      </c>
      <c r="P1943" t="n">
        <v>0.001707</v>
      </c>
      <c r="Q1943" t="n">
        <v>85</v>
      </c>
      <c r="R1943" t="n">
        <v>0.05237</v>
      </c>
      <c r="S1943">
        <f>IMAGE("https://mitra.stanford.edu/kundaje/oak/projects/neuro-variants/variant_position/credible/roussos_2024/variant_figures/roussos_2024.childhood.GABA/rs61576172_count_position.png",4,220,900)</f>
        <v/>
      </c>
      <c r="T1943">
        <f>IMAGE("https://mitra.stanford.edu/kundaje/oak/projects/neuro-variants/variant_position/credible/roussos_2024/variant_figures/roussos_2024.childhood.GABA/rs61576172_profile_position.png",4,220,900)</f>
        <v/>
      </c>
    </row>
    <row r="1944">
      <c r="A1944" t="inlineStr">
        <is>
          <t>chr18</t>
        </is>
      </c>
      <c r="B1944" t="n">
        <v>55953317</v>
      </c>
      <c r="C1944" t="inlineStr">
        <is>
          <t>C</t>
        </is>
      </c>
      <c r="D1944" t="inlineStr">
        <is>
          <t>G</t>
        </is>
      </c>
      <c r="E1944" t="inlineStr">
        <is>
          <t>rs118115105</t>
        </is>
      </c>
      <c r="F1944" t="n">
        <v>-0.0978796187999999</v>
      </c>
      <c r="G1944" t="n">
        <v>0.0340927073220783</v>
      </c>
      <c r="H1944" t="n">
        <v>0.0246949520321389</v>
      </c>
      <c r="I1944" t="n">
        <v>0.0307164716633882</v>
      </c>
      <c r="J1944" t="n">
        <v>0.342830516638395</v>
      </c>
      <c r="K1944" t="n">
        <v>0.1122455498750204</v>
      </c>
      <c r="L1944" t="b">
        <v>0</v>
      </c>
      <c r="M1944" t="b">
        <v>0</v>
      </c>
      <c r="N1944" t="inlineStr">
        <is>
          <t>ref</t>
        </is>
      </c>
      <c r="O1944" t="n">
        <v>80</v>
      </c>
      <c r="P1944" t="n">
        <v>0.01048</v>
      </c>
      <c r="Q1944" t="n">
        <v>90</v>
      </c>
      <c r="R1944" t="n">
        <v>0.10443</v>
      </c>
      <c r="S1944">
        <f>IMAGE("https://mitra.stanford.edu/kundaje/oak/projects/neuro-variants/variant_position/credible/roussos_2024/variant_figures/roussos_2024.childhood.GABA/rs118115105_count_position.png",4,220,900)</f>
        <v/>
      </c>
      <c r="T1944">
        <f>IMAGE("https://mitra.stanford.edu/kundaje/oak/projects/neuro-variants/variant_position/credible/roussos_2024/variant_figures/roussos_2024.childhood.GABA/rs118115105_profile_position.png",4,220,900)</f>
        <v/>
      </c>
    </row>
    <row r="1945">
      <c r="A1945" t="inlineStr">
        <is>
          <t>chr18</t>
        </is>
      </c>
      <c r="B1945" t="n">
        <v>55957436</v>
      </c>
      <c r="C1945" t="inlineStr">
        <is>
          <t>C</t>
        </is>
      </c>
      <c r="D1945" t="inlineStr">
        <is>
          <t>T</t>
        </is>
      </c>
      <c r="E1945" t="inlineStr">
        <is>
          <t>rs56062547</t>
        </is>
      </c>
      <c r="F1945" t="n">
        <v>-0.0462988356</v>
      </c>
      <c r="G1945" t="n">
        <v>0.1625329626211779</v>
      </c>
      <c r="H1945" t="n">
        <v>0.0143709942124148</v>
      </c>
      <c r="I1945" t="n">
        <v>0.257701353841306</v>
      </c>
      <c r="J1945" t="n">
        <v>0.1600668048836672</v>
      </c>
      <c r="K1945" t="n">
        <v>0.2617732054830439</v>
      </c>
      <c r="L1945" t="b">
        <v>0</v>
      </c>
      <c r="M1945" t="b">
        <v>0</v>
      </c>
      <c r="N1945" t="inlineStr">
        <is>
          <t>ref</t>
        </is>
      </c>
      <c r="O1945" t="n">
        <v>45</v>
      </c>
      <c r="P1945" t="n">
        <v>0.003527</v>
      </c>
      <c r="Q1945" t="n">
        <v>80</v>
      </c>
      <c r="R1945" t="n">
        <v>0.0989</v>
      </c>
      <c r="S1945">
        <f>IMAGE("https://mitra.stanford.edu/kundaje/oak/projects/neuro-variants/variant_position/credible/roussos_2024/variant_figures/roussos_2024.childhood.GABA/rs56062547_count_position.png",4,220,900)</f>
        <v/>
      </c>
      <c r="T1945">
        <f>IMAGE("https://mitra.stanford.edu/kundaje/oak/projects/neuro-variants/variant_position/credible/roussos_2024/variant_figures/roussos_2024.childhood.GABA/rs56062547_profile_position.png",4,220,900)</f>
        <v/>
      </c>
    </row>
    <row r="1946">
      <c r="A1946" t="inlineStr">
        <is>
          <t>chr18</t>
        </is>
      </c>
      <c r="B1946" t="n">
        <v>55973548</v>
      </c>
      <c r="C1946" t="inlineStr">
        <is>
          <t>G</t>
        </is>
      </c>
      <c r="D1946" t="inlineStr">
        <is>
          <t>A</t>
        </is>
      </c>
      <c r="E1946" t="inlineStr">
        <is>
          <t>rs1424401</t>
        </is>
      </c>
      <c r="F1946" t="n">
        <v>0.0509593092</v>
      </c>
      <c r="G1946" t="n">
        <v>0.1462220910542628</v>
      </c>
      <c r="H1946" t="n">
        <v>0.0237238467077683</v>
      </c>
      <c r="I1946" t="n">
        <v>0.0370109715977276</v>
      </c>
      <c r="J1946" t="n">
        <v>0.0040836841113274</v>
      </c>
      <c r="K1946" t="n">
        <v>0.8293770116306398</v>
      </c>
      <c r="L1946" t="b">
        <v>0</v>
      </c>
      <c r="M1946" t="b">
        <v>0</v>
      </c>
      <c r="N1946" t="inlineStr">
        <is>
          <t>alt</t>
        </is>
      </c>
      <c r="O1946" t="n">
        <v>70</v>
      </c>
      <c r="P1946" t="n">
        <v>0.0221</v>
      </c>
      <c r="Q1946" t="n">
        <v>45</v>
      </c>
      <c r="R1946" t="n">
        <v>0.065</v>
      </c>
      <c r="S1946">
        <f>IMAGE("https://mitra.stanford.edu/kundaje/oak/projects/neuro-variants/variant_position/credible/roussos_2024/variant_figures/roussos_2024.childhood.GABA/rs1424401_count_position.png",4,220,900)</f>
        <v/>
      </c>
      <c r="T1946">
        <f>IMAGE("https://mitra.stanford.edu/kundaje/oak/projects/neuro-variants/variant_position/credible/roussos_2024/variant_figures/roussos_2024.childhood.GABA/rs1424401_profile_position.png",4,220,900)</f>
        <v/>
      </c>
    </row>
    <row r="1947">
      <c r="A1947" t="inlineStr">
        <is>
          <t>chr18</t>
        </is>
      </c>
      <c r="B1947" t="n">
        <v>55983078</v>
      </c>
      <c r="C1947" t="inlineStr">
        <is>
          <t>A</t>
        </is>
      </c>
      <c r="D1947" t="inlineStr">
        <is>
          <t>G</t>
        </is>
      </c>
      <c r="E1947" t="inlineStr">
        <is>
          <t>rs2902193</t>
        </is>
      </c>
      <c r="F1947" t="n">
        <v>-0.0115784463</v>
      </c>
      <c r="G1947" t="n">
        <v>0.5739414363608282</v>
      </c>
      <c r="H1947" t="n">
        <v>0.0125301351364284</v>
      </c>
      <c r="I1947" t="n">
        <v>0.3813831919555236</v>
      </c>
      <c r="J1947" t="n">
        <v>0.0563338987665179</v>
      </c>
      <c r="K1947" t="n">
        <v>0.4807380739417248</v>
      </c>
      <c r="L1947" t="b">
        <v>0</v>
      </c>
      <c r="M1947" t="b">
        <v>0</v>
      </c>
      <c r="N1947" t="inlineStr">
        <is>
          <t>ref</t>
        </is>
      </c>
      <c r="O1947" t="n">
        <v>100</v>
      </c>
      <c r="P1947" t="n">
        <v>0.003456</v>
      </c>
      <c r="Q1947" t="n">
        <v>100</v>
      </c>
      <c r="R1947" t="n">
        <v>0.1353</v>
      </c>
      <c r="S1947">
        <f>IMAGE("https://mitra.stanford.edu/kundaje/oak/projects/neuro-variants/variant_position/credible/roussos_2024/variant_figures/roussos_2024.childhood.GABA/rs2902193_count_position.png",4,220,900)</f>
        <v/>
      </c>
      <c r="T1947">
        <f>IMAGE("https://mitra.stanford.edu/kundaje/oak/projects/neuro-variants/variant_position/credible/roussos_2024/variant_figures/roussos_2024.childhood.GABA/rs2902193_profile_position.png",4,220,900)</f>
        <v/>
      </c>
    </row>
    <row r="1948">
      <c r="A1948" t="inlineStr">
        <is>
          <t>chr18</t>
        </is>
      </c>
      <c r="B1948" t="n">
        <v>55983715</v>
      </c>
      <c r="C1948" t="inlineStr">
        <is>
          <t>G</t>
        </is>
      </c>
      <c r="D1948" t="inlineStr">
        <is>
          <t>A</t>
        </is>
      </c>
      <c r="E1948" t="inlineStr">
        <is>
          <t>rs10164243</t>
        </is>
      </c>
      <c r="F1948" t="n">
        <v>-0.071425983</v>
      </c>
      <c r="G1948" t="n">
        <v>0.07710539208439</v>
      </c>
      <c r="H1948" t="n">
        <v>0.0156181901767521</v>
      </c>
      <c r="I1948" t="n">
        <v>0.1968600873071194</v>
      </c>
      <c r="J1948" t="n">
        <v>0.1831783627568008</v>
      </c>
      <c r="K1948" t="n">
        <v>0.2302844898081327</v>
      </c>
      <c r="L1948" t="b">
        <v>0</v>
      </c>
      <c r="M1948" t="b">
        <v>0</v>
      </c>
      <c r="N1948" t="inlineStr">
        <is>
          <t>ref</t>
        </is>
      </c>
      <c r="O1948" t="n">
        <v>-55</v>
      </c>
      <c r="P1948" t="n">
        <v>0.0173</v>
      </c>
      <c r="Q1948" t="n">
        <v>-60</v>
      </c>
      <c r="R1948" t="n">
        <v>0.2798</v>
      </c>
      <c r="S1948">
        <f>IMAGE("https://mitra.stanford.edu/kundaje/oak/projects/neuro-variants/variant_position/credible/roussos_2024/variant_figures/roussos_2024.childhood.GABA/rs10164243_count_position.png",4,220,900)</f>
        <v/>
      </c>
      <c r="T1948">
        <f>IMAGE("https://mitra.stanford.edu/kundaje/oak/projects/neuro-variants/variant_position/credible/roussos_2024/variant_figures/roussos_2024.childhood.GABA/rs10164243_profile_position.png",4,220,900)</f>
        <v/>
      </c>
    </row>
    <row r="1949">
      <c r="A1949" t="inlineStr">
        <is>
          <t>chr18</t>
        </is>
      </c>
      <c r="B1949" t="n">
        <v>55998167</v>
      </c>
      <c r="C1949" t="inlineStr">
        <is>
          <t>G</t>
        </is>
      </c>
      <c r="D1949" t="inlineStr">
        <is>
          <t>T</t>
        </is>
      </c>
      <c r="E1949" t="inlineStr">
        <is>
          <t>rs1862920</t>
        </is>
      </c>
      <c r="F1949" t="n">
        <v>0.30938204</v>
      </c>
      <c r="G1949" t="n">
        <v>0.0013112001789928</v>
      </c>
      <c r="H1949" t="n">
        <v>0.0616285030666938</v>
      </c>
      <c r="I1949" t="n">
        <v>0.0009494027819689</v>
      </c>
      <c r="J1949" t="n">
        <v>0.6011727503088941</v>
      </c>
      <c r="K1949" t="n">
        <v>0.029234792121886</v>
      </c>
      <c r="L1949" t="b">
        <v>1</v>
      </c>
      <c r="M1949" t="b">
        <v>1</v>
      </c>
      <c r="N1949" t="inlineStr">
        <is>
          <t>alt</t>
        </is>
      </c>
      <c r="O1949" t="n">
        <v>85</v>
      </c>
      <c r="P1949" t="n">
        <v>0.002472</v>
      </c>
      <c r="Q1949" t="n">
        <v>50</v>
      </c>
      <c r="R1949" t="n">
        <v>0.1318</v>
      </c>
      <c r="S1949">
        <f>IMAGE("https://mitra.stanford.edu/kundaje/oak/projects/neuro-variants/variant_position/credible/roussos_2024/variant_figures/roussos_2024.childhood.GABA/rs1862920_count_position.png",4,220,900)</f>
        <v/>
      </c>
      <c r="T1949">
        <f>IMAGE("https://mitra.stanford.edu/kundaje/oak/projects/neuro-variants/variant_position/credible/roussos_2024/variant_figures/roussos_2024.childhood.GABA/rs1862920_profile_position.png",4,220,900)</f>
        <v/>
      </c>
    </row>
    <row r="1950">
      <c r="A1950" t="inlineStr">
        <is>
          <t>chr18</t>
        </is>
      </c>
      <c r="B1950" t="n">
        <v>56112798</v>
      </c>
      <c r="C1950" t="inlineStr">
        <is>
          <t>T</t>
        </is>
      </c>
      <c r="D1950" t="inlineStr">
        <is>
          <t>A</t>
        </is>
      </c>
      <c r="E1950" t="inlineStr">
        <is>
          <t>rs1789562</t>
        </is>
      </c>
      <c r="F1950" t="n">
        <v>0.00071101972</v>
      </c>
      <c r="G1950" t="n">
        <v>0.7490418377423695</v>
      </c>
      <c r="H1950" t="n">
        <v>0.0272121406857652</v>
      </c>
      <c r="I1950" t="n">
        <v>0.0195206408249187</v>
      </c>
      <c r="J1950" t="n">
        <v>0.0435268371343008</v>
      </c>
      <c r="K1950" t="n">
        <v>0.5194893991223314</v>
      </c>
      <c r="L1950" t="b">
        <v>1</v>
      </c>
      <c r="M1950" t="b">
        <v>0</v>
      </c>
      <c r="N1950" t="inlineStr">
        <is>
          <t>alt</t>
        </is>
      </c>
      <c r="O1950" t="n">
        <v>-100</v>
      </c>
      <c r="P1950" t="n">
        <v>0.01492</v>
      </c>
      <c r="Q1950" t="n">
        <v>-70</v>
      </c>
      <c r="R1950" t="n">
        <v>0.199</v>
      </c>
      <c r="S1950">
        <f>IMAGE("https://mitra.stanford.edu/kundaje/oak/projects/neuro-variants/variant_position/credible/roussos_2024/variant_figures/roussos_2024.childhood.GABA/rs1789562_count_position.png",4,220,900)</f>
        <v/>
      </c>
      <c r="T1950">
        <f>IMAGE("https://mitra.stanford.edu/kundaje/oak/projects/neuro-variants/variant_position/credible/roussos_2024/variant_figures/roussos_2024.childhood.GABA/rs1789562_profile_position.png",4,220,900)</f>
        <v/>
      </c>
    </row>
    <row r="1951">
      <c r="A1951" t="inlineStr">
        <is>
          <t>chr18</t>
        </is>
      </c>
      <c r="B1951" t="n">
        <v>56221791</v>
      </c>
      <c r="C1951" t="inlineStr">
        <is>
          <t>A</t>
        </is>
      </c>
      <c r="D1951" t="inlineStr">
        <is>
          <t>C</t>
        </is>
      </c>
      <c r="E1951" t="inlineStr">
        <is>
          <t>rs75104423</t>
        </is>
      </c>
      <c r="F1951" t="n">
        <v>0.0104146138</v>
      </c>
      <c r="G1951" t="n">
        <v>0.5577061418945454</v>
      </c>
      <c r="H1951" t="n">
        <v>0.0068033278226375</v>
      </c>
      <c r="I1951" t="n">
        <v>0.9584063638486022</v>
      </c>
      <c r="J1951" t="n">
        <v>0.053304642834705</v>
      </c>
      <c r="K1951" t="n">
        <v>0.4758369515450122</v>
      </c>
      <c r="L1951" t="b">
        <v>0</v>
      </c>
      <c r="M1951" t="b">
        <v>0</v>
      </c>
      <c r="N1951" t="inlineStr">
        <is>
          <t>alt</t>
        </is>
      </c>
      <c r="O1951" t="n">
        <v>-90</v>
      </c>
      <c r="P1951" t="n">
        <v>0.01241</v>
      </c>
      <c r="Q1951" t="n">
        <v>-90</v>
      </c>
      <c r="R1951" t="n">
        <v>0.07000000000000001</v>
      </c>
      <c r="S1951">
        <f>IMAGE("https://mitra.stanford.edu/kundaje/oak/projects/neuro-variants/variant_position/credible/roussos_2024/variant_figures/roussos_2024.childhood.GABA/rs75104423_count_position.png",4,220,900)</f>
        <v/>
      </c>
      <c r="T1951">
        <f>IMAGE("https://mitra.stanford.edu/kundaje/oak/projects/neuro-variants/variant_position/credible/roussos_2024/variant_figures/roussos_2024.childhood.GABA/rs75104423_profile_position.png",4,220,900)</f>
        <v/>
      </c>
    </row>
    <row r="1952">
      <c r="A1952" t="inlineStr">
        <is>
          <t>chr18</t>
        </is>
      </c>
      <c r="B1952" t="n">
        <v>56333783</v>
      </c>
      <c r="C1952" t="inlineStr">
        <is>
          <t>C</t>
        </is>
      </c>
      <c r="D1952" t="inlineStr">
        <is>
          <t>T</t>
        </is>
      </c>
      <c r="E1952" t="inlineStr">
        <is>
          <t>rs62091470</t>
        </is>
      </c>
      <c r="F1952" t="n">
        <v>0.0017323438</v>
      </c>
      <c r="G1952" t="n">
        <v>0.6080702960307909</v>
      </c>
      <c r="H1952" t="n">
        <v>0.0110493336149905</v>
      </c>
      <c r="I1952" t="n">
        <v>0.528850662218583</v>
      </c>
      <c r="J1952" t="n">
        <v>0.06363217524240319</v>
      </c>
      <c r="K1952" t="n">
        <v>0.4484583563176766</v>
      </c>
      <c r="L1952" t="b">
        <v>0</v>
      </c>
      <c r="M1952" t="b">
        <v>0</v>
      </c>
      <c r="N1952" t="inlineStr">
        <is>
          <t>alt</t>
        </is>
      </c>
      <c r="O1952" t="n">
        <v>-100</v>
      </c>
      <c r="P1952" t="n">
        <v>0.005577</v>
      </c>
      <c r="Q1952" t="n">
        <v>100</v>
      </c>
      <c r="R1952" t="n">
        <v>0.1526</v>
      </c>
      <c r="S1952">
        <f>IMAGE("https://mitra.stanford.edu/kundaje/oak/projects/neuro-variants/variant_position/credible/roussos_2024/variant_figures/roussos_2024.childhood.GABA/rs62091470_count_position.png",4,220,900)</f>
        <v/>
      </c>
      <c r="T1952">
        <f>IMAGE("https://mitra.stanford.edu/kundaje/oak/projects/neuro-variants/variant_position/credible/roussos_2024/variant_figures/roussos_2024.childhood.GABA/rs62091470_profile_position.png",4,220,900)</f>
        <v/>
      </c>
    </row>
    <row r="1953">
      <c r="A1953" t="inlineStr">
        <is>
          <t>chr18</t>
        </is>
      </c>
      <c r="B1953" t="n">
        <v>56339270</v>
      </c>
      <c r="C1953" t="inlineStr">
        <is>
          <t>C</t>
        </is>
      </c>
      <c r="D1953" t="inlineStr">
        <is>
          <t>T</t>
        </is>
      </c>
      <c r="E1953" t="inlineStr">
        <is>
          <t>rs62091471</t>
        </is>
      </c>
      <c r="F1953" t="n">
        <v>-0.0386752353999999</v>
      </c>
      <c r="G1953" t="n">
        <v>0.223437180437046</v>
      </c>
      <c r="H1953" t="n">
        <v>0.0128723479677137</v>
      </c>
      <c r="I1953" t="n">
        <v>0.3624765988405632</v>
      </c>
      <c r="J1953" t="n">
        <v>0.0431655881552218</v>
      </c>
      <c r="K1953" t="n">
        <v>0.5345141422009791</v>
      </c>
      <c r="L1953" t="b">
        <v>0</v>
      </c>
      <c r="M1953" t="b">
        <v>0</v>
      </c>
      <c r="N1953" t="inlineStr">
        <is>
          <t>ref</t>
        </is>
      </c>
      <c r="O1953" t="n">
        <v>100</v>
      </c>
      <c r="P1953" t="n">
        <v>0.00306</v>
      </c>
      <c r="Q1953" t="n">
        <v>95</v>
      </c>
      <c r="R1953" t="n">
        <v>0.01007</v>
      </c>
      <c r="S1953">
        <f>IMAGE("https://mitra.stanford.edu/kundaje/oak/projects/neuro-variants/variant_position/credible/roussos_2024/variant_figures/roussos_2024.childhood.GABA/rs62091471_count_position.png",4,220,900)</f>
        <v/>
      </c>
      <c r="T1953">
        <f>IMAGE("https://mitra.stanford.edu/kundaje/oak/projects/neuro-variants/variant_position/credible/roussos_2024/variant_figures/roussos_2024.childhood.GABA/rs62091471_profile_position.png",4,220,900)</f>
        <v/>
      </c>
    </row>
    <row r="1954">
      <c r="A1954" t="inlineStr">
        <is>
          <t>chr18</t>
        </is>
      </c>
      <c r="B1954" t="n">
        <v>69858790</v>
      </c>
      <c r="C1954" t="inlineStr">
        <is>
          <t>T</t>
        </is>
      </c>
      <c r="D1954" t="inlineStr">
        <is>
          <t>C</t>
        </is>
      </c>
      <c r="E1954" t="inlineStr">
        <is>
          <t>rs1808094</t>
        </is>
      </c>
      <c r="F1954" t="n">
        <v>0.0198140034</v>
      </c>
      <c r="G1954" t="n">
        <v>0.4078319243482017</v>
      </c>
      <c r="H1954" t="n">
        <v>0.0129145125273059</v>
      </c>
      <c r="I1954" t="n">
        <v>0.3567837862029159</v>
      </c>
      <c r="J1954" t="n">
        <v>0.1027748109987225</v>
      </c>
      <c r="K1954" t="n">
        <v>0.3461457224641018</v>
      </c>
      <c r="L1954" t="b">
        <v>0</v>
      </c>
      <c r="M1954" t="b">
        <v>0</v>
      </c>
      <c r="N1954" t="inlineStr">
        <is>
          <t>alt</t>
        </is>
      </c>
      <c r="O1954" t="n">
        <v>-90</v>
      </c>
      <c r="P1954" t="n">
        <v>0.003723</v>
      </c>
      <c r="Q1954" t="n">
        <v>-90</v>
      </c>
      <c r="R1954" t="n">
        <v>0.1409</v>
      </c>
      <c r="S1954">
        <f>IMAGE("https://mitra.stanford.edu/kundaje/oak/projects/neuro-variants/variant_position/credible/roussos_2024/variant_figures/roussos_2024.childhood.GABA/rs1808094_count_position.png",4,220,900)</f>
        <v/>
      </c>
      <c r="T1954">
        <f>IMAGE("https://mitra.stanford.edu/kundaje/oak/projects/neuro-variants/variant_position/credible/roussos_2024/variant_figures/roussos_2024.childhood.GABA/rs1808094_profile_position.png",4,220,900)</f>
        <v/>
      </c>
    </row>
    <row r="1955">
      <c r="A1955" t="inlineStr">
        <is>
          <t>chr18</t>
        </is>
      </c>
      <c r="B1955" t="n">
        <v>69860524</v>
      </c>
      <c r="C1955" t="inlineStr">
        <is>
          <t>T</t>
        </is>
      </c>
      <c r="D1955" t="inlineStr">
        <is>
          <t>G</t>
        </is>
      </c>
      <c r="E1955" t="inlineStr">
        <is>
          <t>rs1790947</t>
        </is>
      </c>
      <c r="F1955" t="n">
        <v>-0.0410045904</v>
      </c>
      <c r="G1955" t="n">
        <v>0.2293942513302111</v>
      </c>
      <c r="H1955" t="n">
        <v>0.0327563758687324</v>
      </c>
      <c r="I1955" t="n">
        <v>0.008576895410955101</v>
      </c>
      <c r="J1955" t="n">
        <v>0.0096804255408263</v>
      </c>
      <c r="K1955" t="n">
        <v>0.7546817735673571</v>
      </c>
      <c r="L1955" t="b">
        <v>0</v>
      </c>
      <c r="M1955" t="b">
        <v>0</v>
      </c>
      <c r="N1955" t="inlineStr">
        <is>
          <t>ref</t>
        </is>
      </c>
      <c r="O1955" t="n">
        <v>100</v>
      </c>
      <c r="P1955" t="n">
        <v>0.005714</v>
      </c>
      <c r="Q1955" t="n">
        <v>0</v>
      </c>
      <c r="R1955" t="n">
        <v>0</v>
      </c>
      <c r="S1955">
        <f>IMAGE("https://mitra.stanford.edu/kundaje/oak/projects/neuro-variants/variant_position/credible/roussos_2024/variant_figures/roussos_2024.childhood.GABA/rs1790947_count_position.png",4,220,900)</f>
        <v/>
      </c>
      <c r="T1955">
        <f>IMAGE("https://mitra.stanford.edu/kundaje/oak/projects/neuro-variants/variant_position/credible/roussos_2024/variant_figures/roussos_2024.childhood.GABA/rs1790947_profile_position.png",4,220,900)</f>
        <v/>
      </c>
    </row>
    <row r="1956">
      <c r="A1956" t="inlineStr">
        <is>
          <t>chr18</t>
        </is>
      </c>
      <c r="B1956" t="n">
        <v>69866096</v>
      </c>
      <c r="C1956" t="inlineStr">
        <is>
          <t>T</t>
        </is>
      </c>
      <c r="D1956" t="inlineStr">
        <is>
          <t>C</t>
        </is>
      </c>
      <c r="E1956" t="inlineStr">
        <is>
          <t>rs56249713</t>
        </is>
      </c>
      <c r="F1956" t="n">
        <v>0.041247918</v>
      </c>
      <c r="G1956" t="n">
        <v>0.1898577208481895</v>
      </c>
      <c r="H1956" t="n">
        <v>0.0111806249952343</v>
      </c>
      <c r="I1956" t="n">
        <v>0.5186404859163092</v>
      </c>
      <c r="J1956" t="n">
        <v>0.2250277481099872</v>
      </c>
      <c r="K1956" t="n">
        <v>0.1901441571189504</v>
      </c>
      <c r="L1956" t="b">
        <v>0</v>
      </c>
      <c r="M1956" t="b">
        <v>0</v>
      </c>
      <c r="N1956" t="inlineStr">
        <is>
          <t>alt</t>
        </is>
      </c>
      <c r="O1956" t="n">
        <v>-75</v>
      </c>
      <c r="P1956" t="n">
        <v>0.002312</v>
      </c>
      <c r="Q1956" t="n">
        <v>5</v>
      </c>
      <c r="R1956" t="n">
        <v>0.005493</v>
      </c>
      <c r="S1956">
        <f>IMAGE("https://mitra.stanford.edu/kundaje/oak/projects/neuro-variants/variant_position/credible/roussos_2024/variant_figures/roussos_2024.childhood.GABA/rs56249713_count_position.png",4,220,900)</f>
        <v/>
      </c>
      <c r="T1956">
        <f>IMAGE("https://mitra.stanford.edu/kundaje/oak/projects/neuro-variants/variant_position/credible/roussos_2024/variant_figures/roussos_2024.childhood.GABA/rs56249713_profile_position.png",4,220,900)</f>
        <v/>
      </c>
    </row>
    <row r="1957">
      <c r="A1957" t="inlineStr">
        <is>
          <t>chr18</t>
        </is>
      </c>
      <c r="B1957" t="n">
        <v>74871632</v>
      </c>
      <c r="C1957" t="inlineStr">
        <is>
          <t>C</t>
        </is>
      </c>
      <c r="D1957" t="inlineStr">
        <is>
          <t>T</t>
        </is>
      </c>
      <c r="E1957" t="inlineStr">
        <is>
          <t>rs2554138</t>
        </is>
      </c>
      <c r="F1957" t="n">
        <v>-0.0067044203499999</v>
      </c>
      <c r="G1957" t="n">
        <v>0.7144573311705856</v>
      </c>
      <c r="H1957" t="n">
        <v>0.0212995621297702</v>
      </c>
      <c r="I1957" t="n">
        <v>0.0573356521299928</v>
      </c>
      <c r="J1957" t="n">
        <v>0.0587108123390085</v>
      </c>
      <c r="K1957" t="n">
        <v>0.4602947981936505</v>
      </c>
      <c r="L1957" t="b">
        <v>0</v>
      </c>
      <c r="M1957" t="b">
        <v>0</v>
      </c>
      <c r="N1957" t="inlineStr">
        <is>
          <t>ref</t>
        </is>
      </c>
      <c r="O1957" t="n">
        <v>95</v>
      </c>
      <c r="P1957" t="n">
        <v>0.04932</v>
      </c>
      <c r="Q1957" t="n">
        <v>-90</v>
      </c>
      <c r="R1957" t="n">
        <v>0.1105</v>
      </c>
      <c r="S1957">
        <f>IMAGE("https://mitra.stanford.edu/kundaje/oak/projects/neuro-variants/variant_position/credible/roussos_2024/variant_figures/roussos_2024.childhood.GABA/rs2554138_count_position.png",4,220,900)</f>
        <v/>
      </c>
      <c r="T1957">
        <f>IMAGE("https://mitra.stanford.edu/kundaje/oak/projects/neuro-variants/variant_position/credible/roussos_2024/variant_figures/roussos_2024.childhood.GABA/rs2554138_profile_position.png",4,220,900)</f>
        <v/>
      </c>
    </row>
    <row r="1958">
      <c r="A1958" t="inlineStr">
        <is>
          <t>chr18</t>
        </is>
      </c>
      <c r="B1958" t="n">
        <v>74903496</v>
      </c>
      <c r="C1958" t="inlineStr">
        <is>
          <t>T</t>
        </is>
      </c>
      <c r="D1958" t="inlineStr">
        <is>
          <t>C</t>
        </is>
      </c>
      <c r="E1958" t="inlineStr">
        <is>
          <t>rs2554132</t>
        </is>
      </c>
      <c r="F1958" t="n">
        <v>-0.01621942312</v>
      </c>
      <c r="G1958" t="n">
        <v>0.5236645158772645</v>
      </c>
      <c r="H1958" t="n">
        <v>0.0227518713466968</v>
      </c>
      <c r="I1958" t="n">
        <v>0.0427888033406337</v>
      </c>
      <c r="J1958" t="n">
        <v>0.1155588364641577</v>
      </c>
      <c r="K1958" t="n">
        <v>0.3238840429407026</v>
      </c>
      <c r="L1958" t="b">
        <v>0</v>
      </c>
      <c r="M1958" t="b">
        <v>0</v>
      </c>
      <c r="N1958" t="inlineStr">
        <is>
          <t>ref</t>
        </is>
      </c>
      <c r="O1958" t="n">
        <v>100</v>
      </c>
      <c r="P1958" t="n">
        <v>0.01486</v>
      </c>
      <c r="Q1958" t="n">
        <v>100</v>
      </c>
      <c r="R1958" t="n">
        <v>0.1355</v>
      </c>
      <c r="S1958">
        <f>IMAGE("https://mitra.stanford.edu/kundaje/oak/projects/neuro-variants/variant_position/credible/roussos_2024/variant_figures/roussos_2024.childhood.GABA/rs2554132_count_position.png",4,220,900)</f>
        <v/>
      </c>
      <c r="T1958">
        <f>IMAGE("https://mitra.stanford.edu/kundaje/oak/projects/neuro-variants/variant_position/credible/roussos_2024/variant_figures/roussos_2024.childhood.GABA/rs2554132_profile_position.png",4,220,900)</f>
        <v/>
      </c>
    </row>
    <row r="1959">
      <c r="A1959" t="inlineStr">
        <is>
          <t>chr18</t>
        </is>
      </c>
      <c r="B1959" t="n">
        <v>74934989</v>
      </c>
      <c r="C1959" t="inlineStr">
        <is>
          <t>G</t>
        </is>
      </c>
      <c r="D1959" t="inlineStr">
        <is>
          <t>A</t>
        </is>
      </c>
      <c r="E1959" t="inlineStr">
        <is>
          <t>rs17055966</t>
        </is>
      </c>
      <c r="F1959" t="n">
        <v>-0.3977202019999999</v>
      </c>
      <c r="G1959" t="n">
        <v>0.0006523187881209</v>
      </c>
      <c r="H1959" t="n">
        <v>0.0978430502963703</v>
      </c>
      <c r="I1959" t="n">
        <v>0.0002943910807846</v>
      </c>
      <c r="J1959" t="n">
        <v>0.0797993759292998</v>
      </c>
      <c r="K1959" t="n">
        <v>0.4072813517608336</v>
      </c>
      <c r="L1959" t="b">
        <v>1</v>
      </c>
      <c r="M1959" t="b">
        <v>1</v>
      </c>
      <c r="N1959" t="inlineStr">
        <is>
          <t>ref</t>
        </is>
      </c>
      <c r="O1959" t="n">
        <v>-70</v>
      </c>
      <c r="P1959" t="n">
        <v>0.009310000000000001</v>
      </c>
      <c r="Q1959" t="n">
        <v>-100</v>
      </c>
      <c r="R1959" t="n">
        <v>0.0774</v>
      </c>
      <c r="S1959">
        <f>IMAGE("https://mitra.stanford.edu/kundaje/oak/projects/neuro-variants/variant_position/credible/roussos_2024/variant_figures/roussos_2024.childhood.GABA/rs17055966_count_position.png",4,220,900)</f>
        <v/>
      </c>
      <c r="T1959">
        <f>IMAGE("https://mitra.stanford.edu/kundaje/oak/projects/neuro-variants/variant_position/credible/roussos_2024/variant_figures/roussos_2024.childhood.GABA/rs17055966_profile_position.png",4,220,900)</f>
        <v/>
      </c>
    </row>
    <row r="1960">
      <c r="A1960" t="inlineStr">
        <is>
          <t>chr18</t>
        </is>
      </c>
      <c r="B1960" t="n">
        <v>74937840</v>
      </c>
      <c r="C1960" t="inlineStr">
        <is>
          <t>T</t>
        </is>
      </c>
      <c r="D1960" t="inlineStr">
        <is>
          <t>C</t>
        </is>
      </c>
      <c r="E1960" t="inlineStr">
        <is>
          <t>rs2930551</t>
        </is>
      </c>
      <c r="F1960" t="n">
        <v>0.07040309359999999</v>
      </c>
      <c r="G1960" t="n">
        <v>0.06573935949843999</v>
      </c>
      <c r="H1960" t="n">
        <v>0.0219156636677638</v>
      </c>
      <c r="I1960" t="n">
        <v>0.0506538926795958</v>
      </c>
      <c r="J1960" t="n">
        <v>0.007989361479340699</v>
      </c>
      <c r="K1960" t="n">
        <v>0.7838522934368893</v>
      </c>
      <c r="L1960" t="b">
        <v>0</v>
      </c>
      <c r="M1960" t="b">
        <v>0</v>
      </c>
      <c r="N1960" t="inlineStr">
        <is>
          <t>alt</t>
        </is>
      </c>
      <c r="O1960" t="n">
        <v>-65</v>
      </c>
      <c r="P1960" t="n">
        <v>0.004272</v>
      </c>
      <c r="Q1960" t="n">
        <v>70</v>
      </c>
      <c r="R1960" t="n">
        <v>0.03162</v>
      </c>
      <c r="S1960">
        <f>IMAGE("https://mitra.stanford.edu/kundaje/oak/projects/neuro-variants/variant_position/credible/roussos_2024/variant_figures/roussos_2024.childhood.GABA/rs2930551_count_position.png",4,220,900)</f>
        <v/>
      </c>
      <c r="T1960">
        <f>IMAGE("https://mitra.stanford.edu/kundaje/oak/projects/neuro-variants/variant_position/credible/roussos_2024/variant_figures/roussos_2024.childhood.GABA/rs2930551_profile_position.png",4,220,900)</f>
        <v/>
      </c>
    </row>
    <row r="1961">
      <c r="A1961" t="inlineStr">
        <is>
          <t>chr18</t>
        </is>
      </c>
      <c r="B1961" t="n">
        <v>74938238</v>
      </c>
      <c r="C1961" t="inlineStr">
        <is>
          <t>T</t>
        </is>
      </c>
      <c r="D1961" t="inlineStr">
        <is>
          <t>C</t>
        </is>
      </c>
      <c r="E1961" t="inlineStr">
        <is>
          <t>rs4891202</t>
        </is>
      </c>
      <c r="F1961" t="n">
        <v>0.01364164814</v>
      </c>
      <c r="G1961" t="n">
        <v>0.5221591950856842</v>
      </c>
      <c r="H1961" t="n">
        <v>0.008697967025273701</v>
      </c>
      <c r="I1961" t="n">
        <v>0.7469087292092582</v>
      </c>
      <c r="J1961" t="n">
        <v>0.009146405310883499</v>
      </c>
      <c r="K1961" t="n">
        <v>0.7687891968960608</v>
      </c>
      <c r="L1961" t="b">
        <v>0</v>
      </c>
      <c r="M1961" t="b">
        <v>0</v>
      </c>
      <c r="N1961" t="inlineStr">
        <is>
          <t>alt</t>
        </is>
      </c>
      <c r="O1961" t="n">
        <v>55</v>
      </c>
      <c r="P1961" t="n">
        <v>0.006493</v>
      </c>
      <c r="Q1961" t="n">
        <v>-35</v>
      </c>
      <c r="R1961" t="n">
        <v>0.1021</v>
      </c>
      <c r="S1961">
        <f>IMAGE("https://mitra.stanford.edu/kundaje/oak/projects/neuro-variants/variant_position/credible/roussos_2024/variant_figures/roussos_2024.childhood.GABA/rs4891202_count_position.png",4,220,900)</f>
        <v/>
      </c>
      <c r="T1961">
        <f>IMAGE("https://mitra.stanford.edu/kundaje/oak/projects/neuro-variants/variant_position/credible/roussos_2024/variant_figures/roussos_2024.childhood.GABA/rs4891202_profile_position.png",4,220,900)</f>
        <v/>
      </c>
    </row>
    <row r="1962">
      <c r="A1962" t="inlineStr">
        <is>
          <t>chr18</t>
        </is>
      </c>
      <c r="B1962" t="n">
        <v>74943689</v>
      </c>
      <c r="C1962" t="inlineStr">
        <is>
          <t>G</t>
        </is>
      </c>
      <c r="D1962" t="inlineStr">
        <is>
          <t>C</t>
        </is>
      </c>
      <c r="E1962" t="inlineStr">
        <is>
          <t>rs7243542</t>
        </is>
      </c>
      <c r="F1962" t="n">
        <v>-0.0565589994</v>
      </c>
      <c r="G1962" t="n">
        <v>0.1142924711267036</v>
      </c>
      <c r="H1962" t="n">
        <v>0.0134253881285036</v>
      </c>
      <c r="I1962" t="n">
        <v>0.3243560333583289</v>
      </c>
      <c r="J1962" t="n">
        <v>0.1872620468681283</v>
      </c>
      <c r="K1962" t="n">
        <v>0.2234502886527241</v>
      </c>
      <c r="L1962" t="b">
        <v>0</v>
      </c>
      <c r="M1962" t="b">
        <v>0</v>
      </c>
      <c r="N1962" t="inlineStr">
        <is>
          <t>ref</t>
        </is>
      </c>
      <c r="O1962" t="n">
        <v>60</v>
      </c>
      <c r="P1962" t="n">
        <v>0.003994</v>
      </c>
      <c r="Q1962" t="n">
        <v>50</v>
      </c>
      <c r="R1962" t="n">
        <v>0.07043000000000001</v>
      </c>
      <c r="S1962">
        <f>IMAGE("https://mitra.stanford.edu/kundaje/oak/projects/neuro-variants/variant_position/credible/roussos_2024/variant_figures/roussos_2024.childhood.GABA/rs7243542_count_position.png",4,220,900)</f>
        <v/>
      </c>
      <c r="T1962">
        <f>IMAGE("https://mitra.stanford.edu/kundaje/oak/projects/neuro-variants/variant_position/credible/roussos_2024/variant_figures/roussos_2024.childhood.GABA/rs7243542_profile_position.png",4,220,900)</f>
        <v/>
      </c>
    </row>
    <row r="1963">
      <c r="A1963" t="inlineStr">
        <is>
          <t>chr18</t>
        </is>
      </c>
      <c r="B1963" t="n">
        <v>74966476</v>
      </c>
      <c r="C1963" t="inlineStr">
        <is>
          <t>G</t>
        </is>
      </c>
      <c r="D1963" t="inlineStr">
        <is>
          <t>T</t>
        </is>
      </c>
      <c r="E1963" t="inlineStr">
        <is>
          <t>rs61019476</t>
        </is>
      </c>
      <c r="F1963" t="n">
        <v>0.0150891634</v>
      </c>
      <c r="G1963" t="n">
        <v>0.4941378470367948</v>
      </c>
      <c r="H1963" t="n">
        <v>0.0143122440902829</v>
      </c>
      <c r="I1963" t="n">
        <v>0.2663224680254494</v>
      </c>
      <c r="J1963" t="n">
        <v>0.0061548449247135</v>
      </c>
      <c r="K1963" t="n">
        <v>0.8062032095217679</v>
      </c>
      <c r="L1963" t="b">
        <v>0</v>
      </c>
      <c r="M1963" t="b">
        <v>0</v>
      </c>
      <c r="N1963" t="inlineStr">
        <is>
          <t>alt</t>
        </is>
      </c>
      <c r="O1963" t="n">
        <v>-90</v>
      </c>
      <c r="P1963" t="n">
        <v>0.004757</v>
      </c>
      <c r="Q1963" t="n">
        <v>50</v>
      </c>
      <c r="R1963" t="n">
        <v>0.0423</v>
      </c>
      <c r="S1963">
        <f>IMAGE("https://mitra.stanford.edu/kundaje/oak/projects/neuro-variants/variant_position/credible/roussos_2024/variant_figures/roussos_2024.childhood.GABA/rs61019476_count_position.png",4,220,900)</f>
        <v/>
      </c>
      <c r="T1963">
        <f>IMAGE("https://mitra.stanford.edu/kundaje/oak/projects/neuro-variants/variant_position/credible/roussos_2024/variant_figures/roussos_2024.childhood.GABA/rs61019476_profile_position.png",4,220,900)</f>
        <v/>
      </c>
    </row>
    <row r="1964">
      <c r="A1964" t="inlineStr">
        <is>
          <t>chr18</t>
        </is>
      </c>
      <c r="B1964" t="n">
        <v>74973700</v>
      </c>
      <c r="C1964" t="inlineStr">
        <is>
          <t>A</t>
        </is>
      </c>
      <c r="D1964" t="inlineStr">
        <is>
          <t>G</t>
        </is>
      </c>
      <c r="E1964" t="inlineStr">
        <is>
          <t>rs4891041</t>
        </is>
      </c>
      <c r="F1964" t="n">
        <v>0.225367414</v>
      </c>
      <c r="G1964" t="n">
        <v>0.0031476907866645</v>
      </c>
      <c r="H1964" t="n">
        <v>0.0239104982629874</v>
      </c>
      <c r="I1964" t="n">
        <v>0.0377726614471076</v>
      </c>
      <c r="J1964" t="n">
        <v>0.0851395782287281</v>
      </c>
      <c r="K1964" t="n">
        <v>0.3886511368303342</v>
      </c>
      <c r="L1964" t="b">
        <v>1</v>
      </c>
      <c r="M1964" t="b">
        <v>1</v>
      </c>
      <c r="N1964" t="inlineStr">
        <is>
          <t>alt</t>
        </is>
      </c>
      <c r="O1964" t="n">
        <v>40</v>
      </c>
      <c r="P1964" t="n">
        <v>0.002335</v>
      </c>
      <c r="Q1964" t="n">
        <v>40</v>
      </c>
      <c r="R1964" t="n">
        <v>0.04187</v>
      </c>
      <c r="S1964">
        <f>IMAGE("https://mitra.stanford.edu/kundaje/oak/projects/neuro-variants/variant_position/credible/roussos_2024/variant_figures/roussos_2024.childhood.GABA/rs4891041_count_position.png",4,220,900)</f>
        <v/>
      </c>
      <c r="T1964">
        <f>IMAGE("https://mitra.stanford.edu/kundaje/oak/projects/neuro-variants/variant_position/credible/roussos_2024/variant_figures/roussos_2024.childhood.GABA/rs4891041_profile_position.png",4,220,900)</f>
        <v/>
      </c>
    </row>
    <row r="1965">
      <c r="A1965" t="inlineStr">
        <is>
          <t>chr18</t>
        </is>
      </c>
      <c r="B1965" t="n">
        <v>74977743</v>
      </c>
      <c r="C1965" t="inlineStr">
        <is>
          <t>G</t>
        </is>
      </c>
      <c r="D1965" t="inlineStr">
        <is>
          <t>A</t>
        </is>
      </c>
      <c r="E1965" t="inlineStr">
        <is>
          <t>rs4334389</t>
        </is>
      </c>
      <c r="F1965" t="n">
        <v>-0.0418443654</v>
      </c>
      <c r="G1965" t="n">
        <v>0.1919042413951943</v>
      </c>
      <c r="H1965" t="n">
        <v>0.0094357578880569</v>
      </c>
      <c r="I1965" t="n">
        <v>0.7003166358919106</v>
      </c>
      <c r="J1965" t="n">
        <v>0.0784758434378337</v>
      </c>
      <c r="K1965" t="n">
        <v>0.409124624532741</v>
      </c>
      <c r="L1965" t="b">
        <v>0</v>
      </c>
      <c r="M1965" t="b">
        <v>0</v>
      </c>
      <c r="N1965" t="inlineStr">
        <is>
          <t>ref</t>
        </is>
      </c>
      <c r="O1965" t="n">
        <v>75</v>
      </c>
      <c r="P1965" t="n">
        <v>0.011375</v>
      </c>
      <c r="Q1965" t="n">
        <v>-20</v>
      </c>
      <c r="R1965" t="n">
        <v>0.01709</v>
      </c>
      <c r="S1965">
        <f>IMAGE("https://mitra.stanford.edu/kundaje/oak/projects/neuro-variants/variant_position/credible/roussos_2024/variant_figures/roussos_2024.childhood.GABA/rs4334389_count_position.png",4,220,900)</f>
        <v/>
      </c>
      <c r="T1965">
        <f>IMAGE("https://mitra.stanford.edu/kundaje/oak/projects/neuro-variants/variant_position/credible/roussos_2024/variant_figures/roussos_2024.childhood.GABA/rs4334389_profile_position.png",4,220,900)</f>
        <v/>
      </c>
    </row>
    <row r="1966">
      <c r="A1966" t="inlineStr">
        <is>
          <t>chr18</t>
        </is>
      </c>
      <c r="B1966" t="n">
        <v>74983478</v>
      </c>
      <c r="C1966" t="inlineStr">
        <is>
          <t>T</t>
        </is>
      </c>
      <c r="D1966" t="inlineStr">
        <is>
          <t>C</t>
        </is>
      </c>
      <c r="E1966" t="inlineStr">
        <is>
          <t>rs9963429</t>
        </is>
      </c>
      <c r="F1966" t="n">
        <v>0.01409383132</v>
      </c>
      <c r="G1966" t="n">
        <v>0.479027032689164</v>
      </c>
      <c r="H1966" t="n">
        <v>0.0114149675318481</v>
      </c>
      <c r="I1966" t="n">
        <v>0.493779610788033</v>
      </c>
      <c r="J1966" t="n">
        <v>0.1753345479675818</v>
      </c>
      <c r="K1966" t="n">
        <v>0.2374692402194959</v>
      </c>
      <c r="L1966" t="b">
        <v>0</v>
      </c>
      <c r="M1966" t="b">
        <v>0</v>
      </c>
      <c r="N1966" t="inlineStr">
        <is>
          <t>alt</t>
        </is>
      </c>
      <c r="O1966" t="n">
        <v>45</v>
      </c>
      <c r="P1966" t="n">
        <v>0.003813</v>
      </c>
      <c r="Q1966" t="n">
        <v>15</v>
      </c>
      <c r="R1966" t="n">
        <v>0.01685</v>
      </c>
      <c r="S1966">
        <f>IMAGE("https://mitra.stanford.edu/kundaje/oak/projects/neuro-variants/variant_position/credible/roussos_2024/variant_figures/roussos_2024.childhood.GABA/rs9963429_count_position.png",4,220,900)</f>
        <v/>
      </c>
      <c r="T1966">
        <f>IMAGE("https://mitra.stanford.edu/kundaje/oak/projects/neuro-variants/variant_position/credible/roussos_2024/variant_figures/roussos_2024.childhood.GABA/rs9963429_profile_position.png",4,220,900)</f>
        <v/>
      </c>
    </row>
    <row r="1967">
      <c r="A1967" t="inlineStr">
        <is>
          <t>chr18</t>
        </is>
      </c>
      <c r="B1967" t="n">
        <v>74984205</v>
      </c>
      <c r="C1967" t="inlineStr">
        <is>
          <t>A</t>
        </is>
      </c>
      <c r="D1967" t="inlineStr">
        <is>
          <t>G</t>
        </is>
      </c>
      <c r="E1967" t="inlineStr">
        <is>
          <t>rs4891211</t>
        </is>
      </c>
      <c r="F1967" t="n">
        <v>0.0336135783999999</v>
      </c>
      <c r="G1967" t="n">
        <v>0.2279820286991919</v>
      </c>
      <c r="H1967" t="n">
        <v>0.0107216345187001</v>
      </c>
      <c r="I1967" t="n">
        <v>0.567184686748053</v>
      </c>
      <c r="J1967" t="n">
        <v>0.0426682163724319</v>
      </c>
      <c r="K1967" t="n">
        <v>0.5236679212040645</v>
      </c>
      <c r="L1967" t="b">
        <v>0</v>
      </c>
      <c r="M1967" t="b">
        <v>0</v>
      </c>
      <c r="N1967" t="inlineStr">
        <is>
          <t>alt</t>
        </is>
      </c>
      <c r="O1967" t="n">
        <v>80</v>
      </c>
      <c r="P1967" t="n">
        <v>0.008460000000000001</v>
      </c>
      <c r="Q1967" t="n">
        <v>-25</v>
      </c>
      <c r="R1967" t="n">
        <v>0.02783</v>
      </c>
      <c r="S1967">
        <f>IMAGE("https://mitra.stanford.edu/kundaje/oak/projects/neuro-variants/variant_position/credible/roussos_2024/variant_figures/roussos_2024.childhood.GABA/rs4891211_count_position.png",4,220,900)</f>
        <v/>
      </c>
      <c r="T1967">
        <f>IMAGE("https://mitra.stanford.edu/kundaje/oak/projects/neuro-variants/variant_position/credible/roussos_2024/variant_figures/roussos_2024.childhood.GABA/rs4891211_profile_position.png",4,220,900)</f>
        <v/>
      </c>
    </row>
    <row r="1968">
      <c r="A1968" t="inlineStr">
        <is>
          <t>chr18</t>
        </is>
      </c>
      <c r="B1968" t="n">
        <v>74984423</v>
      </c>
      <c r="C1968" t="inlineStr">
        <is>
          <t>G</t>
        </is>
      </c>
      <c r="D1968" t="inlineStr">
        <is>
          <t>A</t>
        </is>
      </c>
      <c r="E1968" t="inlineStr">
        <is>
          <t>rs4891042</t>
        </is>
      </c>
      <c r="F1968" t="n">
        <v>0.0106026946</v>
      </c>
      <c r="G1968" t="n">
        <v>0.5900601197950173</v>
      </c>
      <c r="H1968" t="n">
        <v>0.019333911549504</v>
      </c>
      <c r="I1968" t="n">
        <v>0.0873046062650101</v>
      </c>
      <c r="J1968" t="n">
        <v>0.0163933739607546</v>
      </c>
      <c r="K1968" t="n">
        <v>0.679887839959892</v>
      </c>
      <c r="L1968" t="b">
        <v>0</v>
      </c>
      <c r="M1968" t="b">
        <v>0</v>
      </c>
      <c r="N1968" t="inlineStr">
        <is>
          <t>alt</t>
        </is>
      </c>
      <c r="O1968" t="n">
        <v>-95</v>
      </c>
      <c r="P1968" t="n">
        <v>0.002487</v>
      </c>
      <c r="Q1968" t="n">
        <v>-95</v>
      </c>
      <c r="R1968" t="n">
        <v>0.213</v>
      </c>
      <c r="S1968">
        <f>IMAGE("https://mitra.stanford.edu/kundaje/oak/projects/neuro-variants/variant_position/credible/roussos_2024/variant_figures/roussos_2024.childhood.GABA/rs4891042_count_position.png",4,220,900)</f>
        <v/>
      </c>
      <c r="T1968">
        <f>IMAGE("https://mitra.stanford.edu/kundaje/oak/projects/neuro-variants/variant_position/credible/roussos_2024/variant_figures/roussos_2024.childhood.GABA/rs4891042_profile_position.png",4,220,900)</f>
        <v/>
      </c>
    </row>
    <row r="1969">
      <c r="A1969" t="inlineStr">
        <is>
          <t>chr18</t>
        </is>
      </c>
      <c r="B1969" t="n">
        <v>74984773</v>
      </c>
      <c r="C1969" t="inlineStr">
        <is>
          <t>A</t>
        </is>
      </c>
      <c r="D1969" t="inlineStr">
        <is>
          <t>G</t>
        </is>
      </c>
      <c r="E1969" t="inlineStr">
        <is>
          <t>rs9964094</t>
        </is>
      </c>
      <c r="F1969" t="n">
        <v>0.0467450088</v>
      </c>
      <c r="G1969" t="n">
        <v>0.1563563035729851</v>
      </c>
      <c r="H1969" t="n">
        <v>0.01569175151931</v>
      </c>
      <c r="I1969" t="n">
        <v>0.1955708922945662</v>
      </c>
      <c r="J1969" t="n">
        <v>0.0047705807208225</v>
      </c>
      <c r="K1969" t="n">
        <v>0.8180164293909966</v>
      </c>
      <c r="L1969" t="b">
        <v>0</v>
      </c>
      <c r="M1969" t="b">
        <v>0</v>
      </c>
      <c r="N1969" t="inlineStr">
        <is>
          <t>alt</t>
        </is>
      </c>
      <c r="O1969" t="n">
        <v>80</v>
      </c>
      <c r="P1969" t="n">
        <v>0.00813</v>
      </c>
      <c r="Q1969" t="n">
        <v>100</v>
      </c>
      <c r="R1969" t="n">
        <v>0.02177</v>
      </c>
      <c r="S1969">
        <f>IMAGE("https://mitra.stanford.edu/kundaje/oak/projects/neuro-variants/variant_position/credible/roussos_2024/variant_figures/roussos_2024.childhood.GABA/rs9964094_count_position.png",4,220,900)</f>
        <v/>
      </c>
      <c r="T1969">
        <f>IMAGE("https://mitra.stanford.edu/kundaje/oak/projects/neuro-variants/variant_position/credible/roussos_2024/variant_figures/roussos_2024.childhood.GABA/rs9964094_profile_position.png",4,220,900)</f>
        <v/>
      </c>
    </row>
    <row r="1970">
      <c r="A1970" t="inlineStr">
        <is>
          <t>chr18</t>
        </is>
      </c>
      <c r="B1970" t="n">
        <v>74984839</v>
      </c>
      <c r="C1970" t="inlineStr">
        <is>
          <t>A</t>
        </is>
      </c>
      <c r="D1970" t="inlineStr">
        <is>
          <t>G</t>
        </is>
      </c>
      <c r="E1970" t="inlineStr">
        <is>
          <t>rs9964170</t>
        </is>
      </c>
      <c r="F1970" t="n">
        <v>0.09178044119999999</v>
      </c>
      <c r="G1970" t="n">
        <v>0.0396921470908042</v>
      </c>
      <c r="H1970" t="n">
        <v>0.0160629844353203</v>
      </c>
      <c r="I1970" t="n">
        <v>0.1826080870477318</v>
      </c>
      <c r="J1970" t="n">
        <v>0.0061517036292433</v>
      </c>
      <c r="K1970" t="n">
        <v>0.8025744960619079</v>
      </c>
      <c r="L1970" t="b">
        <v>0</v>
      </c>
      <c r="M1970" t="b">
        <v>0</v>
      </c>
      <c r="N1970" t="inlineStr">
        <is>
          <t>alt</t>
        </is>
      </c>
      <c r="O1970" t="n">
        <v>15</v>
      </c>
      <c r="P1970" t="n">
        <v>0.002327</v>
      </c>
      <c r="Q1970" t="n">
        <v>-80</v>
      </c>
      <c r="R1970" t="n">
        <v>0.04483</v>
      </c>
      <c r="S1970">
        <f>IMAGE("https://mitra.stanford.edu/kundaje/oak/projects/neuro-variants/variant_position/credible/roussos_2024/variant_figures/roussos_2024.childhood.GABA/rs9964170_count_position.png",4,220,900)</f>
        <v/>
      </c>
      <c r="T1970">
        <f>IMAGE("https://mitra.stanford.edu/kundaje/oak/projects/neuro-variants/variant_position/credible/roussos_2024/variant_figures/roussos_2024.childhood.GABA/rs9964170_profile_position.png",4,220,900)</f>
        <v/>
      </c>
    </row>
    <row r="1971">
      <c r="A1971" t="inlineStr">
        <is>
          <t>chr18</t>
        </is>
      </c>
      <c r="B1971" t="n">
        <v>74986065</v>
      </c>
      <c r="C1971" t="inlineStr">
        <is>
          <t>T</t>
        </is>
      </c>
      <c r="D1971" t="inlineStr">
        <is>
          <t>G</t>
        </is>
      </c>
      <c r="E1971" t="inlineStr">
        <is>
          <t>rs2920353</t>
        </is>
      </c>
      <c r="F1971" t="n">
        <v>-0.0280933838</v>
      </c>
      <c r="G1971" t="n">
        <v>0.2345868375525728</v>
      </c>
      <c r="H1971" t="n">
        <v>0.0165354750042649</v>
      </c>
      <c r="I1971" t="n">
        <v>0.1586526495062864</v>
      </c>
      <c r="J1971" t="n">
        <v>0.0859887751041862</v>
      </c>
      <c r="K1971" t="n">
        <v>0.3822346024086258</v>
      </c>
      <c r="L1971" t="b">
        <v>0</v>
      </c>
      <c r="M1971" t="b">
        <v>0</v>
      </c>
      <c r="N1971" t="inlineStr">
        <is>
          <t>ref</t>
        </is>
      </c>
      <c r="O1971" t="n">
        <v>20</v>
      </c>
      <c r="P1971" t="n">
        <v>0.0003815</v>
      </c>
      <c r="Q1971" t="n">
        <v>75</v>
      </c>
      <c r="R1971" t="n">
        <v>0.1221</v>
      </c>
      <c r="S1971">
        <f>IMAGE("https://mitra.stanford.edu/kundaje/oak/projects/neuro-variants/variant_position/credible/roussos_2024/variant_figures/roussos_2024.childhood.GABA/rs2920353_count_position.png",4,220,900)</f>
        <v/>
      </c>
      <c r="T1971">
        <f>IMAGE("https://mitra.stanford.edu/kundaje/oak/projects/neuro-variants/variant_position/credible/roussos_2024/variant_figures/roussos_2024.childhood.GABA/rs2920353_profile_position.png",4,220,900)</f>
        <v/>
      </c>
    </row>
    <row r="1972">
      <c r="A1972" t="inlineStr">
        <is>
          <t>chr18</t>
        </is>
      </c>
      <c r="B1972" t="n">
        <v>74986330</v>
      </c>
      <c r="C1972" t="inlineStr">
        <is>
          <t>T</t>
        </is>
      </c>
      <c r="D1972" t="inlineStr">
        <is>
          <t>C</t>
        </is>
      </c>
      <c r="E1972" t="inlineStr">
        <is>
          <t>rs9947731</t>
        </is>
      </c>
      <c r="F1972" t="n">
        <v>0.0698241409999999</v>
      </c>
      <c r="G1972" t="n">
        <v>0.07285489877822809</v>
      </c>
      <c r="H1972" t="n">
        <v>0.0121373133605277</v>
      </c>
      <c r="I1972" t="n">
        <v>0.413335067460922</v>
      </c>
      <c r="J1972" t="n">
        <v>0.104004104626081</v>
      </c>
      <c r="K1972" t="n">
        <v>0.3446090718985956</v>
      </c>
      <c r="L1972" t="b">
        <v>0</v>
      </c>
      <c r="M1972" t="b">
        <v>0</v>
      </c>
      <c r="N1972" t="inlineStr">
        <is>
          <t>alt</t>
        </is>
      </c>
      <c r="O1972" t="n">
        <v>-35</v>
      </c>
      <c r="P1972" t="n">
        <v>0.001242</v>
      </c>
      <c r="Q1972" t="n">
        <v>-100</v>
      </c>
      <c r="R1972" t="n">
        <v>0.09143</v>
      </c>
      <c r="S1972">
        <f>IMAGE("https://mitra.stanford.edu/kundaje/oak/projects/neuro-variants/variant_position/credible/roussos_2024/variant_figures/roussos_2024.childhood.GABA/rs9947731_count_position.png",4,220,900)</f>
        <v/>
      </c>
      <c r="T1972">
        <f>IMAGE("https://mitra.stanford.edu/kundaje/oak/projects/neuro-variants/variant_position/credible/roussos_2024/variant_figures/roussos_2024.childhood.GABA/rs9947731_profile_position.png",4,220,900)</f>
        <v/>
      </c>
    </row>
    <row r="1973">
      <c r="A1973" t="inlineStr">
        <is>
          <t>chr18</t>
        </is>
      </c>
      <c r="B1973" t="n">
        <v>74994128</v>
      </c>
      <c r="C1973" t="inlineStr">
        <is>
          <t>A</t>
        </is>
      </c>
      <c r="D1973" t="inlineStr">
        <is>
          <t>G</t>
        </is>
      </c>
      <c r="E1973" t="inlineStr">
        <is>
          <t>rs7241108</t>
        </is>
      </c>
      <c r="F1973" t="n">
        <v>0.02008253904</v>
      </c>
      <c r="G1973" t="n">
        <v>0.4070436269864191</v>
      </c>
      <c r="H1973" t="n">
        <v>0.0114999985719627</v>
      </c>
      <c r="I1973" t="n">
        <v>0.471910693164719</v>
      </c>
      <c r="J1973" t="n">
        <v>0.1699063893949864</v>
      </c>
      <c r="K1973" t="n">
        <v>0.2459503478208616</v>
      </c>
      <c r="L1973" t="b">
        <v>0</v>
      </c>
      <c r="M1973" t="b">
        <v>0</v>
      </c>
      <c r="N1973" t="inlineStr">
        <is>
          <t>alt</t>
        </is>
      </c>
      <c r="O1973" t="n">
        <v>100</v>
      </c>
      <c r="P1973" t="n">
        <v>0.00521</v>
      </c>
      <c r="Q1973" t="n">
        <v>-100</v>
      </c>
      <c r="R1973" t="n">
        <v>0.05264</v>
      </c>
      <c r="S1973">
        <f>IMAGE("https://mitra.stanford.edu/kundaje/oak/projects/neuro-variants/variant_position/credible/roussos_2024/variant_figures/roussos_2024.childhood.GABA/rs7241108_count_position.png",4,220,900)</f>
        <v/>
      </c>
      <c r="T1973">
        <f>IMAGE("https://mitra.stanford.edu/kundaje/oak/projects/neuro-variants/variant_position/credible/roussos_2024/variant_figures/roussos_2024.childhood.GABA/rs7241108_profile_position.png",4,220,900)</f>
        <v/>
      </c>
    </row>
    <row r="1974">
      <c r="A1974" t="inlineStr">
        <is>
          <t>chr18</t>
        </is>
      </c>
      <c r="B1974" t="n">
        <v>74997815</v>
      </c>
      <c r="C1974" t="inlineStr">
        <is>
          <t>C</t>
        </is>
      </c>
      <c r="D1974" t="inlineStr">
        <is>
          <t>T</t>
        </is>
      </c>
      <c r="E1974" t="inlineStr">
        <is>
          <t>rs9961644</t>
        </is>
      </c>
      <c r="F1974" t="n">
        <v>0.0288659528</v>
      </c>
      <c r="G1974" t="n">
        <v>0.2288967136778101</v>
      </c>
      <c r="H1974" t="n">
        <v>0.0113553145695484</v>
      </c>
      <c r="I1974" t="n">
        <v>0.5016104578060248</v>
      </c>
      <c r="J1974" t="n">
        <v>0.0760769407970513</v>
      </c>
      <c r="K1974" t="n">
        <v>0.4088507742246124</v>
      </c>
      <c r="L1974" t="b">
        <v>0</v>
      </c>
      <c r="M1974" t="b">
        <v>0</v>
      </c>
      <c r="N1974" t="inlineStr">
        <is>
          <t>alt</t>
        </is>
      </c>
      <c r="O1974" t="n">
        <v>-35</v>
      </c>
      <c r="P1974" t="n">
        <v>0.001217</v>
      </c>
      <c r="Q1974" t="n">
        <v>85</v>
      </c>
      <c r="R1974" t="n">
        <v>0.0303</v>
      </c>
      <c r="S1974">
        <f>IMAGE("https://mitra.stanford.edu/kundaje/oak/projects/neuro-variants/variant_position/credible/roussos_2024/variant_figures/roussos_2024.childhood.GABA/rs9961644_count_position.png",4,220,900)</f>
        <v/>
      </c>
      <c r="T1974">
        <f>IMAGE("https://mitra.stanford.edu/kundaje/oak/projects/neuro-variants/variant_position/credible/roussos_2024/variant_figures/roussos_2024.childhood.GABA/rs9961644_profile_position.png",4,220,900)</f>
        <v/>
      </c>
    </row>
    <row r="1975">
      <c r="A1975" t="inlineStr">
        <is>
          <t>chr18</t>
        </is>
      </c>
      <c r="B1975" t="n">
        <v>75010176</v>
      </c>
      <c r="C1975" t="inlineStr">
        <is>
          <t>C</t>
        </is>
      </c>
      <c r="D1975" t="inlineStr">
        <is>
          <t>T</t>
        </is>
      </c>
      <c r="E1975" t="inlineStr">
        <is>
          <t>rs7234127</t>
        </is>
      </c>
      <c r="F1975" t="n">
        <v>-0.0214143235531</v>
      </c>
      <c r="G1975" t="n">
        <v>0.4027321615342197</v>
      </c>
      <c r="H1975" t="n">
        <v>0.009811322264140601</v>
      </c>
      <c r="I1975" t="n">
        <v>0.6614827708003057</v>
      </c>
      <c r="J1975" t="n">
        <v>0.3206393583380452</v>
      </c>
      <c r="K1975" t="n">
        <v>0.1221484005893581</v>
      </c>
      <c r="L1975" t="b">
        <v>0</v>
      </c>
      <c r="M1975" t="b">
        <v>0</v>
      </c>
      <c r="N1975" t="inlineStr">
        <is>
          <t>ref</t>
        </is>
      </c>
      <c r="O1975" t="n">
        <v>100</v>
      </c>
      <c r="P1975" t="n">
        <v>0.009315</v>
      </c>
      <c r="Q1975" t="n">
        <v>45</v>
      </c>
      <c r="R1975" t="n">
        <v>0.011475</v>
      </c>
      <c r="S1975">
        <f>IMAGE("https://mitra.stanford.edu/kundaje/oak/projects/neuro-variants/variant_position/credible/roussos_2024/variant_figures/roussos_2024.childhood.GABA/rs7234127_count_position.png",4,220,900)</f>
        <v/>
      </c>
      <c r="T1975">
        <f>IMAGE("https://mitra.stanford.edu/kundaje/oak/projects/neuro-variants/variant_position/credible/roussos_2024/variant_figures/roussos_2024.childhood.GABA/rs7234127_profile_position.png",4,220,900)</f>
        <v/>
      </c>
    </row>
    <row r="1976">
      <c r="A1976" t="inlineStr">
        <is>
          <t>chr18</t>
        </is>
      </c>
      <c r="B1976" t="n">
        <v>75017058</v>
      </c>
      <c r="C1976" t="inlineStr">
        <is>
          <t>T</t>
        </is>
      </c>
      <c r="D1976" t="inlineStr">
        <is>
          <t>C</t>
        </is>
      </c>
      <c r="E1976" t="inlineStr">
        <is>
          <t>rs9950694</t>
        </is>
      </c>
      <c r="F1976" t="n">
        <v>-0.0294422198599999</v>
      </c>
      <c r="G1976" t="n">
        <v>0.3357676958875596</v>
      </c>
      <c r="H1976" t="n">
        <v>0.0182949273826462</v>
      </c>
      <c r="I1976" t="n">
        <v>0.1077453538249768</v>
      </c>
      <c r="J1976" t="n">
        <v>0.049526711482482</v>
      </c>
      <c r="K1976" t="n">
        <v>0.4993605574618632</v>
      </c>
      <c r="L1976" t="b">
        <v>0</v>
      </c>
      <c r="M1976" t="b">
        <v>0</v>
      </c>
      <c r="N1976" t="inlineStr">
        <is>
          <t>ref</t>
        </is>
      </c>
      <c r="O1976" t="n">
        <v>65</v>
      </c>
      <c r="P1976" t="n">
        <v>0.002167</v>
      </c>
      <c r="Q1976" t="n">
        <v>-5</v>
      </c>
      <c r="R1976" t="n">
        <v>0.00903</v>
      </c>
      <c r="S1976">
        <f>IMAGE("https://mitra.stanford.edu/kundaje/oak/projects/neuro-variants/variant_position/credible/roussos_2024/variant_figures/roussos_2024.childhood.GABA/rs9950694_count_position.png",4,220,900)</f>
        <v/>
      </c>
      <c r="T1976">
        <f>IMAGE("https://mitra.stanford.edu/kundaje/oak/projects/neuro-variants/variant_position/credible/roussos_2024/variant_figures/roussos_2024.childhood.GABA/rs9950694_profile_position.png",4,220,900)</f>
        <v/>
      </c>
    </row>
    <row r="1977">
      <c r="A1977" t="inlineStr">
        <is>
          <t>chr18</t>
        </is>
      </c>
      <c r="B1977" t="n">
        <v>75019182</v>
      </c>
      <c r="C1977" t="inlineStr">
        <is>
          <t>T</t>
        </is>
      </c>
      <c r="D1977" t="inlineStr">
        <is>
          <t>C</t>
        </is>
      </c>
      <c r="E1977" t="inlineStr">
        <is>
          <t>rs894577</t>
        </is>
      </c>
      <c r="F1977" t="n">
        <v>-0.00249388812</v>
      </c>
      <c r="G1977" t="n">
        <v>0.7410994992578706</v>
      </c>
      <c r="H1977" t="n">
        <v>0.024851557354705</v>
      </c>
      <c r="I1977" t="n">
        <v>0.0291092849562747</v>
      </c>
      <c r="J1977" t="n">
        <v>0.0044103788402336</v>
      </c>
      <c r="K1977" t="n">
        <v>0.8246652380928571</v>
      </c>
      <c r="L1977" t="b">
        <v>0</v>
      </c>
      <c r="M1977" t="b">
        <v>0</v>
      </c>
      <c r="N1977" t="inlineStr">
        <is>
          <t>ref</t>
        </is>
      </c>
      <c r="O1977" t="n">
        <v>80</v>
      </c>
      <c r="P1977" t="n">
        <v>0.006733</v>
      </c>
      <c r="Q1977" t="n">
        <v>100</v>
      </c>
      <c r="R1977" t="n">
        <v>0.1932</v>
      </c>
      <c r="S1977">
        <f>IMAGE("https://mitra.stanford.edu/kundaje/oak/projects/neuro-variants/variant_position/credible/roussos_2024/variant_figures/roussos_2024.childhood.GABA/rs894577_count_position.png",4,220,900)</f>
        <v/>
      </c>
      <c r="T1977">
        <f>IMAGE("https://mitra.stanford.edu/kundaje/oak/projects/neuro-variants/variant_position/credible/roussos_2024/variant_figures/roussos_2024.childhood.GABA/rs894577_profile_position.png",4,220,900)</f>
        <v/>
      </c>
    </row>
    <row r="1978">
      <c r="A1978" t="inlineStr">
        <is>
          <t>chr18</t>
        </is>
      </c>
      <c r="B1978" t="n">
        <v>75024241</v>
      </c>
      <c r="C1978" t="inlineStr">
        <is>
          <t>T</t>
        </is>
      </c>
      <c r="D1978" t="inlineStr">
        <is>
          <t>C</t>
        </is>
      </c>
      <c r="E1978" t="inlineStr">
        <is>
          <t>rs9319675</t>
        </is>
      </c>
      <c r="F1978" t="n">
        <v>0.00191738474</v>
      </c>
      <c r="G1978" t="n">
        <v>0.5041342594317867</v>
      </c>
      <c r="H1978" t="n">
        <v>0.0175829878419788</v>
      </c>
      <c r="I1978" t="n">
        <v>0.1249394264373872</v>
      </c>
      <c r="J1978" t="n">
        <v>0.1299438755209314</v>
      </c>
      <c r="K1978" t="n">
        <v>0.2985066433767735</v>
      </c>
      <c r="L1978" t="b">
        <v>0</v>
      </c>
      <c r="M1978" t="b">
        <v>0</v>
      </c>
      <c r="N1978" t="inlineStr">
        <is>
          <t>alt</t>
        </is>
      </c>
      <c r="O1978" t="n">
        <v>60</v>
      </c>
      <c r="P1978" t="n">
        <v>0.002441</v>
      </c>
      <c r="Q1978" t="n">
        <v>75</v>
      </c>
      <c r="R1978" t="n">
        <v>0.013794</v>
      </c>
      <c r="S1978">
        <f>IMAGE("https://mitra.stanford.edu/kundaje/oak/projects/neuro-variants/variant_position/credible/roussos_2024/variant_figures/roussos_2024.childhood.GABA/rs9319675_count_position.png",4,220,900)</f>
        <v/>
      </c>
      <c r="T1978">
        <f>IMAGE("https://mitra.stanford.edu/kundaje/oak/projects/neuro-variants/variant_position/credible/roussos_2024/variant_figures/roussos_2024.childhood.GABA/rs9319675_profile_position.png",4,220,900)</f>
        <v/>
      </c>
    </row>
    <row r="1979">
      <c r="A1979" t="inlineStr">
        <is>
          <t>chr18</t>
        </is>
      </c>
      <c r="B1979" t="n">
        <v>75026772</v>
      </c>
      <c r="C1979" t="inlineStr">
        <is>
          <t>G</t>
        </is>
      </c>
      <c r="D1979" t="inlineStr">
        <is>
          <t>A</t>
        </is>
      </c>
      <c r="E1979" t="inlineStr">
        <is>
          <t>rs4891221</t>
        </is>
      </c>
      <c r="F1979" t="n">
        <v>-0.08395952399999999</v>
      </c>
      <c r="G1979" t="n">
        <v>0.0456563381190585</v>
      </c>
      <c r="H1979" t="n">
        <v>0.0165746878211609</v>
      </c>
      <c r="I1979" t="n">
        <v>0.1636941515633491</v>
      </c>
      <c r="J1979" t="n">
        <v>0.07544658750602069</v>
      </c>
      <c r="K1979" t="n">
        <v>0.4168921761019458</v>
      </c>
      <c r="L1979" t="b">
        <v>0</v>
      </c>
      <c r="M1979" t="b">
        <v>0</v>
      </c>
      <c r="N1979" t="inlineStr">
        <is>
          <t>ref</t>
        </is>
      </c>
      <c r="O1979" t="n">
        <v>-100</v>
      </c>
      <c r="P1979" t="n">
        <v>0.004314</v>
      </c>
      <c r="Q1979" t="n">
        <v>-95</v>
      </c>
      <c r="R1979" t="n">
        <v>0.04663</v>
      </c>
      <c r="S1979">
        <f>IMAGE("https://mitra.stanford.edu/kundaje/oak/projects/neuro-variants/variant_position/credible/roussos_2024/variant_figures/roussos_2024.childhood.GABA/rs4891221_count_position.png",4,220,900)</f>
        <v/>
      </c>
      <c r="T1979">
        <f>IMAGE("https://mitra.stanford.edu/kundaje/oak/projects/neuro-variants/variant_position/credible/roussos_2024/variant_figures/roussos_2024.childhood.GABA/rs4891221_profile_position.png",4,220,900)</f>
        <v/>
      </c>
    </row>
    <row r="1980">
      <c r="A1980" t="inlineStr">
        <is>
          <t>chr18</t>
        </is>
      </c>
      <c r="B1980" t="n">
        <v>79736856</v>
      </c>
      <c r="C1980" t="inlineStr">
        <is>
          <t>C</t>
        </is>
      </c>
      <c r="D1980" t="inlineStr">
        <is>
          <t>A</t>
        </is>
      </c>
      <c r="E1980" t="inlineStr">
        <is>
          <t>rs115000070</t>
        </is>
      </c>
      <c r="F1980" t="n">
        <v>-0.025018361</v>
      </c>
      <c r="G1980" t="n">
        <v>0.3598023422622392</v>
      </c>
      <c r="H1980" t="n">
        <v>0.0129611921834315</v>
      </c>
      <c r="I1980" t="n">
        <v>0.3596540802212403</v>
      </c>
      <c r="J1980" t="n">
        <v>0.66109610269942</v>
      </c>
      <c r="K1980" t="n">
        <v>0.0192136480298782</v>
      </c>
      <c r="L1980" t="b">
        <v>0</v>
      </c>
      <c r="M1980" t="b">
        <v>0</v>
      </c>
      <c r="N1980" t="inlineStr">
        <is>
          <t>ref</t>
        </is>
      </c>
      <c r="O1980" t="n">
        <v>45</v>
      </c>
      <c r="P1980" t="n">
        <v>0.002998</v>
      </c>
      <c r="Q1980" t="n">
        <v>25</v>
      </c>
      <c r="R1980" t="n">
        <v>0.014984</v>
      </c>
      <c r="S1980">
        <f>IMAGE("https://mitra.stanford.edu/kundaje/oak/projects/neuro-variants/variant_position/credible/roussos_2024/variant_figures/roussos_2024.childhood.GABA/rs115000070_count_position.png",4,220,900)</f>
        <v/>
      </c>
      <c r="T1980">
        <f>IMAGE("https://mitra.stanford.edu/kundaje/oak/projects/neuro-variants/variant_position/credible/roussos_2024/variant_figures/roussos_2024.childhood.GABA/rs115000070_profile_position.png",4,220,900)</f>
        <v/>
      </c>
    </row>
    <row r="1981">
      <c r="A1981" t="inlineStr">
        <is>
          <t>chr18</t>
        </is>
      </c>
      <c r="B1981" t="n">
        <v>79787535</v>
      </c>
      <c r="C1981" t="inlineStr">
        <is>
          <t>A</t>
        </is>
      </c>
      <c r="D1981" t="inlineStr">
        <is>
          <t>G</t>
        </is>
      </c>
      <c r="E1981" t="inlineStr">
        <is>
          <t>rs12457876</t>
        </is>
      </c>
      <c r="F1981" t="n">
        <v>-0.03542376466</v>
      </c>
      <c r="G1981" t="n">
        <v>0.2468081232763755</v>
      </c>
      <c r="H1981" t="n">
        <v>0.0285265879702801</v>
      </c>
      <c r="I1981" t="n">
        <v>0.0167962206157891</v>
      </c>
      <c r="J1981" t="n">
        <v>0.6616437352097339</v>
      </c>
      <c r="K1981" t="n">
        <v>0.0194470350308192</v>
      </c>
      <c r="L1981" t="b">
        <v>1</v>
      </c>
      <c r="M1981" t="b">
        <v>0</v>
      </c>
      <c r="N1981" t="inlineStr">
        <is>
          <t>ref</t>
        </is>
      </c>
      <c r="O1981" t="n">
        <v>-30</v>
      </c>
      <c r="P1981" t="n">
        <v>0.005836</v>
      </c>
      <c r="Q1981" t="n">
        <v>85</v>
      </c>
      <c r="R1981" t="n">
        <v>0.03772</v>
      </c>
      <c r="S1981">
        <f>IMAGE("https://mitra.stanford.edu/kundaje/oak/projects/neuro-variants/variant_position/credible/roussos_2024/variant_figures/roussos_2024.childhood.GABA/rs12457876_count_position.png",4,220,900)</f>
        <v/>
      </c>
      <c r="T1981">
        <f>IMAGE("https://mitra.stanford.edu/kundaje/oak/projects/neuro-variants/variant_position/credible/roussos_2024/variant_figures/roussos_2024.childhood.GABA/rs12457876_profile_position.png",4,220,900)</f>
        <v/>
      </c>
    </row>
    <row r="1982">
      <c r="A1982" t="inlineStr">
        <is>
          <t>chr18</t>
        </is>
      </c>
      <c r="B1982" t="n">
        <v>79818986</v>
      </c>
      <c r="C1982" t="inlineStr">
        <is>
          <t>G</t>
        </is>
      </c>
      <c r="D1982" t="inlineStr">
        <is>
          <t>A</t>
        </is>
      </c>
      <c r="E1982" t="inlineStr">
        <is>
          <t>rs11664298</t>
        </is>
      </c>
      <c r="F1982" t="n">
        <v>0.0205439675999999</v>
      </c>
      <c r="G1982" t="n">
        <v>0.4106140030050286</v>
      </c>
      <c r="H1982" t="n">
        <v>0.0143151676502523</v>
      </c>
      <c r="I1982" t="n">
        <v>0.2677607273501826</v>
      </c>
      <c r="J1982" t="n">
        <v>0.652569579694666</v>
      </c>
      <c r="K1982" t="n">
        <v>0.0208414158011283</v>
      </c>
      <c r="L1982" t="b">
        <v>0</v>
      </c>
      <c r="M1982" t="b">
        <v>0</v>
      </c>
      <c r="N1982" t="inlineStr">
        <is>
          <t>alt</t>
        </is>
      </c>
      <c r="O1982" t="n">
        <v>40</v>
      </c>
      <c r="P1982" t="n">
        <v>0.001099</v>
      </c>
      <c r="Q1982" t="n">
        <v>20</v>
      </c>
      <c r="R1982" t="n">
        <v>0.0252</v>
      </c>
      <c r="S1982">
        <f>IMAGE("https://mitra.stanford.edu/kundaje/oak/projects/neuro-variants/variant_position/credible/roussos_2024/variant_figures/roussos_2024.childhood.GABA/rs11664298_count_position.png",4,220,900)</f>
        <v/>
      </c>
      <c r="T1982">
        <f>IMAGE("https://mitra.stanford.edu/kundaje/oak/projects/neuro-variants/variant_position/credible/roussos_2024/variant_figures/roussos_2024.childhood.GABA/rs11664298_profile_position.png",4,220,900)</f>
        <v/>
      </c>
    </row>
    <row r="1983">
      <c r="A1983" t="inlineStr">
        <is>
          <t>chr18</t>
        </is>
      </c>
      <c r="B1983" t="n">
        <v>79871198</v>
      </c>
      <c r="C1983" t="inlineStr">
        <is>
          <t>A</t>
        </is>
      </c>
      <c r="D1983" t="inlineStr">
        <is>
          <t>G</t>
        </is>
      </c>
      <c r="E1983" t="inlineStr">
        <is>
          <t>rs59183289</t>
        </is>
      </c>
      <c r="F1983" t="n">
        <v>0.261289314</v>
      </c>
      <c r="G1983" t="n">
        <v>0.0022365068457333</v>
      </c>
      <c r="H1983" t="n">
        <v>0.045352199364475</v>
      </c>
      <c r="I1983" t="n">
        <v>0.0031417180711669</v>
      </c>
      <c r="J1983" t="n">
        <v>0.7196467089694457</v>
      </c>
      <c r="K1983" t="n">
        <v>0.0128243227201995</v>
      </c>
      <c r="L1983" t="b">
        <v>1</v>
      </c>
      <c r="M1983" t="b">
        <v>1</v>
      </c>
      <c r="N1983" t="inlineStr">
        <is>
          <t>alt</t>
        </is>
      </c>
      <c r="O1983" t="n">
        <v>-100</v>
      </c>
      <c r="P1983" t="n">
        <v>0.003689</v>
      </c>
      <c r="Q1983" t="n">
        <v>-15</v>
      </c>
      <c r="R1983" t="n">
        <v>0.0116</v>
      </c>
      <c r="S1983">
        <f>IMAGE("https://mitra.stanford.edu/kundaje/oak/projects/neuro-variants/variant_position/credible/roussos_2024/variant_figures/roussos_2024.childhood.GABA/rs59183289_count_position.png",4,220,900)</f>
        <v/>
      </c>
      <c r="T1983">
        <f>IMAGE("https://mitra.stanford.edu/kundaje/oak/projects/neuro-variants/variant_position/credible/roussos_2024/variant_figures/roussos_2024.childhood.GABA/rs59183289_profile_position.png",4,220,900)</f>
        <v/>
      </c>
    </row>
    <row r="1984">
      <c r="A1984" t="inlineStr">
        <is>
          <t>chr18</t>
        </is>
      </c>
      <c r="B1984" t="n">
        <v>79871679</v>
      </c>
      <c r="C1984" t="inlineStr">
        <is>
          <t>A</t>
        </is>
      </c>
      <c r="D1984" t="inlineStr">
        <is>
          <t>C</t>
        </is>
      </c>
      <c r="E1984" t="inlineStr">
        <is>
          <t>rs72980085</t>
        </is>
      </c>
      <c r="F1984" t="n">
        <v>0.0007040852096</v>
      </c>
      <c r="G1984" t="n">
        <v>0.8116471193630369</v>
      </c>
      <c r="H1984" t="n">
        <v>0.0213919726813029</v>
      </c>
      <c r="I1984" t="n">
        <v>0.0608695628345438</v>
      </c>
      <c r="J1984" t="n">
        <v>0.7080061150551821</v>
      </c>
      <c r="K1984" t="n">
        <v>0.0140475827007606</v>
      </c>
      <c r="L1984" t="b">
        <v>0</v>
      </c>
      <c r="M1984" t="b">
        <v>0</v>
      </c>
      <c r="N1984" t="inlineStr">
        <is>
          <t>alt</t>
        </is>
      </c>
      <c r="O1984" t="n">
        <v>90</v>
      </c>
      <c r="P1984" t="n">
        <v>0.008529999999999999</v>
      </c>
      <c r="Q1984" t="n">
        <v>15</v>
      </c>
      <c r="R1984" t="n">
        <v>0.04688</v>
      </c>
      <c r="S1984">
        <f>IMAGE("https://mitra.stanford.edu/kundaje/oak/projects/neuro-variants/variant_position/credible/roussos_2024/variant_figures/roussos_2024.childhood.GABA/rs72980085_count_position.png",4,220,900)</f>
        <v/>
      </c>
      <c r="T1984">
        <f>IMAGE("https://mitra.stanford.edu/kundaje/oak/projects/neuro-variants/variant_position/credible/roussos_2024/variant_figures/roussos_2024.childhood.GABA/rs72980085_profile_position.png",4,220,900)</f>
        <v/>
      </c>
    </row>
    <row r="1985">
      <c r="A1985" t="inlineStr">
        <is>
          <t>chr18</t>
        </is>
      </c>
      <c r="B1985" t="n">
        <v>79876077</v>
      </c>
      <c r="C1985" t="inlineStr">
        <is>
          <t>C</t>
        </is>
      </c>
      <c r="D1985" t="inlineStr">
        <is>
          <t>T</t>
        </is>
      </c>
      <c r="E1985" t="inlineStr">
        <is>
          <t>rs56197868</t>
        </is>
      </c>
      <c r="F1985" t="n">
        <v>-0.026912952</v>
      </c>
      <c r="G1985" t="n">
        <v>0.3328309393562241</v>
      </c>
      <c r="H1985" t="n">
        <v>0.0121085783693498</v>
      </c>
      <c r="I1985" t="n">
        <v>0.4165418948118516</v>
      </c>
      <c r="J1985" t="n">
        <v>0.6125599463885573</v>
      </c>
      <c r="K1985" t="n">
        <v>0.0270418940987418</v>
      </c>
      <c r="L1985" t="b">
        <v>0</v>
      </c>
      <c r="M1985" t="b">
        <v>0</v>
      </c>
      <c r="N1985" t="inlineStr">
        <is>
          <t>ref</t>
        </is>
      </c>
      <c r="O1985" t="n">
        <v>-100</v>
      </c>
      <c r="P1985" t="n">
        <v>0.014496</v>
      </c>
      <c r="Q1985" t="n">
        <v>-25</v>
      </c>
      <c r="R1985" t="n">
        <v>0.01056</v>
      </c>
      <c r="S1985">
        <f>IMAGE("https://mitra.stanford.edu/kundaje/oak/projects/neuro-variants/variant_position/credible/roussos_2024/variant_figures/roussos_2024.childhood.GABA/rs56197868_count_position.png",4,220,900)</f>
        <v/>
      </c>
      <c r="T1985">
        <f>IMAGE("https://mitra.stanford.edu/kundaje/oak/projects/neuro-variants/variant_position/credible/roussos_2024/variant_figures/roussos_2024.childhood.GABA/rs56197868_profile_position.png",4,220,900)</f>
        <v/>
      </c>
    </row>
    <row r="1986">
      <c r="A1986" t="inlineStr">
        <is>
          <t>chr18</t>
        </is>
      </c>
      <c r="B1986" t="n">
        <v>79881226</v>
      </c>
      <c r="C1986" t="inlineStr">
        <is>
          <t>A</t>
        </is>
      </c>
      <c r="D1986" t="inlineStr">
        <is>
          <t>G</t>
        </is>
      </c>
      <c r="E1986" t="inlineStr">
        <is>
          <t>rs4239346</t>
        </is>
      </c>
      <c r="F1986" t="n">
        <v>0.02343560112</v>
      </c>
      <c r="G1986" t="n">
        <v>0.3667154750968527</v>
      </c>
      <c r="H1986" t="n">
        <v>0.0140165590790399</v>
      </c>
      <c r="I1986" t="n">
        <v>0.2829521704013288</v>
      </c>
      <c r="J1986" t="n">
        <v>0.674750267010115</v>
      </c>
      <c r="K1986" t="n">
        <v>0.0178286670542391</v>
      </c>
      <c r="L1986" t="b">
        <v>0</v>
      </c>
      <c r="M1986" t="b">
        <v>0</v>
      </c>
      <c r="N1986" t="inlineStr">
        <is>
          <t>alt</t>
        </is>
      </c>
      <c r="O1986" t="n">
        <v>85</v>
      </c>
      <c r="P1986" t="n">
        <v>0.0089</v>
      </c>
      <c r="Q1986" t="n">
        <v>35</v>
      </c>
      <c r="R1986" t="n">
        <v>0.125</v>
      </c>
      <c r="S1986">
        <f>IMAGE("https://mitra.stanford.edu/kundaje/oak/projects/neuro-variants/variant_position/credible/roussos_2024/variant_figures/roussos_2024.childhood.GABA/rs4239346_count_position.png",4,220,900)</f>
        <v/>
      </c>
      <c r="T1986">
        <f>IMAGE("https://mitra.stanford.edu/kundaje/oak/projects/neuro-variants/variant_position/credible/roussos_2024/variant_figures/roussos_2024.childhood.GABA/rs4239346_profile_position.png",4,220,900)</f>
        <v/>
      </c>
    </row>
    <row r="1987">
      <c r="A1987" t="inlineStr">
        <is>
          <t>chr18</t>
        </is>
      </c>
      <c r="B1987" t="n">
        <v>79881902</v>
      </c>
      <c r="C1987" t="inlineStr">
        <is>
          <t>C</t>
        </is>
      </c>
      <c r="D1987" t="inlineStr">
        <is>
          <t>G</t>
        </is>
      </c>
      <c r="E1987" t="inlineStr">
        <is>
          <t>rs11662267</t>
        </is>
      </c>
      <c r="F1987" t="n">
        <v>0.0377447768</v>
      </c>
      <c r="G1987" t="n">
        <v>0.2180321611199047</v>
      </c>
      <c r="H1987" t="n">
        <v>0.0114262750194136</v>
      </c>
      <c r="I1987" t="n">
        <v>0.4897266385684857</v>
      </c>
      <c r="J1987" t="n">
        <v>0.5354463780863228</v>
      </c>
      <c r="K1987" t="n">
        <v>0.0429702078557721</v>
      </c>
      <c r="L1987" t="b">
        <v>0</v>
      </c>
      <c r="M1987" t="b">
        <v>0</v>
      </c>
      <c r="N1987" t="inlineStr">
        <is>
          <t>alt</t>
        </is>
      </c>
      <c r="O1987" t="n">
        <v>90</v>
      </c>
      <c r="P1987" t="n">
        <v>0.01424</v>
      </c>
      <c r="Q1987" t="n">
        <v>-70</v>
      </c>
      <c r="R1987" t="n">
        <v>0.09686</v>
      </c>
      <c r="S1987">
        <f>IMAGE("https://mitra.stanford.edu/kundaje/oak/projects/neuro-variants/variant_position/credible/roussos_2024/variant_figures/roussos_2024.childhood.GABA/rs11662267_count_position.png",4,220,900)</f>
        <v/>
      </c>
      <c r="T1987">
        <f>IMAGE("https://mitra.stanford.edu/kundaje/oak/projects/neuro-variants/variant_position/credible/roussos_2024/variant_figures/roussos_2024.childhood.GABA/rs11662267_profile_position.png",4,220,900)</f>
        <v/>
      </c>
    </row>
    <row r="1988">
      <c r="A1988" t="inlineStr">
        <is>
          <t>chr18</t>
        </is>
      </c>
      <c r="B1988" t="n">
        <v>79956624</v>
      </c>
      <c r="C1988" t="inlineStr">
        <is>
          <t>G</t>
        </is>
      </c>
      <c r="D1988" t="inlineStr">
        <is>
          <t>A</t>
        </is>
      </c>
      <c r="E1988" t="inlineStr">
        <is>
          <t>rs12953577</t>
        </is>
      </c>
      <c r="F1988" t="n">
        <v>-0.01690823578</v>
      </c>
      <c r="G1988" t="n">
        <v>0.4976685672839821</v>
      </c>
      <c r="H1988" t="n">
        <v>0.011929398149977</v>
      </c>
      <c r="I1988" t="n">
        <v>0.4231242337174261</v>
      </c>
      <c r="J1988" t="n">
        <v>0.0350086909174676</v>
      </c>
      <c r="K1988" t="n">
        <v>0.5805467578951868</v>
      </c>
      <c r="L1988" t="b">
        <v>0</v>
      </c>
      <c r="M1988" t="b">
        <v>0</v>
      </c>
      <c r="N1988" t="inlineStr">
        <is>
          <t>ref</t>
        </is>
      </c>
      <c r="O1988" t="n">
        <v>-75</v>
      </c>
      <c r="P1988" t="n">
        <v>0.0055</v>
      </c>
      <c r="Q1988" t="n">
        <v>-5</v>
      </c>
      <c r="R1988" t="n">
        <v>0.003052</v>
      </c>
      <c r="S1988">
        <f>IMAGE("https://mitra.stanford.edu/kundaje/oak/projects/neuro-variants/variant_position/credible/roussos_2024/variant_figures/roussos_2024.childhood.GABA/rs12953577_count_position.png",4,220,900)</f>
        <v/>
      </c>
      <c r="T1988">
        <f>IMAGE("https://mitra.stanford.edu/kundaje/oak/projects/neuro-variants/variant_position/credible/roussos_2024/variant_figures/roussos_2024.childhood.GABA/rs12953577_profile_position.png",4,220,900)</f>
        <v/>
      </c>
    </row>
    <row r="1989">
      <c r="A1989" t="inlineStr">
        <is>
          <t>chr19</t>
        </is>
      </c>
      <c r="B1989" t="n">
        <v>2129707</v>
      </c>
      <c r="C1989" t="inlineStr">
        <is>
          <t>A</t>
        </is>
      </c>
      <c r="D1989" t="inlineStr">
        <is>
          <t>G</t>
        </is>
      </c>
      <c r="E1989" t="inlineStr">
        <is>
          <t>rs56862829</t>
        </is>
      </c>
      <c r="F1989" t="n">
        <v>0.1452390792</v>
      </c>
      <c r="G1989" t="n">
        <v>0.0132195637932965</v>
      </c>
      <c r="H1989" t="n">
        <v>0.0212490039837693</v>
      </c>
      <c r="I1989" t="n">
        <v>0.07491472415534139</v>
      </c>
      <c r="J1989" t="n">
        <v>0.7199943456681536</v>
      </c>
      <c r="K1989" t="n">
        <v>0.0128072262825146</v>
      </c>
      <c r="L1989" t="b">
        <v>1</v>
      </c>
      <c r="M1989" t="b">
        <v>0</v>
      </c>
      <c r="N1989" t="inlineStr">
        <is>
          <t>alt</t>
        </is>
      </c>
      <c r="O1989" t="n">
        <v>-80</v>
      </c>
      <c r="P1989" t="n">
        <v>0.004303</v>
      </c>
      <c r="Q1989" t="n">
        <v>75</v>
      </c>
      <c r="R1989" t="n">
        <v>0.07117</v>
      </c>
      <c r="S1989">
        <f>IMAGE("https://mitra.stanford.edu/kundaje/oak/projects/neuro-variants/variant_position/credible/roussos_2024/variant_figures/roussos_2024.childhood.GABA/rs56862829_count_position.png",4,220,900)</f>
        <v/>
      </c>
      <c r="T1989">
        <f>IMAGE("https://mitra.stanford.edu/kundaje/oak/projects/neuro-variants/variant_position/credible/roussos_2024/variant_figures/roussos_2024.childhood.GABA/rs56862829_profile_position.png",4,220,900)</f>
        <v/>
      </c>
    </row>
    <row r="1990">
      <c r="A1990" t="inlineStr">
        <is>
          <t>chr19</t>
        </is>
      </c>
      <c r="B1990" t="n">
        <v>2131294</v>
      </c>
      <c r="C1990" t="inlineStr">
        <is>
          <t>C</t>
        </is>
      </c>
      <c r="D1990" t="inlineStr">
        <is>
          <t>T</t>
        </is>
      </c>
      <c r="E1990" t="inlineStr">
        <is>
          <t>rs72486339</t>
        </is>
      </c>
      <c r="F1990" t="n">
        <v>-0.0170019847599999</v>
      </c>
      <c r="G1990" t="n">
        <v>0.4852386245263005</v>
      </c>
      <c r="H1990" t="n">
        <v>0.009290798814508301</v>
      </c>
      <c r="I1990" t="n">
        <v>0.7125202187758214</v>
      </c>
      <c r="J1990" t="n">
        <v>0.6028166949383259</v>
      </c>
      <c r="K1990" t="n">
        <v>0.0282030498681965</v>
      </c>
      <c r="L1990" t="b">
        <v>0</v>
      </c>
      <c r="M1990" t="b">
        <v>0</v>
      </c>
      <c r="N1990" t="inlineStr">
        <is>
          <t>ref</t>
        </is>
      </c>
      <c r="O1990" t="n">
        <v>-90</v>
      </c>
      <c r="P1990" t="n">
        <v>0.002346</v>
      </c>
      <c r="Q1990" t="n">
        <v>100</v>
      </c>
      <c r="R1990" t="n">
        <v>0.01471</v>
      </c>
      <c r="S1990">
        <f>IMAGE("https://mitra.stanford.edu/kundaje/oak/projects/neuro-variants/variant_position/credible/roussos_2024/variant_figures/roussos_2024.childhood.GABA/rs72486339_count_position.png",4,220,900)</f>
        <v/>
      </c>
      <c r="T1990">
        <f>IMAGE("https://mitra.stanford.edu/kundaje/oak/projects/neuro-variants/variant_position/credible/roussos_2024/variant_figures/roussos_2024.childhood.GABA/rs72486339_profile_position.png",4,220,900)</f>
        <v/>
      </c>
    </row>
    <row r="1991">
      <c r="A1991" t="inlineStr">
        <is>
          <t>chr19</t>
        </is>
      </c>
      <c r="B1991" t="n">
        <v>2141944</v>
      </c>
      <c r="C1991" t="inlineStr">
        <is>
          <t>A</t>
        </is>
      </c>
      <c r="D1991" t="inlineStr">
        <is>
          <t>G</t>
        </is>
      </c>
      <c r="E1991" t="inlineStr">
        <is>
          <t>rs117443676</t>
        </is>
      </c>
      <c r="F1991" t="n">
        <v>-0.00380499886</v>
      </c>
      <c r="G1991" t="n">
        <v>0.7996065427200981</v>
      </c>
      <c r="H1991" t="n">
        <v>0.0202713898383196</v>
      </c>
      <c r="I1991" t="n">
        <v>0.07357338746025691</v>
      </c>
      <c r="J1991" t="n">
        <v>0.0379290486063118</v>
      </c>
      <c r="K1991" t="n">
        <v>0.5639648143221921</v>
      </c>
      <c r="L1991" t="b">
        <v>0</v>
      </c>
      <c r="M1991" t="b">
        <v>0</v>
      </c>
      <c r="N1991" t="inlineStr">
        <is>
          <t>ref</t>
        </is>
      </c>
      <c r="O1991" t="n">
        <v>-30</v>
      </c>
      <c r="P1991" t="n">
        <v>0.003311</v>
      </c>
      <c r="Q1991" t="n">
        <v>100</v>
      </c>
      <c r="R1991" t="n">
        <v>0.1023</v>
      </c>
      <c r="S1991">
        <f>IMAGE("https://mitra.stanford.edu/kundaje/oak/projects/neuro-variants/variant_position/credible/roussos_2024/variant_figures/roussos_2024.childhood.GABA/rs117443676_count_position.png",4,220,900)</f>
        <v/>
      </c>
      <c r="T1991">
        <f>IMAGE("https://mitra.stanford.edu/kundaje/oak/projects/neuro-variants/variant_position/credible/roussos_2024/variant_figures/roussos_2024.childhood.GABA/rs117443676_profile_position.png",4,220,900)</f>
        <v/>
      </c>
    </row>
    <row r="1992">
      <c r="A1992" t="inlineStr">
        <is>
          <t>chr19</t>
        </is>
      </c>
      <c r="B1992" t="n">
        <v>2144047</v>
      </c>
      <c r="C1992" t="inlineStr">
        <is>
          <t>T</t>
        </is>
      </c>
      <c r="D1992" t="inlineStr">
        <is>
          <t>C</t>
        </is>
      </c>
      <c r="E1992" t="inlineStr">
        <is>
          <t>rs149339216</t>
        </is>
      </c>
      <c r="F1992" t="n">
        <v>0.0008866952599999</v>
      </c>
      <c r="G1992" t="n">
        <v>0.7108996121868836</v>
      </c>
      <c r="H1992" t="n">
        <v>0.009756832254036899</v>
      </c>
      <c r="I1992" t="n">
        <v>0.6725900342531649</v>
      </c>
      <c r="J1992" t="n">
        <v>0.3344987539527967</v>
      </c>
      <c r="K1992" t="n">
        <v>0.1170223355251421</v>
      </c>
      <c r="L1992" t="b">
        <v>0</v>
      </c>
      <c r="M1992" t="b">
        <v>0</v>
      </c>
      <c r="N1992" t="inlineStr">
        <is>
          <t>alt</t>
        </is>
      </c>
      <c r="O1992" t="n">
        <v>-30</v>
      </c>
      <c r="P1992" t="n">
        <v>0.001953</v>
      </c>
      <c r="Q1992" t="n">
        <v>95</v>
      </c>
      <c r="R1992" t="n">
        <v>0.02637</v>
      </c>
      <c r="S1992">
        <f>IMAGE("https://mitra.stanford.edu/kundaje/oak/projects/neuro-variants/variant_position/credible/roussos_2024/variant_figures/roussos_2024.childhood.GABA/rs149339216_count_position.png",4,220,900)</f>
        <v/>
      </c>
      <c r="T1992">
        <f>IMAGE("https://mitra.stanford.edu/kundaje/oak/projects/neuro-variants/variant_position/credible/roussos_2024/variant_figures/roussos_2024.childhood.GABA/rs149339216_profile_position.png",4,220,900)</f>
        <v/>
      </c>
    </row>
    <row r="1993">
      <c r="A1993" t="inlineStr">
        <is>
          <t>chr19</t>
        </is>
      </c>
      <c r="B1993" t="n">
        <v>2149216</v>
      </c>
      <c r="C1993" t="inlineStr">
        <is>
          <t>G</t>
        </is>
      </c>
      <c r="D1993" t="inlineStr">
        <is>
          <t>A</t>
        </is>
      </c>
      <c r="E1993" t="inlineStr">
        <is>
          <t>rs75138150</t>
        </is>
      </c>
      <c r="F1993" t="n">
        <v>-0.1460976672</v>
      </c>
      <c r="G1993" t="n">
        <v>0.0118429942342625</v>
      </c>
      <c r="H1993" t="n">
        <v>0.0191787719134904</v>
      </c>
      <c r="I1993" t="n">
        <v>0.0930555480849342</v>
      </c>
      <c r="J1993" t="n">
        <v>0.4759282528114594</v>
      </c>
      <c r="K1993" t="n">
        <v>0.0577265927436734</v>
      </c>
      <c r="L1993" t="b">
        <v>1</v>
      </c>
      <c r="M1993" t="b">
        <v>0</v>
      </c>
      <c r="N1993" t="inlineStr">
        <is>
          <t>ref</t>
        </is>
      </c>
      <c r="O1993" t="n">
        <v>50</v>
      </c>
      <c r="P1993" t="n">
        <v>0.001022</v>
      </c>
      <c r="Q1993" t="n">
        <v>-45</v>
      </c>
      <c r="R1993" t="n">
        <v>0.1001</v>
      </c>
      <c r="S1993">
        <f>IMAGE("https://mitra.stanford.edu/kundaje/oak/projects/neuro-variants/variant_position/credible/roussos_2024/variant_figures/roussos_2024.childhood.GABA/rs75138150_count_position.png",4,220,900)</f>
        <v/>
      </c>
      <c r="T1993">
        <f>IMAGE("https://mitra.stanford.edu/kundaje/oak/projects/neuro-variants/variant_position/credible/roussos_2024/variant_figures/roussos_2024.childhood.GABA/rs75138150_profile_position.png",4,220,900)</f>
        <v/>
      </c>
    </row>
    <row r="1994">
      <c r="A1994" t="inlineStr">
        <is>
          <t>chr19</t>
        </is>
      </c>
      <c r="B1994" t="n">
        <v>2165384</v>
      </c>
      <c r="C1994" t="inlineStr">
        <is>
          <t>G</t>
        </is>
      </c>
      <c r="D1994" t="inlineStr">
        <is>
          <t>A</t>
        </is>
      </c>
      <c r="E1994" t="inlineStr">
        <is>
          <t>rs141958336</t>
        </is>
      </c>
      <c r="F1994" t="n">
        <v>0.0825662256</v>
      </c>
      <c r="G1994" t="n">
        <v>0.044047419649468</v>
      </c>
      <c r="H1994" t="n">
        <v>0.0230954038747065</v>
      </c>
      <c r="I1994" t="n">
        <v>0.0402859488431253</v>
      </c>
      <c r="J1994" t="n">
        <v>0.8071757659525455</v>
      </c>
      <c r="K1994" t="n">
        <v>0.0063117359413082</v>
      </c>
      <c r="L1994" t="b">
        <v>0</v>
      </c>
      <c r="M1994" t="b">
        <v>0</v>
      </c>
      <c r="N1994" t="inlineStr">
        <is>
          <t>alt</t>
        </is>
      </c>
      <c r="O1994" t="n">
        <v>-80</v>
      </c>
      <c r="P1994" t="n">
        <v>0.009950000000000001</v>
      </c>
      <c r="Q1994" t="n">
        <v>-100</v>
      </c>
      <c r="R1994" t="n">
        <v>0.03687</v>
      </c>
      <c r="S1994">
        <f>IMAGE("https://mitra.stanford.edu/kundaje/oak/projects/neuro-variants/variant_position/credible/roussos_2024/variant_figures/roussos_2024.childhood.GABA/rs141958336_count_position.png",4,220,900)</f>
        <v/>
      </c>
      <c r="T1994">
        <f>IMAGE("https://mitra.stanford.edu/kundaje/oak/projects/neuro-variants/variant_position/credible/roussos_2024/variant_figures/roussos_2024.childhood.GABA/rs141958336_profile_position.png",4,220,900)</f>
        <v/>
      </c>
    </row>
    <row r="1995">
      <c r="A1995" t="inlineStr">
        <is>
          <t>chr19</t>
        </is>
      </c>
      <c r="B1995" t="n">
        <v>2191797</v>
      </c>
      <c r="C1995" t="inlineStr">
        <is>
          <t>A</t>
        </is>
      </c>
      <c r="D1995" t="inlineStr">
        <is>
          <t>C</t>
        </is>
      </c>
      <c r="E1995" t="inlineStr">
        <is>
          <t>rs111785160</t>
        </is>
      </c>
      <c r="F1995" t="n">
        <v>0.09758795119999999</v>
      </c>
      <c r="G1995" t="n">
        <v>0.029319994873128</v>
      </c>
      <c r="H1995" t="n">
        <v>0.0264086725515128</v>
      </c>
      <c r="I1995" t="n">
        <v>0.024123850450986</v>
      </c>
      <c r="J1995" t="n">
        <v>0.6246068145169735</v>
      </c>
      <c r="K1995" t="n">
        <v>0.0247179503888119</v>
      </c>
      <c r="L1995" t="b">
        <v>0</v>
      </c>
      <c r="M1995" t="b">
        <v>0</v>
      </c>
      <c r="N1995" t="inlineStr">
        <is>
          <t>alt</t>
        </is>
      </c>
      <c r="O1995" t="n">
        <v>-100</v>
      </c>
      <c r="P1995" t="n">
        <v>0.011795</v>
      </c>
      <c r="Q1995" t="n">
        <v>-100</v>
      </c>
      <c r="R1995" t="n">
        <v>0.0585</v>
      </c>
      <c r="S1995">
        <f>IMAGE("https://mitra.stanford.edu/kundaje/oak/projects/neuro-variants/variant_position/credible/roussos_2024/variant_figures/roussos_2024.childhood.GABA/rs111785160_count_position.png",4,220,900)</f>
        <v/>
      </c>
      <c r="T1995">
        <f>IMAGE("https://mitra.stanford.edu/kundaje/oak/projects/neuro-variants/variant_position/credible/roussos_2024/variant_figures/roussos_2024.childhood.GABA/rs111785160_profile_position.png",4,220,900)</f>
        <v/>
      </c>
    </row>
    <row r="1996">
      <c r="A1996" t="inlineStr">
        <is>
          <t>chr19</t>
        </is>
      </c>
      <c r="B1996" t="n">
        <v>2196157</v>
      </c>
      <c r="C1996" t="inlineStr">
        <is>
          <t>C</t>
        </is>
      </c>
      <c r="D1996" t="inlineStr">
        <is>
          <t>T</t>
        </is>
      </c>
      <c r="E1996" t="inlineStr">
        <is>
          <t>rs77188636</t>
        </is>
      </c>
      <c r="F1996" t="n">
        <v>-0.040543535</v>
      </c>
      <c r="G1996" t="n">
        <v>0.2094503179732393</v>
      </c>
      <c r="H1996" t="n">
        <v>0.0135556368074927</v>
      </c>
      <c r="I1996" t="n">
        <v>0.3151218241316452</v>
      </c>
      <c r="J1996" t="n">
        <v>0.5470607945383342</v>
      </c>
      <c r="K1996" t="n">
        <v>0.0391830977521326</v>
      </c>
      <c r="L1996" t="b">
        <v>0</v>
      </c>
      <c r="M1996" t="b">
        <v>0</v>
      </c>
      <c r="N1996" t="inlineStr">
        <is>
          <t>ref</t>
        </is>
      </c>
      <c r="O1996" t="n">
        <v>-90</v>
      </c>
      <c r="P1996" t="n">
        <v>0.001579</v>
      </c>
      <c r="Q1996" t="n">
        <v>-50</v>
      </c>
      <c r="R1996" t="n">
        <v>0.07227</v>
      </c>
      <c r="S1996">
        <f>IMAGE("https://mitra.stanford.edu/kundaje/oak/projects/neuro-variants/variant_position/credible/roussos_2024/variant_figures/roussos_2024.childhood.GABA/rs77188636_count_position.png",4,220,900)</f>
        <v/>
      </c>
      <c r="T1996">
        <f>IMAGE("https://mitra.stanford.edu/kundaje/oak/projects/neuro-variants/variant_position/credible/roussos_2024/variant_figures/roussos_2024.childhood.GABA/rs77188636_profile_position.png",4,220,900)</f>
        <v/>
      </c>
    </row>
    <row r="1997">
      <c r="A1997" t="inlineStr">
        <is>
          <t>chr19</t>
        </is>
      </c>
      <c r="B1997" t="n">
        <v>2279747</v>
      </c>
      <c r="C1997" t="inlineStr">
        <is>
          <t>C</t>
        </is>
      </c>
      <c r="D1997" t="inlineStr">
        <is>
          <t>T</t>
        </is>
      </c>
      <c r="E1997" t="inlineStr">
        <is>
          <t>rs62119705</t>
        </is>
      </c>
      <c r="F1997" t="n">
        <v>-0.07194267639999991</v>
      </c>
      <c r="G1997" t="n">
        <v>0.06663044745244449</v>
      </c>
      <c r="H1997" t="n">
        <v>0.009259971139782899</v>
      </c>
      <c r="I1997" t="n">
        <v>0.7268285402479171</v>
      </c>
      <c r="J1997" t="n">
        <v>0.1763156792527904</v>
      </c>
      <c r="K1997" t="n">
        <v>0.2511847722488355</v>
      </c>
      <c r="L1997" t="b">
        <v>0</v>
      </c>
      <c r="M1997" t="b">
        <v>0</v>
      </c>
      <c r="N1997" t="inlineStr">
        <is>
          <t>ref</t>
        </is>
      </c>
      <c r="O1997" t="n">
        <v>-100</v>
      </c>
      <c r="P1997" t="n">
        <v>0.009995</v>
      </c>
      <c r="Q1997" t="n">
        <v>-10</v>
      </c>
      <c r="R1997" t="n">
        <v>0.01605</v>
      </c>
      <c r="S1997">
        <f>IMAGE("https://mitra.stanford.edu/kundaje/oak/projects/neuro-variants/variant_position/credible/roussos_2024/variant_figures/roussos_2024.childhood.GABA/rs62119705_count_position.png",4,220,900)</f>
        <v/>
      </c>
      <c r="T1997">
        <f>IMAGE("https://mitra.stanford.edu/kundaje/oak/projects/neuro-variants/variant_position/credible/roussos_2024/variant_figures/roussos_2024.childhood.GABA/rs62119705_profile_position.png",4,220,900)</f>
        <v/>
      </c>
    </row>
    <row r="1998">
      <c r="A1998" t="inlineStr">
        <is>
          <t>chr19</t>
        </is>
      </c>
      <c r="B1998" t="n">
        <v>4957122</v>
      </c>
      <c r="C1998" t="inlineStr">
        <is>
          <t>G</t>
        </is>
      </c>
      <c r="D1998" t="inlineStr">
        <is>
          <t>A</t>
        </is>
      </c>
      <c r="E1998" t="inlineStr">
        <is>
          <t>rs4807003</t>
        </is>
      </c>
      <c r="F1998" t="n">
        <v>-0.005760964828</v>
      </c>
      <c r="G1998" t="n">
        <v>0.7528155453700903</v>
      </c>
      <c r="H1998" t="n">
        <v>0.0111355864995663</v>
      </c>
      <c r="I1998" t="n">
        <v>0.5239310992310174</v>
      </c>
      <c r="J1998" t="n">
        <v>0.3625075914640531</v>
      </c>
      <c r="K1998" t="n">
        <v>0.1022664153963615</v>
      </c>
      <c r="L1998" t="b">
        <v>0</v>
      </c>
      <c r="M1998" t="b">
        <v>0</v>
      </c>
      <c r="N1998" t="inlineStr">
        <is>
          <t>ref</t>
        </is>
      </c>
      <c r="O1998" t="n">
        <v>100</v>
      </c>
      <c r="P1998" t="n">
        <v>0.08799999999999999</v>
      </c>
      <c r="Q1998" t="n">
        <v>-100</v>
      </c>
      <c r="R1998" t="n">
        <v>0.1002</v>
      </c>
      <c r="S1998">
        <f>IMAGE("https://mitra.stanford.edu/kundaje/oak/projects/neuro-variants/variant_position/credible/roussos_2024/variant_figures/roussos_2024.childhood.GABA/rs4807003_count_position.png",4,220,900)</f>
        <v/>
      </c>
      <c r="T1998">
        <f>IMAGE("https://mitra.stanford.edu/kundaje/oak/projects/neuro-variants/variant_position/credible/roussos_2024/variant_figures/roussos_2024.childhood.GABA/rs4807003_profile_position.png",4,220,900)</f>
        <v/>
      </c>
    </row>
    <row r="1999">
      <c r="A1999" t="inlineStr">
        <is>
          <t>chr19</t>
        </is>
      </c>
      <c r="B1999" t="n">
        <v>4966030</v>
      </c>
      <c r="C1999" t="inlineStr">
        <is>
          <t>C</t>
        </is>
      </c>
      <c r="D1999" t="inlineStr">
        <is>
          <t>T</t>
        </is>
      </c>
      <c r="E1999" t="inlineStr">
        <is>
          <t>rs35502362</t>
        </is>
      </c>
      <c r="F1999" t="n">
        <v>0.0410053132</v>
      </c>
      <c r="G1999" t="n">
        <v>0.1647642414632792</v>
      </c>
      <c r="H1999" t="n">
        <v>0.0113616420160871</v>
      </c>
      <c r="I1999" t="n">
        <v>0.492101192830577</v>
      </c>
      <c r="J1999" t="n">
        <v>0.06968964000753899</v>
      </c>
      <c r="K1999" t="n">
        <v>0.4445318228722738</v>
      </c>
      <c r="L1999" t="b">
        <v>0</v>
      </c>
      <c r="M1999" t="b">
        <v>0</v>
      </c>
      <c r="N1999" t="inlineStr">
        <is>
          <t>alt</t>
        </is>
      </c>
      <c r="O1999" t="n">
        <v>-90</v>
      </c>
      <c r="P1999" t="n">
        <v>0.009735000000000001</v>
      </c>
      <c r="Q1999" t="n">
        <v>0</v>
      </c>
      <c r="R1999" t="n">
        <v>0</v>
      </c>
      <c r="S1999">
        <f>IMAGE("https://mitra.stanford.edu/kundaje/oak/projects/neuro-variants/variant_position/credible/roussos_2024/variant_figures/roussos_2024.childhood.GABA/rs35502362_count_position.png",4,220,900)</f>
        <v/>
      </c>
      <c r="T1999">
        <f>IMAGE("https://mitra.stanford.edu/kundaje/oak/projects/neuro-variants/variant_position/credible/roussos_2024/variant_figures/roussos_2024.childhood.GABA/rs35502362_profile_position.png",4,220,900)</f>
        <v/>
      </c>
    </row>
    <row r="2000">
      <c r="A2000" t="inlineStr">
        <is>
          <t>chr19</t>
        </is>
      </c>
      <c r="B2000" t="n">
        <v>5020463</v>
      </c>
      <c r="C2000" t="inlineStr">
        <is>
          <t>G</t>
        </is>
      </c>
      <c r="D2000" t="inlineStr">
        <is>
          <t>A</t>
        </is>
      </c>
      <c r="E2000" t="inlineStr">
        <is>
          <t>rs34009962</t>
        </is>
      </c>
      <c r="F2000" t="n">
        <v>-0.058577994</v>
      </c>
      <c r="G2000" t="n">
        <v>0.1176251110504574</v>
      </c>
      <c r="H2000" t="n">
        <v>0.009948439845369699</v>
      </c>
      <c r="I2000" t="n">
        <v>0.6407487854750105</v>
      </c>
      <c r="J2000" t="n">
        <v>0.3865008062658374</v>
      </c>
      <c r="K2000" t="n">
        <v>0.0915345317462137</v>
      </c>
      <c r="L2000" t="b">
        <v>0</v>
      </c>
      <c r="M2000" t="b">
        <v>0</v>
      </c>
      <c r="N2000" t="inlineStr">
        <is>
          <t>ref</t>
        </is>
      </c>
      <c r="O2000" t="n">
        <v>-100</v>
      </c>
      <c r="P2000" t="n">
        <v>0.00483</v>
      </c>
      <c r="Q2000" t="n">
        <v>85</v>
      </c>
      <c r="R2000" t="n">
        <v>0.1841</v>
      </c>
      <c r="S2000">
        <f>IMAGE("https://mitra.stanford.edu/kundaje/oak/projects/neuro-variants/variant_position/credible/roussos_2024/variant_figures/roussos_2024.childhood.GABA/rs34009962_count_position.png",4,220,900)</f>
        <v/>
      </c>
      <c r="T2000">
        <f>IMAGE("https://mitra.stanford.edu/kundaje/oak/projects/neuro-variants/variant_position/credible/roussos_2024/variant_figures/roussos_2024.childhood.GABA/rs34009962_profile_position.png",4,220,900)</f>
        <v/>
      </c>
    </row>
    <row r="2001">
      <c r="A2001" t="inlineStr">
        <is>
          <t>chr19</t>
        </is>
      </c>
      <c r="B2001" t="n">
        <v>11270403</v>
      </c>
      <c r="C2001" t="inlineStr">
        <is>
          <t>A</t>
        </is>
      </c>
      <c r="D2001" t="inlineStr">
        <is>
          <t>G</t>
        </is>
      </c>
      <c r="E2001" t="inlineStr">
        <is>
          <t>rs113848170</t>
        </is>
      </c>
      <c r="F2001" t="n">
        <v>0.093772407</v>
      </c>
      <c r="G2001" t="n">
        <v>0.0348991513635677</v>
      </c>
      <c r="H2001" t="n">
        <v>0.0195007430344501</v>
      </c>
      <c r="I2001" t="n">
        <v>0.0842781000793113</v>
      </c>
      <c r="J2001" t="n">
        <v>0.1192739419069757</v>
      </c>
      <c r="K2001" t="n">
        <v>0.3444302971202104</v>
      </c>
      <c r="L2001" t="b">
        <v>0</v>
      </c>
      <c r="M2001" t="b">
        <v>0</v>
      </c>
      <c r="N2001" t="inlineStr">
        <is>
          <t>alt</t>
        </is>
      </c>
      <c r="O2001" t="n">
        <v>-90</v>
      </c>
      <c r="P2001" t="n">
        <v>0.01517</v>
      </c>
      <c r="Q2001" t="n">
        <v>-100</v>
      </c>
      <c r="R2001" t="n">
        <v>0.05536</v>
      </c>
      <c r="S2001">
        <f>IMAGE("https://mitra.stanford.edu/kundaje/oak/projects/neuro-variants/variant_position/credible/roussos_2024/variant_figures/roussos_2024.childhood.GABA/rs113848170_count_position.png",4,220,900)</f>
        <v/>
      </c>
      <c r="T2001">
        <f>IMAGE("https://mitra.stanford.edu/kundaje/oak/projects/neuro-variants/variant_position/credible/roussos_2024/variant_figures/roussos_2024.childhood.GABA/rs113848170_profile_position.png",4,220,900)</f>
        <v/>
      </c>
    </row>
    <row r="2002">
      <c r="A2002" t="inlineStr">
        <is>
          <t>chr19</t>
        </is>
      </c>
      <c r="B2002" t="n">
        <v>19370570</v>
      </c>
      <c r="C2002" t="inlineStr">
        <is>
          <t>G</t>
        </is>
      </c>
      <c r="D2002" t="inlineStr">
        <is>
          <t>T</t>
        </is>
      </c>
      <c r="E2002" t="inlineStr">
        <is>
          <t>rs34538000</t>
        </is>
      </c>
      <c r="F2002" t="n">
        <v>0.00140573156</v>
      </c>
      <c r="G2002" t="n">
        <v>0.8450858937216905</v>
      </c>
      <c r="H2002" t="n">
        <v>0.0327352252165461</v>
      </c>
      <c r="I2002" t="n">
        <v>0.0086496067579081</v>
      </c>
      <c r="J2002" t="n">
        <v>0.0248979078972167</v>
      </c>
      <c r="K2002" t="n">
        <v>0.6392388506215458</v>
      </c>
      <c r="L2002" t="b">
        <v>1</v>
      </c>
      <c r="M2002" t="b">
        <v>0</v>
      </c>
      <c r="N2002" t="inlineStr">
        <is>
          <t>alt</t>
        </is>
      </c>
      <c r="O2002" t="n">
        <v>70</v>
      </c>
      <c r="P2002" t="n">
        <v>0.005432</v>
      </c>
      <c r="Q2002" t="n">
        <v>100</v>
      </c>
      <c r="R2002" t="n">
        <v>0.03064</v>
      </c>
      <c r="S2002">
        <f>IMAGE("https://mitra.stanford.edu/kundaje/oak/projects/neuro-variants/variant_position/credible/roussos_2024/variant_figures/roussos_2024.childhood.GABA/rs34538000_count_position.png",4,220,900)</f>
        <v/>
      </c>
      <c r="T2002">
        <f>IMAGE("https://mitra.stanford.edu/kundaje/oak/projects/neuro-variants/variant_position/credible/roussos_2024/variant_figures/roussos_2024.childhood.GABA/rs34538000_profile_position.png",4,220,900)</f>
        <v/>
      </c>
    </row>
    <row r="2003">
      <c r="A2003" t="inlineStr">
        <is>
          <t>chr19</t>
        </is>
      </c>
      <c r="B2003" t="n">
        <v>19381164</v>
      </c>
      <c r="C2003" t="inlineStr">
        <is>
          <t>T</t>
        </is>
      </c>
      <c r="D2003" t="inlineStr">
        <is>
          <t>C</t>
        </is>
      </c>
      <c r="E2003" t="inlineStr">
        <is>
          <t>rs2965180</t>
        </is>
      </c>
      <c r="F2003" t="n">
        <v>0.0828966548</v>
      </c>
      <c r="G2003" t="n">
        <v>0.0450139800103551</v>
      </c>
      <c r="H2003" t="n">
        <v>0.0169679274871145</v>
      </c>
      <c r="I2003" t="n">
        <v>0.1436313749824204</v>
      </c>
      <c r="J2003" t="n">
        <v>0.0422368117945173</v>
      </c>
      <c r="K2003" t="n">
        <v>0.5358901774901588</v>
      </c>
      <c r="L2003" t="b">
        <v>0</v>
      </c>
      <c r="M2003" t="b">
        <v>0</v>
      </c>
      <c r="N2003" t="inlineStr">
        <is>
          <t>alt</t>
        </is>
      </c>
      <c r="O2003" t="n">
        <v>90</v>
      </c>
      <c r="P2003" t="n">
        <v>0.02173</v>
      </c>
      <c r="Q2003" t="n">
        <v>90</v>
      </c>
      <c r="R2003" t="n">
        <v>0.04306</v>
      </c>
      <c r="S2003">
        <f>IMAGE("https://mitra.stanford.edu/kundaje/oak/projects/neuro-variants/variant_position/credible/roussos_2024/variant_figures/roussos_2024.childhood.GABA/rs2965180_count_position.png",4,220,900)</f>
        <v/>
      </c>
      <c r="T2003">
        <f>IMAGE("https://mitra.stanford.edu/kundaje/oak/projects/neuro-variants/variant_position/credible/roussos_2024/variant_figures/roussos_2024.childhood.GABA/rs2965180_profile_position.png",4,220,900)</f>
        <v/>
      </c>
    </row>
    <row r="2004">
      <c r="A2004" t="inlineStr">
        <is>
          <t>chr19</t>
        </is>
      </c>
      <c r="B2004" t="n">
        <v>19417515</v>
      </c>
      <c r="C2004" t="inlineStr">
        <is>
          <t>T</t>
        </is>
      </c>
      <c r="D2004" t="inlineStr">
        <is>
          <t>G</t>
        </is>
      </c>
      <c r="E2004" t="inlineStr">
        <is>
          <t>rs2916073</t>
        </is>
      </c>
      <c r="F2004" t="n">
        <v>0.0339332228</v>
      </c>
      <c r="G2004" t="n">
        <v>0.2489036424830029</v>
      </c>
      <c r="H2004" t="n">
        <v>0.0101511104212777</v>
      </c>
      <c r="I2004" t="n">
        <v>0.6250736491773012</v>
      </c>
      <c r="J2004" t="n">
        <v>0.2824286402379007</v>
      </c>
      <c r="K2004" t="n">
        <v>0.1483758347764257</v>
      </c>
      <c r="L2004" t="b">
        <v>0</v>
      </c>
      <c r="M2004" t="b">
        <v>0</v>
      </c>
      <c r="N2004" t="inlineStr">
        <is>
          <t>alt</t>
        </is>
      </c>
      <c r="O2004" t="n">
        <v>-95</v>
      </c>
      <c r="P2004" t="n">
        <v>0.002361</v>
      </c>
      <c r="Q2004" t="n">
        <v>-100</v>
      </c>
      <c r="R2004" t="n">
        <v>0.05466</v>
      </c>
      <c r="S2004">
        <f>IMAGE("https://mitra.stanford.edu/kundaje/oak/projects/neuro-variants/variant_position/credible/roussos_2024/variant_figures/roussos_2024.childhood.GABA/rs2916073_count_position.png",4,220,900)</f>
        <v/>
      </c>
      <c r="T2004">
        <f>IMAGE("https://mitra.stanford.edu/kundaje/oak/projects/neuro-variants/variant_position/credible/roussos_2024/variant_figures/roussos_2024.childhood.GABA/rs2916073_profile_position.png",4,220,900)</f>
        <v/>
      </c>
    </row>
    <row r="2005">
      <c r="A2005" t="inlineStr">
        <is>
          <t>chr19</t>
        </is>
      </c>
      <c r="B2005" t="n">
        <v>19417997</v>
      </c>
      <c r="C2005" t="inlineStr">
        <is>
          <t>A</t>
        </is>
      </c>
      <c r="D2005" t="inlineStr">
        <is>
          <t>G</t>
        </is>
      </c>
      <c r="E2005" t="inlineStr">
        <is>
          <t>rs1469713</t>
        </is>
      </c>
      <c r="F2005" t="n">
        <v>0.07706146259999989</v>
      </c>
      <c r="G2005" t="n">
        <v>0.0587140256518045</v>
      </c>
      <c r="H2005" t="n">
        <v>0.0121548711211874</v>
      </c>
      <c r="I2005" t="n">
        <v>0.4231834870125706</v>
      </c>
      <c r="J2005" t="n">
        <v>0.3129096772842453</v>
      </c>
      <c r="K2005" t="n">
        <v>0.1299407673953908</v>
      </c>
      <c r="L2005" t="b">
        <v>0</v>
      </c>
      <c r="M2005" t="b">
        <v>0</v>
      </c>
      <c r="N2005" t="inlineStr">
        <is>
          <t>alt</t>
        </is>
      </c>
      <c r="O2005" t="n">
        <v>40</v>
      </c>
      <c r="P2005" t="n">
        <v>0.002304</v>
      </c>
      <c r="Q2005" t="n">
        <v>15</v>
      </c>
      <c r="R2005" t="n">
        <v>0.02222</v>
      </c>
      <c r="S2005">
        <f>IMAGE("https://mitra.stanford.edu/kundaje/oak/projects/neuro-variants/variant_position/credible/roussos_2024/variant_figures/roussos_2024.childhood.GABA/rs1469713_count_position.png",4,220,900)</f>
        <v/>
      </c>
      <c r="T2005">
        <f>IMAGE("https://mitra.stanford.edu/kundaje/oak/projects/neuro-variants/variant_position/credible/roussos_2024/variant_figures/roussos_2024.childhood.GABA/rs1469713_profile_position.png",4,220,900)</f>
        <v/>
      </c>
    </row>
    <row r="2006">
      <c r="A2006" t="inlineStr">
        <is>
          <t>chr19</t>
        </is>
      </c>
      <c r="B2006" t="n">
        <v>19468237</v>
      </c>
      <c r="C2006" t="inlineStr">
        <is>
          <t>T</t>
        </is>
      </c>
      <c r="D2006" t="inlineStr">
        <is>
          <t>G</t>
        </is>
      </c>
      <c r="E2006" t="inlineStr">
        <is>
          <t>rs10405625</t>
        </is>
      </c>
      <c r="F2006" t="n">
        <v>0.0480363276</v>
      </c>
      <c r="G2006" t="n">
        <v>0.15752213982402</v>
      </c>
      <c r="H2006" t="n">
        <v>0.0118928004802221</v>
      </c>
      <c r="I2006" t="n">
        <v>0.4199347491796324</v>
      </c>
      <c r="J2006" t="n">
        <v>0.0867248853427152</v>
      </c>
      <c r="K2006" t="n">
        <v>0.3928172220535703</v>
      </c>
      <c r="L2006" t="b">
        <v>0</v>
      </c>
      <c r="M2006" t="b">
        <v>0</v>
      </c>
      <c r="N2006" t="inlineStr">
        <is>
          <t>alt</t>
        </is>
      </c>
      <c r="O2006" t="n">
        <v>-90</v>
      </c>
      <c r="P2006" t="n">
        <v>0.01689</v>
      </c>
      <c r="Q2006" t="n">
        <v>-85</v>
      </c>
      <c r="R2006" t="n">
        <v>0.02411</v>
      </c>
      <c r="S2006">
        <f>IMAGE("https://mitra.stanford.edu/kundaje/oak/projects/neuro-variants/variant_position/credible/roussos_2024/variant_figures/roussos_2024.childhood.GABA/rs10405625_count_position.png",4,220,900)</f>
        <v/>
      </c>
      <c r="T2006">
        <f>IMAGE("https://mitra.stanford.edu/kundaje/oak/projects/neuro-variants/variant_position/credible/roussos_2024/variant_figures/roussos_2024.childhood.GABA/rs10405625_profile_position.png",4,220,900)</f>
        <v/>
      </c>
    </row>
    <row r="2007">
      <c r="A2007" t="inlineStr">
        <is>
          <t>chr19</t>
        </is>
      </c>
      <c r="B2007" t="n">
        <v>19505217</v>
      </c>
      <c r="C2007" t="inlineStr">
        <is>
          <t>T</t>
        </is>
      </c>
      <c r="D2007" t="inlineStr">
        <is>
          <t>C</t>
        </is>
      </c>
      <c r="E2007" t="inlineStr">
        <is>
          <t>rs3752151</t>
        </is>
      </c>
      <c r="F2007" t="n">
        <v>0.0488585206</v>
      </c>
      <c r="G2007" t="n">
        <v>0.144503715533367</v>
      </c>
      <c r="H2007" t="n">
        <v>0.0113173784787663</v>
      </c>
      <c r="I2007" t="n">
        <v>0.5000464007439154</v>
      </c>
      <c r="J2007" t="n">
        <v>0.4098291135264182</v>
      </c>
      <c r="K2007" t="n">
        <v>0.0812954832021368</v>
      </c>
      <c r="L2007" t="b">
        <v>0</v>
      </c>
      <c r="M2007" t="b">
        <v>0</v>
      </c>
      <c r="N2007" t="inlineStr">
        <is>
          <t>alt</t>
        </is>
      </c>
      <c r="O2007" t="n">
        <v>50</v>
      </c>
      <c r="P2007" t="n">
        <v>0.001148</v>
      </c>
      <c r="Q2007" t="n">
        <v>65</v>
      </c>
      <c r="R2007" t="n">
        <v>0.1501</v>
      </c>
      <c r="S2007">
        <f>IMAGE("https://mitra.stanford.edu/kundaje/oak/projects/neuro-variants/variant_position/credible/roussos_2024/variant_figures/roussos_2024.childhood.GABA/rs3752151_count_position.png",4,220,900)</f>
        <v/>
      </c>
      <c r="T2007">
        <f>IMAGE("https://mitra.stanford.edu/kundaje/oak/projects/neuro-variants/variant_position/credible/roussos_2024/variant_figures/roussos_2024.childhood.GABA/rs3752151_profile_position.png",4,220,900)</f>
        <v/>
      </c>
    </row>
    <row r="2008">
      <c r="A2008" t="inlineStr">
        <is>
          <t>chr19</t>
        </is>
      </c>
      <c r="B2008" t="n">
        <v>19508508</v>
      </c>
      <c r="C2008" t="inlineStr">
        <is>
          <t>T</t>
        </is>
      </c>
      <c r="D2008" t="inlineStr">
        <is>
          <t>C</t>
        </is>
      </c>
      <c r="E2008" t="inlineStr">
        <is>
          <t>rs10282</t>
        </is>
      </c>
      <c r="F2008" t="n">
        <v>0.121910726</v>
      </c>
      <c r="G2008" t="n">
        <v>0.0181742876415388</v>
      </c>
      <c r="H2008" t="n">
        <v>0.0166767997079055</v>
      </c>
      <c r="I2008" t="n">
        <v>0.1572296324829941</v>
      </c>
      <c r="J2008" t="n">
        <v>0.3949393729974241</v>
      </c>
      <c r="K2008" t="n">
        <v>0.0877649017239565</v>
      </c>
      <c r="L2008" t="b">
        <v>1</v>
      </c>
      <c r="M2008" t="b">
        <v>0</v>
      </c>
      <c r="N2008" t="inlineStr">
        <is>
          <t>alt</t>
        </is>
      </c>
      <c r="O2008" t="n">
        <v>-10</v>
      </c>
      <c r="P2008" t="n">
        <v>0.001598</v>
      </c>
      <c r="Q2008" t="n">
        <v>-10</v>
      </c>
      <c r="R2008" t="n">
        <v>0.03882</v>
      </c>
      <c r="S2008">
        <f>IMAGE("https://mitra.stanford.edu/kundaje/oak/projects/neuro-variants/variant_position/credible/roussos_2024/variant_figures/roussos_2024.childhood.GABA/rs10282_count_position.png",4,220,900)</f>
        <v/>
      </c>
      <c r="T2008">
        <f>IMAGE("https://mitra.stanford.edu/kundaje/oak/projects/neuro-variants/variant_position/credible/roussos_2024/variant_figures/roussos_2024.childhood.GABA/rs10282_profile_position.png",4,220,900)</f>
        <v/>
      </c>
    </row>
    <row r="2009">
      <c r="A2009" t="inlineStr">
        <is>
          <t>chr19</t>
        </is>
      </c>
      <c r="B2009" t="n">
        <v>19520635</v>
      </c>
      <c r="C2009" t="inlineStr">
        <is>
          <t>A</t>
        </is>
      </c>
      <c r="D2009" t="inlineStr">
        <is>
          <t>T</t>
        </is>
      </c>
      <c r="E2009" t="inlineStr">
        <is>
          <t>rs7253807</t>
        </is>
      </c>
      <c r="F2009" t="n">
        <v>-0.001630201122</v>
      </c>
      <c r="G2009" t="n">
        <v>0.8121378002237751</v>
      </c>
      <c r="H2009" t="n">
        <v>0.0271402084288548</v>
      </c>
      <c r="I2009" t="n">
        <v>0.020306820911772</v>
      </c>
      <c r="J2009" t="n">
        <v>0.0354044941467194</v>
      </c>
      <c r="K2009" t="n">
        <v>0.5697490189406375</v>
      </c>
      <c r="L2009" t="b">
        <v>0</v>
      </c>
      <c r="M2009" t="b">
        <v>0</v>
      </c>
      <c r="N2009" t="inlineStr">
        <is>
          <t>ref</t>
        </is>
      </c>
      <c r="O2009" t="n">
        <v>-60</v>
      </c>
      <c r="P2009" t="n">
        <v>0.004925</v>
      </c>
      <c r="Q2009" t="n">
        <v>40</v>
      </c>
      <c r="R2009" t="n">
        <v>0.05322</v>
      </c>
      <c r="S2009">
        <f>IMAGE("https://mitra.stanford.edu/kundaje/oak/projects/neuro-variants/variant_position/credible/roussos_2024/variant_figures/roussos_2024.childhood.GABA/rs7253807_count_position.png",4,220,900)</f>
        <v/>
      </c>
      <c r="T2009">
        <f>IMAGE("https://mitra.stanford.edu/kundaje/oak/projects/neuro-variants/variant_position/credible/roussos_2024/variant_figures/roussos_2024.childhood.GABA/rs7253807_profile_position.png",4,220,900)</f>
        <v/>
      </c>
    </row>
    <row r="2010">
      <c r="A2010" t="inlineStr">
        <is>
          <t>chr19</t>
        </is>
      </c>
      <c r="B2010" t="n">
        <v>19546823</v>
      </c>
      <c r="C2010" t="inlineStr">
        <is>
          <t>A</t>
        </is>
      </c>
      <c r="D2010" t="inlineStr">
        <is>
          <t>C</t>
        </is>
      </c>
      <c r="E2010" t="inlineStr">
        <is>
          <t>rs7245983</t>
        </is>
      </c>
      <c r="F2010" t="n">
        <v>0.00934948014</v>
      </c>
      <c r="G2010" t="n">
        <v>0.6168292554715306</v>
      </c>
      <c r="H2010" t="n">
        <v>0.0102215009989476</v>
      </c>
      <c r="I2010" t="n">
        <v>0.6206933824430296</v>
      </c>
      <c r="J2010" t="n">
        <v>0.5675818307470001</v>
      </c>
      <c r="K2010" t="n">
        <v>0.0351056795320932</v>
      </c>
      <c r="L2010" t="b">
        <v>0</v>
      </c>
      <c r="M2010" t="b">
        <v>0</v>
      </c>
      <c r="N2010" t="inlineStr">
        <is>
          <t>alt</t>
        </is>
      </c>
      <c r="O2010" t="n">
        <v>40</v>
      </c>
      <c r="P2010" t="n">
        <v>0.002522</v>
      </c>
      <c r="Q2010" t="n">
        <v>-80</v>
      </c>
      <c r="R2010" t="n">
        <v>0.0401</v>
      </c>
      <c r="S2010">
        <f>IMAGE("https://mitra.stanford.edu/kundaje/oak/projects/neuro-variants/variant_position/credible/roussos_2024/variant_figures/roussos_2024.childhood.GABA/rs7245983_count_position.png",4,220,900)</f>
        <v/>
      </c>
      <c r="T2010">
        <f>IMAGE("https://mitra.stanford.edu/kundaje/oak/projects/neuro-variants/variant_position/credible/roussos_2024/variant_figures/roussos_2024.childhood.GABA/rs7245983_profile_position.png",4,220,900)</f>
        <v/>
      </c>
    </row>
    <row r="2011">
      <c r="A2011" t="inlineStr">
        <is>
          <t>chr19</t>
        </is>
      </c>
      <c r="B2011" t="n">
        <v>30496516</v>
      </c>
      <c r="C2011" t="inlineStr">
        <is>
          <t>A</t>
        </is>
      </c>
      <c r="D2011" t="inlineStr">
        <is>
          <t>G</t>
        </is>
      </c>
      <c r="E2011" t="inlineStr">
        <is>
          <t>rs2053079</t>
        </is>
      </c>
      <c r="F2011" t="n">
        <v>-0.0004723508599999</v>
      </c>
      <c r="G2011" t="n">
        <v>0.608679471549319</v>
      </c>
      <c r="H2011" t="n">
        <v>0.0130971692791709</v>
      </c>
      <c r="I2011" t="n">
        <v>0.3513586460295095</v>
      </c>
      <c r="J2011" t="n">
        <v>0.2447111055265857</v>
      </c>
      <c r="K2011" t="n">
        <v>0.1773568045341477</v>
      </c>
      <c r="L2011" t="b">
        <v>0</v>
      </c>
      <c r="M2011" t="b">
        <v>0</v>
      </c>
      <c r="N2011" t="inlineStr">
        <is>
          <t>ref</t>
        </is>
      </c>
      <c r="O2011" t="n">
        <v>25</v>
      </c>
      <c r="P2011" t="n">
        <v>0.0006948</v>
      </c>
      <c r="Q2011" t="n">
        <v>100</v>
      </c>
      <c r="R2011" t="n">
        <v>0.09796000000000001</v>
      </c>
      <c r="S2011">
        <f>IMAGE("https://mitra.stanford.edu/kundaje/oak/projects/neuro-variants/variant_position/credible/roussos_2024/variant_figures/roussos_2024.childhood.GABA/rs2053079_count_position.png",4,220,900)</f>
        <v/>
      </c>
      <c r="T2011">
        <f>IMAGE("https://mitra.stanford.edu/kundaje/oak/projects/neuro-variants/variant_position/credible/roussos_2024/variant_figures/roussos_2024.childhood.GABA/rs2053079_profile_position.png",4,220,900)</f>
        <v/>
      </c>
    </row>
    <row r="2012">
      <c r="A2012" t="inlineStr">
        <is>
          <t>chr19</t>
        </is>
      </c>
      <c r="B2012" t="n">
        <v>30500744</v>
      </c>
      <c r="C2012" t="inlineStr">
        <is>
          <t>T</t>
        </is>
      </c>
      <c r="D2012" t="inlineStr">
        <is>
          <t>C</t>
        </is>
      </c>
      <c r="E2012" t="inlineStr">
        <is>
          <t>rs2075419</t>
        </is>
      </c>
      <c r="F2012" t="n">
        <v>0.0443135826</v>
      </c>
      <c r="G2012" t="n">
        <v>0.175951090138223</v>
      </c>
      <c r="H2012" t="n">
        <v>0.0121458400903644</v>
      </c>
      <c r="I2012" t="n">
        <v>0.4253028864477065</v>
      </c>
      <c r="J2012" t="n">
        <v>0.0824129337605494</v>
      </c>
      <c r="K2012" t="n">
        <v>0.4033212171761529</v>
      </c>
      <c r="L2012" t="b">
        <v>0</v>
      </c>
      <c r="M2012" t="b">
        <v>0</v>
      </c>
      <c r="N2012" t="inlineStr">
        <is>
          <t>alt</t>
        </is>
      </c>
      <c r="O2012" t="n">
        <v>100</v>
      </c>
      <c r="P2012" t="n">
        <v>0.001841</v>
      </c>
      <c r="Q2012" t="n">
        <v>100</v>
      </c>
      <c r="R2012" t="n">
        <v>0.08500000000000001</v>
      </c>
      <c r="S2012">
        <f>IMAGE("https://mitra.stanford.edu/kundaje/oak/projects/neuro-variants/variant_position/credible/roussos_2024/variant_figures/roussos_2024.childhood.GABA/rs2075419_count_position.png",4,220,900)</f>
        <v/>
      </c>
      <c r="T2012">
        <f>IMAGE("https://mitra.stanford.edu/kundaje/oak/projects/neuro-variants/variant_position/credible/roussos_2024/variant_figures/roussos_2024.childhood.GABA/rs2075419_profile_position.png",4,220,900)</f>
        <v/>
      </c>
    </row>
    <row r="2013">
      <c r="A2013" t="inlineStr">
        <is>
          <t>chr19</t>
        </is>
      </c>
      <c r="B2013" t="n">
        <v>30524769</v>
      </c>
      <c r="C2013" t="inlineStr">
        <is>
          <t>C</t>
        </is>
      </c>
      <c r="D2013" t="inlineStr">
        <is>
          <t>T</t>
        </is>
      </c>
      <c r="E2013" t="inlineStr">
        <is>
          <t>rs10411290</t>
        </is>
      </c>
      <c r="F2013" t="n">
        <v>0.000253147668</v>
      </c>
      <c r="G2013" t="n">
        <v>0.8867088011180762</v>
      </c>
      <c r="H2013" t="n">
        <v>0.0227011538049711</v>
      </c>
      <c r="I2013" t="n">
        <v>0.0439020565132758</v>
      </c>
      <c r="J2013" t="n">
        <v>0.0835657891981319</v>
      </c>
      <c r="K2013" t="n">
        <v>0.4128502289513692</v>
      </c>
      <c r="L2013" t="b">
        <v>0</v>
      </c>
      <c r="M2013" t="b">
        <v>0</v>
      </c>
      <c r="N2013" t="inlineStr">
        <is>
          <t>alt</t>
        </is>
      </c>
      <c r="O2013" t="n">
        <v>90</v>
      </c>
      <c r="P2013" t="n">
        <v>0.01251</v>
      </c>
      <c r="Q2013" t="n">
        <v>-100</v>
      </c>
      <c r="R2013" t="n">
        <v>0.1006</v>
      </c>
      <c r="S2013">
        <f>IMAGE("https://mitra.stanford.edu/kundaje/oak/projects/neuro-variants/variant_position/credible/roussos_2024/variant_figures/roussos_2024.childhood.GABA/rs10411290_count_position.png",4,220,900)</f>
        <v/>
      </c>
      <c r="T2013">
        <f>IMAGE("https://mitra.stanford.edu/kundaje/oak/projects/neuro-variants/variant_position/credible/roussos_2024/variant_figures/roussos_2024.childhood.GABA/rs10411290_profile_position.png",4,220,900)</f>
        <v/>
      </c>
    </row>
    <row r="2014">
      <c r="A2014" t="inlineStr">
        <is>
          <t>chr19</t>
        </is>
      </c>
      <c r="B2014" t="n">
        <v>30532140</v>
      </c>
      <c r="C2014" t="inlineStr">
        <is>
          <t>C</t>
        </is>
      </c>
      <c r="D2014" t="inlineStr">
        <is>
          <t>T</t>
        </is>
      </c>
      <c r="E2014" t="inlineStr">
        <is>
          <t>rs3786795</t>
        </is>
      </c>
      <c r="F2014" t="n">
        <v>0.001301703434</v>
      </c>
      <c r="G2014" t="n">
        <v>0.8730268970751928</v>
      </c>
      <c r="H2014" t="n">
        <v>0.0175168548689881</v>
      </c>
      <c r="I2014" t="n">
        <v>0.1321075352650462</v>
      </c>
      <c r="J2014" t="n">
        <v>0.0746078616154634</v>
      </c>
      <c r="K2014" t="n">
        <v>0.4243068482855004</v>
      </c>
      <c r="L2014" t="b">
        <v>0</v>
      </c>
      <c r="M2014" t="b">
        <v>0</v>
      </c>
      <c r="N2014" t="inlineStr">
        <is>
          <t>alt</t>
        </is>
      </c>
      <c r="O2014" t="n">
        <v>-5</v>
      </c>
      <c r="P2014" t="n">
        <v>0.000267</v>
      </c>
      <c r="Q2014" t="n">
        <v>0</v>
      </c>
      <c r="R2014" t="n">
        <v>0</v>
      </c>
      <c r="S2014">
        <f>IMAGE("https://mitra.stanford.edu/kundaje/oak/projects/neuro-variants/variant_position/credible/roussos_2024/variant_figures/roussos_2024.childhood.GABA/rs3786795_count_position.png",4,220,900)</f>
        <v/>
      </c>
      <c r="T2014">
        <f>IMAGE("https://mitra.stanford.edu/kundaje/oak/projects/neuro-variants/variant_position/credible/roussos_2024/variant_figures/roussos_2024.childhood.GABA/rs3786795_profile_position.png",4,220,900)</f>
        <v/>
      </c>
    </row>
    <row r="2015">
      <c r="A2015" t="inlineStr">
        <is>
          <t>chr19</t>
        </is>
      </c>
      <c r="B2015" t="n">
        <v>30544460</v>
      </c>
      <c r="C2015" t="inlineStr">
        <is>
          <t>C</t>
        </is>
      </c>
      <c r="D2015" t="inlineStr">
        <is>
          <t>G</t>
        </is>
      </c>
      <c r="E2015" t="inlineStr">
        <is>
          <t>rs4303654</t>
        </is>
      </c>
      <c r="F2015" t="n">
        <v>0.00777453552</v>
      </c>
      <c r="G2015" t="n">
        <v>0.4161821373997695</v>
      </c>
      <c r="H2015" t="n">
        <v>0.008707262222938701</v>
      </c>
      <c r="I2015" t="n">
        <v>0.7555324502285443</v>
      </c>
      <c r="J2015" t="n">
        <v>0.2614269858222864</v>
      </c>
      <c r="K2015" t="n">
        <v>0.1639237796121722</v>
      </c>
      <c r="L2015" t="b">
        <v>0</v>
      </c>
      <c r="M2015" t="b">
        <v>0</v>
      </c>
      <c r="N2015" t="inlineStr">
        <is>
          <t>alt</t>
        </is>
      </c>
      <c r="O2015" t="n">
        <v>100</v>
      </c>
      <c r="P2015" t="n">
        <v>0.005505</v>
      </c>
      <c r="Q2015" t="n">
        <v>-10</v>
      </c>
      <c r="R2015" t="n">
        <v>0.010254</v>
      </c>
      <c r="S2015">
        <f>IMAGE("https://mitra.stanford.edu/kundaje/oak/projects/neuro-variants/variant_position/credible/roussos_2024/variant_figures/roussos_2024.childhood.GABA/rs4303654_count_position.png",4,220,900)</f>
        <v/>
      </c>
      <c r="T2015">
        <f>IMAGE("https://mitra.stanford.edu/kundaje/oak/projects/neuro-variants/variant_position/credible/roussos_2024/variant_figures/roussos_2024.childhood.GABA/rs4303654_profile_position.png",4,220,900)</f>
        <v/>
      </c>
    </row>
    <row r="2016">
      <c r="A2016" t="inlineStr">
        <is>
          <t>chr19</t>
        </is>
      </c>
      <c r="B2016" t="n">
        <v>33437829</v>
      </c>
      <c r="C2016" t="inlineStr">
        <is>
          <t>A</t>
        </is>
      </c>
      <c r="D2016" t="inlineStr">
        <is>
          <t>G</t>
        </is>
      </c>
      <c r="E2016" t="inlineStr">
        <is>
          <t>rs142436687</t>
        </is>
      </c>
      <c r="F2016" t="n">
        <v>0.0378802402</v>
      </c>
      <c r="G2016" t="n">
        <v>0.2038934551302064</v>
      </c>
      <c r="H2016" t="n">
        <v>0.0136350683811254</v>
      </c>
      <c r="I2016" t="n">
        <v>0.2977668920429818</v>
      </c>
      <c r="J2016" t="n">
        <v>0.4631410860505539</v>
      </c>
      <c r="K2016" t="n">
        <v>0.06311786803169039</v>
      </c>
      <c r="L2016" t="b">
        <v>0</v>
      </c>
      <c r="M2016" t="b">
        <v>0</v>
      </c>
      <c r="N2016" t="inlineStr">
        <is>
          <t>alt</t>
        </is>
      </c>
      <c r="O2016" t="n">
        <v>-80</v>
      </c>
      <c r="P2016" t="n">
        <v>0.003254</v>
      </c>
      <c r="Q2016" t="n">
        <v>-90</v>
      </c>
      <c r="R2016" t="n">
        <v>0.03394</v>
      </c>
      <c r="S2016">
        <f>IMAGE("https://mitra.stanford.edu/kundaje/oak/projects/neuro-variants/variant_position/credible/roussos_2024/variant_figures/roussos_2024.childhood.GABA/rs142436687_count_position.png",4,220,900)</f>
        <v/>
      </c>
      <c r="T2016">
        <f>IMAGE("https://mitra.stanford.edu/kundaje/oak/projects/neuro-variants/variant_position/credible/roussos_2024/variant_figures/roussos_2024.childhood.GABA/rs142436687_profile_position.png",4,220,900)</f>
        <v/>
      </c>
    </row>
    <row r="2017">
      <c r="A2017" t="inlineStr">
        <is>
          <t>chr19</t>
        </is>
      </c>
      <c r="B2017" t="n">
        <v>33449354</v>
      </c>
      <c r="C2017" t="inlineStr">
        <is>
          <t>G</t>
        </is>
      </c>
      <c r="D2017" t="inlineStr">
        <is>
          <t>A</t>
        </is>
      </c>
      <c r="E2017" t="inlineStr">
        <is>
          <t>rs79051716</t>
        </is>
      </c>
      <c r="F2017" t="n">
        <v>-0.0272871464</v>
      </c>
      <c r="G2017" t="n">
        <v>0.3345304297877401</v>
      </c>
      <c r="H2017" t="n">
        <v>0.011200244226358</v>
      </c>
      <c r="I2017" t="n">
        <v>0.5005207351264126</v>
      </c>
      <c r="J2017" t="n">
        <v>0.363578773219409</v>
      </c>
      <c r="K2017" t="n">
        <v>0.1020780096692147</v>
      </c>
      <c r="L2017" t="b">
        <v>0</v>
      </c>
      <c r="M2017" t="b">
        <v>0</v>
      </c>
      <c r="N2017" t="inlineStr">
        <is>
          <t>ref</t>
        </is>
      </c>
      <c r="O2017" t="n">
        <v>30</v>
      </c>
      <c r="P2017" t="n">
        <v>0.002247</v>
      </c>
      <c r="Q2017" t="n">
        <v>50</v>
      </c>
      <c r="R2017" t="n">
        <v>0.003815</v>
      </c>
      <c r="S2017">
        <f>IMAGE("https://mitra.stanford.edu/kundaje/oak/projects/neuro-variants/variant_position/credible/roussos_2024/variant_figures/roussos_2024.childhood.GABA/rs79051716_count_position.png",4,220,900)</f>
        <v/>
      </c>
      <c r="T2017">
        <f>IMAGE("https://mitra.stanford.edu/kundaje/oak/projects/neuro-variants/variant_position/credible/roussos_2024/variant_figures/roussos_2024.childhood.GABA/rs79051716_profile_position.png",4,220,900)</f>
        <v/>
      </c>
    </row>
    <row r="2018">
      <c r="A2018" t="inlineStr">
        <is>
          <t>chr19</t>
        </is>
      </c>
      <c r="B2018" t="n">
        <v>33450805</v>
      </c>
      <c r="C2018" t="inlineStr">
        <is>
          <t>G</t>
        </is>
      </c>
      <c r="D2018" t="inlineStr">
        <is>
          <t>A</t>
        </is>
      </c>
      <c r="E2018" t="inlineStr">
        <is>
          <t>rs116925323</t>
        </is>
      </c>
      <c r="F2018" t="n">
        <v>-0.1647339259999999</v>
      </c>
      <c r="G2018" t="n">
        <v>0.0086663588488353</v>
      </c>
      <c r="H2018" t="n">
        <v>0.0280392602111683</v>
      </c>
      <c r="I2018" t="n">
        <v>0.0203438135879981</v>
      </c>
      <c r="J2018" t="n">
        <v>0.2920797470210047</v>
      </c>
      <c r="K2018" t="n">
        <v>0.1454548766909884</v>
      </c>
      <c r="L2018" t="b">
        <v>1</v>
      </c>
      <c r="M2018" t="b">
        <v>1</v>
      </c>
      <c r="N2018" t="inlineStr">
        <is>
          <t>ref</t>
        </is>
      </c>
      <c r="O2018" t="n">
        <v>25</v>
      </c>
      <c r="P2018" t="n">
        <v>0.0018215</v>
      </c>
      <c r="Q2018" t="n">
        <v>100</v>
      </c>
      <c r="R2018" t="n">
        <v>0.0762</v>
      </c>
      <c r="S2018">
        <f>IMAGE("https://mitra.stanford.edu/kundaje/oak/projects/neuro-variants/variant_position/credible/roussos_2024/variant_figures/roussos_2024.childhood.GABA/rs116925323_count_position.png",4,220,900)</f>
        <v/>
      </c>
      <c r="T2018">
        <f>IMAGE("https://mitra.stanford.edu/kundaje/oak/projects/neuro-variants/variant_position/credible/roussos_2024/variant_figures/roussos_2024.childhood.GABA/rs116925323_profile_position.png",4,220,900)</f>
        <v/>
      </c>
    </row>
    <row r="2019">
      <c r="A2019" t="inlineStr">
        <is>
          <t>chr19</t>
        </is>
      </c>
      <c r="B2019" t="n">
        <v>33451314</v>
      </c>
      <c r="C2019" t="inlineStr">
        <is>
          <t>G</t>
        </is>
      </c>
      <c r="D2019" t="inlineStr">
        <is>
          <t>A</t>
        </is>
      </c>
      <c r="E2019" t="inlineStr">
        <is>
          <t>rs1345756</t>
        </is>
      </c>
      <c r="F2019" t="n">
        <v>0.0012879854399999</v>
      </c>
      <c r="G2019" t="n">
        <v>0.813669738625503</v>
      </c>
      <c r="H2019" t="n">
        <v>0.030800951278525</v>
      </c>
      <c r="I2019" t="n">
        <v>0.0117502783579099</v>
      </c>
      <c r="J2019" t="n">
        <v>0.2069736759439592</v>
      </c>
      <c r="K2019" t="n">
        <v>0.2120545277055364</v>
      </c>
      <c r="L2019" t="b">
        <v>1</v>
      </c>
      <c r="M2019" t="b">
        <v>0</v>
      </c>
      <c r="N2019" t="inlineStr">
        <is>
          <t>alt</t>
        </is>
      </c>
      <c r="O2019" t="n">
        <v>-70</v>
      </c>
      <c r="P2019" t="n">
        <v>0.008670000000000001</v>
      </c>
      <c r="Q2019" t="n">
        <v>-100</v>
      </c>
      <c r="R2019" t="n">
        <v>0.247</v>
      </c>
      <c r="S2019">
        <f>IMAGE("https://mitra.stanford.edu/kundaje/oak/projects/neuro-variants/variant_position/credible/roussos_2024/variant_figures/roussos_2024.childhood.GABA/rs1345756_count_position.png",4,220,900)</f>
        <v/>
      </c>
      <c r="T2019">
        <f>IMAGE("https://mitra.stanford.edu/kundaje/oak/projects/neuro-variants/variant_position/credible/roussos_2024/variant_figures/roussos_2024.childhood.GABA/rs1345756_profile_position.png",4,220,900)</f>
        <v/>
      </c>
    </row>
    <row r="2020">
      <c r="A2020" t="inlineStr">
        <is>
          <t>chr19</t>
        </is>
      </c>
      <c r="B2020" t="n">
        <v>33451622</v>
      </c>
      <c r="C2020" t="inlineStr">
        <is>
          <t>C</t>
        </is>
      </c>
      <c r="D2020" t="inlineStr">
        <is>
          <t>T</t>
        </is>
      </c>
      <c r="E2020" t="inlineStr">
        <is>
          <t>rs77157349</t>
        </is>
      </c>
      <c r="F2020" t="n">
        <v>-0.067939949</v>
      </c>
      <c r="G2020" t="n">
        <v>0.0787878049984</v>
      </c>
      <c r="H2020" t="n">
        <v>0.0105842445140885</v>
      </c>
      <c r="I2020" t="n">
        <v>0.5736637004547441</v>
      </c>
      <c r="J2020" t="n">
        <v>0.0854086825406797</v>
      </c>
      <c r="K2020" t="n">
        <v>0.3856056115824379</v>
      </c>
      <c r="L2020" t="b">
        <v>0</v>
      </c>
      <c r="M2020" t="b">
        <v>0</v>
      </c>
      <c r="N2020" t="inlineStr">
        <is>
          <t>ref</t>
        </is>
      </c>
      <c r="O2020" t="n">
        <v>-70</v>
      </c>
      <c r="P2020" t="n">
        <v>0.002934</v>
      </c>
      <c r="Q2020" t="n">
        <v>25</v>
      </c>
      <c r="R2020" t="n">
        <v>0.014404</v>
      </c>
      <c r="S2020">
        <f>IMAGE("https://mitra.stanford.edu/kundaje/oak/projects/neuro-variants/variant_position/credible/roussos_2024/variant_figures/roussos_2024.childhood.GABA/rs77157349_count_position.png",4,220,900)</f>
        <v/>
      </c>
      <c r="T2020">
        <f>IMAGE("https://mitra.stanford.edu/kundaje/oak/projects/neuro-variants/variant_position/credible/roussos_2024/variant_figures/roussos_2024.childhood.GABA/rs77157349_profile_position.png",4,220,900)</f>
        <v/>
      </c>
    </row>
    <row r="2021">
      <c r="A2021" t="inlineStr">
        <is>
          <t>chr19</t>
        </is>
      </c>
      <c r="B2021" t="n">
        <v>33453441</v>
      </c>
      <c r="C2021" t="inlineStr">
        <is>
          <t>C</t>
        </is>
      </c>
      <c r="D2021" t="inlineStr">
        <is>
          <t>T</t>
        </is>
      </c>
      <c r="E2021" t="inlineStr">
        <is>
          <t>rs190662727</t>
        </is>
      </c>
      <c r="F2021" t="n">
        <v>-0.0919158622</v>
      </c>
      <c r="G2021" t="n">
        <v>0.0482989910454214</v>
      </c>
      <c r="H2021" t="n">
        <v>0.0349961893645572</v>
      </c>
      <c r="I2021" t="n">
        <v>0.0064582192964269</v>
      </c>
      <c r="J2021" t="n">
        <v>0.0685524910473078</v>
      </c>
      <c r="K2021" t="n">
        <v>0.4432291238060346</v>
      </c>
      <c r="L2021" t="b">
        <v>1</v>
      </c>
      <c r="M2021" t="b">
        <v>1</v>
      </c>
      <c r="N2021" t="inlineStr">
        <is>
          <t>ref</t>
        </is>
      </c>
      <c r="O2021" t="n">
        <v>-10</v>
      </c>
      <c r="P2021" t="n">
        <v>0.002045</v>
      </c>
      <c r="Q2021" t="n">
        <v>95</v>
      </c>
      <c r="R2021" t="n">
        <v>0.03702</v>
      </c>
      <c r="S2021">
        <f>IMAGE("https://mitra.stanford.edu/kundaje/oak/projects/neuro-variants/variant_position/credible/roussos_2024/variant_figures/roussos_2024.childhood.GABA/rs190662727_count_position.png",4,220,900)</f>
        <v/>
      </c>
      <c r="T2021">
        <f>IMAGE("https://mitra.stanford.edu/kundaje/oak/projects/neuro-variants/variant_position/credible/roussos_2024/variant_figures/roussos_2024.childhood.GABA/rs190662727_profile_position.png",4,220,900)</f>
        <v/>
      </c>
    </row>
    <row r="2022">
      <c r="A2022" t="inlineStr">
        <is>
          <t>chr19</t>
        </is>
      </c>
      <c r="B2022" t="n">
        <v>33457934</v>
      </c>
      <c r="C2022" t="inlineStr">
        <is>
          <t>C</t>
        </is>
      </c>
      <c r="D2022" t="inlineStr">
        <is>
          <t>T</t>
        </is>
      </c>
      <c r="E2022" t="inlineStr">
        <is>
          <t>rs35208092</t>
        </is>
      </c>
      <c r="F2022" t="n">
        <v>-0.068321066</v>
      </c>
      <c r="G2022" t="n">
        <v>0.0743111311648412</v>
      </c>
      <c r="H2022" t="n">
        <v>0.0133185555198936</v>
      </c>
      <c r="I2022" t="n">
        <v>0.3329909586232181</v>
      </c>
      <c r="J2022" t="n">
        <v>0.2988136374107348</v>
      </c>
      <c r="K2022" t="n">
        <v>0.1385422709186083</v>
      </c>
      <c r="L2022" t="b">
        <v>0</v>
      </c>
      <c r="M2022" t="b">
        <v>0</v>
      </c>
      <c r="N2022" t="inlineStr">
        <is>
          <t>ref</t>
        </is>
      </c>
      <c r="O2022" t="n">
        <v>-100</v>
      </c>
      <c r="P2022" t="n">
        <v>0.01104</v>
      </c>
      <c r="Q2022" t="n">
        <v>95</v>
      </c>
      <c r="R2022" t="n">
        <v>0.04626</v>
      </c>
      <c r="S2022">
        <f>IMAGE("https://mitra.stanford.edu/kundaje/oak/projects/neuro-variants/variant_position/credible/roussos_2024/variant_figures/roussos_2024.childhood.GABA/rs35208092_count_position.png",4,220,900)</f>
        <v/>
      </c>
      <c r="T2022">
        <f>IMAGE("https://mitra.stanford.edu/kundaje/oak/projects/neuro-variants/variant_position/credible/roussos_2024/variant_figures/roussos_2024.childhood.GABA/rs35208092_profile_position.png",4,220,900)</f>
        <v/>
      </c>
    </row>
    <row r="2023">
      <c r="A2023" t="inlineStr">
        <is>
          <t>chr19</t>
        </is>
      </c>
      <c r="B2023" t="n">
        <v>33461291</v>
      </c>
      <c r="C2023" t="inlineStr">
        <is>
          <t>C</t>
        </is>
      </c>
      <c r="D2023" t="inlineStr">
        <is>
          <t>T</t>
        </is>
      </c>
      <c r="E2023" t="inlineStr">
        <is>
          <t>rs7254613</t>
        </is>
      </c>
      <c r="F2023" t="n">
        <v>-0.0006876648659999999</v>
      </c>
      <c r="G2023" t="n">
        <v>0.8591164903301172</v>
      </c>
      <c r="H2023" t="n">
        <v>0.0176389348913799</v>
      </c>
      <c r="I2023" t="n">
        <v>0.1252009338174071</v>
      </c>
      <c r="J2023" t="n">
        <v>0.3440399153944419</v>
      </c>
      <c r="K2023" t="n">
        <v>0.1121563598749915</v>
      </c>
      <c r="L2023" t="b">
        <v>0</v>
      </c>
      <c r="M2023" t="b">
        <v>0</v>
      </c>
      <c r="N2023" t="inlineStr">
        <is>
          <t>ref</t>
        </is>
      </c>
      <c r="O2023" t="n">
        <v>-20</v>
      </c>
      <c r="P2023" t="n">
        <v>0.0001526</v>
      </c>
      <c r="Q2023" t="n">
        <v>100</v>
      </c>
      <c r="R2023" t="n">
        <v>0.1646</v>
      </c>
      <c r="S2023">
        <f>IMAGE("https://mitra.stanford.edu/kundaje/oak/projects/neuro-variants/variant_position/credible/roussos_2024/variant_figures/roussos_2024.childhood.GABA/rs7254613_count_position.png",4,220,900)</f>
        <v/>
      </c>
      <c r="T2023">
        <f>IMAGE("https://mitra.stanford.edu/kundaje/oak/projects/neuro-variants/variant_position/credible/roussos_2024/variant_figures/roussos_2024.childhood.GABA/rs7254613_profile_position.png",4,220,900)</f>
        <v/>
      </c>
    </row>
    <row r="2024">
      <c r="A2024" t="inlineStr">
        <is>
          <t>chr19</t>
        </is>
      </c>
      <c r="B2024" t="n">
        <v>33461673</v>
      </c>
      <c r="C2024" t="inlineStr">
        <is>
          <t>T</t>
        </is>
      </c>
      <c r="D2024" t="inlineStr">
        <is>
          <t>C</t>
        </is>
      </c>
      <c r="E2024" t="inlineStr">
        <is>
          <t>rs148767361</t>
        </is>
      </c>
      <c r="F2024" t="n">
        <v>0.0182219012</v>
      </c>
      <c r="G2024" t="n">
        <v>0.4258673418231271</v>
      </c>
      <c r="H2024" t="n">
        <v>0.0134118853288562</v>
      </c>
      <c r="I2024" t="n">
        <v>0.3251929351572776</v>
      </c>
      <c r="J2024" t="n">
        <v>0.5098280664279282</v>
      </c>
      <c r="K2024" t="n">
        <v>0.0489600936487287</v>
      </c>
      <c r="L2024" t="b">
        <v>0</v>
      </c>
      <c r="M2024" t="b">
        <v>0</v>
      </c>
      <c r="N2024" t="inlineStr">
        <is>
          <t>alt</t>
        </is>
      </c>
      <c r="O2024" t="n">
        <v>15</v>
      </c>
      <c r="P2024" t="n">
        <v>0.000824</v>
      </c>
      <c r="Q2024" t="n">
        <v>90</v>
      </c>
      <c r="R2024" t="n">
        <v>0.11835</v>
      </c>
      <c r="S2024">
        <f>IMAGE("https://mitra.stanford.edu/kundaje/oak/projects/neuro-variants/variant_position/credible/roussos_2024/variant_figures/roussos_2024.childhood.GABA/rs148767361_count_position.png",4,220,900)</f>
        <v/>
      </c>
      <c r="T2024">
        <f>IMAGE("https://mitra.stanford.edu/kundaje/oak/projects/neuro-variants/variant_position/credible/roussos_2024/variant_figures/roussos_2024.childhood.GABA/rs148767361_profile_position.png",4,220,900)</f>
        <v/>
      </c>
    </row>
    <row r="2025">
      <c r="A2025" t="inlineStr">
        <is>
          <t>chr19</t>
        </is>
      </c>
      <c r="B2025" t="n">
        <v>33462837</v>
      </c>
      <c r="C2025" t="inlineStr">
        <is>
          <t>A</t>
        </is>
      </c>
      <c r="D2025" t="inlineStr">
        <is>
          <t>G</t>
        </is>
      </c>
      <c r="E2025" t="inlineStr">
        <is>
          <t>rs6510386</t>
        </is>
      </c>
      <c r="F2025" t="n">
        <v>0.06257463019999999</v>
      </c>
      <c r="G2025" t="n">
        <v>0.0866067476052098</v>
      </c>
      <c r="H2025" t="n">
        <v>0.0147744928298613</v>
      </c>
      <c r="I2025" t="n">
        <v>0.2398875247663992</v>
      </c>
      <c r="J2025" t="n">
        <v>0.5181158509769428</v>
      </c>
      <c r="K2025" t="n">
        <v>0.0466920290130064</v>
      </c>
      <c r="L2025" t="b">
        <v>0</v>
      </c>
      <c r="M2025" t="b">
        <v>0</v>
      </c>
      <c r="N2025" t="inlineStr">
        <is>
          <t>alt</t>
        </is>
      </c>
      <c r="O2025" t="n">
        <v>-90</v>
      </c>
      <c r="P2025" t="n">
        <v>0.006096</v>
      </c>
      <c r="Q2025" t="n">
        <v>-50</v>
      </c>
      <c r="R2025" t="n">
        <v>0.1184</v>
      </c>
      <c r="S2025">
        <f>IMAGE("https://mitra.stanford.edu/kundaje/oak/projects/neuro-variants/variant_position/credible/roussos_2024/variant_figures/roussos_2024.childhood.GABA/rs6510386_count_position.png",4,220,900)</f>
        <v/>
      </c>
      <c r="T2025">
        <f>IMAGE("https://mitra.stanford.edu/kundaje/oak/projects/neuro-variants/variant_position/credible/roussos_2024/variant_figures/roussos_2024.childhood.GABA/rs6510386_profile_position.png",4,220,900)</f>
        <v/>
      </c>
    </row>
    <row r="2026">
      <c r="A2026" t="inlineStr">
        <is>
          <t>chr19</t>
        </is>
      </c>
      <c r="B2026" t="n">
        <v>33463547</v>
      </c>
      <c r="C2026" t="inlineStr">
        <is>
          <t>T</t>
        </is>
      </c>
      <c r="D2026" t="inlineStr">
        <is>
          <t>C</t>
        </is>
      </c>
      <c r="E2026" t="inlineStr">
        <is>
          <t>rs76144939</t>
        </is>
      </c>
      <c r="F2026" t="n">
        <v>-0.0345452464</v>
      </c>
      <c r="G2026" t="n">
        <v>0.25455324389953</v>
      </c>
      <c r="H2026" t="n">
        <v>0.015635256861053</v>
      </c>
      <c r="I2026" t="n">
        <v>0.1924838096006518</v>
      </c>
      <c r="J2026" t="n">
        <v>0.2092563506523423</v>
      </c>
      <c r="K2026" t="n">
        <v>0.2102958780829498</v>
      </c>
      <c r="L2026" t="b">
        <v>0</v>
      </c>
      <c r="M2026" t="b">
        <v>0</v>
      </c>
      <c r="N2026" t="inlineStr">
        <is>
          <t>ref</t>
        </is>
      </c>
      <c r="O2026" t="n">
        <v>100</v>
      </c>
      <c r="P2026" t="n">
        <v>0.002754</v>
      </c>
      <c r="Q2026" t="n">
        <v>-100</v>
      </c>
      <c r="R2026" t="n">
        <v>0.01538</v>
      </c>
      <c r="S2026">
        <f>IMAGE("https://mitra.stanford.edu/kundaje/oak/projects/neuro-variants/variant_position/credible/roussos_2024/variant_figures/roussos_2024.childhood.GABA/rs76144939_count_position.png",4,220,900)</f>
        <v/>
      </c>
      <c r="T2026">
        <f>IMAGE("https://mitra.stanford.edu/kundaje/oak/projects/neuro-variants/variant_position/credible/roussos_2024/variant_figures/roussos_2024.childhood.GABA/rs76144939_profile_position.png",4,220,900)</f>
        <v/>
      </c>
    </row>
    <row r="2027">
      <c r="A2027" t="inlineStr">
        <is>
          <t>chr19</t>
        </is>
      </c>
      <c r="B2027" t="n">
        <v>33471266</v>
      </c>
      <c r="C2027" t="inlineStr">
        <is>
          <t>G</t>
        </is>
      </c>
      <c r="D2027" t="inlineStr">
        <is>
          <t>A</t>
        </is>
      </c>
      <c r="E2027" t="inlineStr">
        <is>
          <t>rs10423840</t>
        </is>
      </c>
      <c r="F2027" t="n">
        <v>-0.1380750008</v>
      </c>
      <c r="G2027" t="n">
        <v>0.0160809310540631</v>
      </c>
      <c r="H2027" t="n">
        <v>0.019032441035514</v>
      </c>
      <c r="I2027" t="n">
        <v>0.1027178425021518</v>
      </c>
      <c r="J2027" t="n">
        <v>0.2979644405352767</v>
      </c>
      <c r="K2027" t="n">
        <v>0.1375138853034907</v>
      </c>
      <c r="L2027" t="b">
        <v>1</v>
      </c>
      <c r="M2027" t="b">
        <v>0</v>
      </c>
      <c r="N2027" t="inlineStr">
        <is>
          <t>ref</t>
        </is>
      </c>
      <c r="O2027" t="n">
        <v>-30</v>
      </c>
      <c r="P2027" t="n">
        <v>0.01442</v>
      </c>
      <c r="Q2027" t="n">
        <v>35</v>
      </c>
      <c r="R2027" t="n">
        <v>0.09229999999999999</v>
      </c>
      <c r="S2027">
        <f>IMAGE("https://mitra.stanford.edu/kundaje/oak/projects/neuro-variants/variant_position/credible/roussos_2024/variant_figures/roussos_2024.childhood.GABA/rs10423840_count_position.png",4,220,900)</f>
        <v/>
      </c>
      <c r="T2027">
        <f>IMAGE("https://mitra.stanford.edu/kundaje/oak/projects/neuro-variants/variant_position/credible/roussos_2024/variant_figures/roussos_2024.childhood.GABA/rs10423840_profile_position.png",4,220,900)</f>
        <v/>
      </c>
    </row>
    <row r="2028">
      <c r="A2028" t="inlineStr">
        <is>
          <t>chr19</t>
        </is>
      </c>
      <c r="B2028" t="n">
        <v>33479231</v>
      </c>
      <c r="C2028" t="inlineStr">
        <is>
          <t>G</t>
        </is>
      </c>
      <c r="D2028" t="inlineStr">
        <is>
          <t>T</t>
        </is>
      </c>
      <c r="E2028" t="inlineStr">
        <is>
          <t>rs10404501</t>
        </is>
      </c>
      <c r="F2028" t="n">
        <v>-0.00236686261</v>
      </c>
      <c r="G2028" t="n">
        <v>0.8590469940218307</v>
      </c>
      <c r="H2028" t="n">
        <v>0.0279743697142911</v>
      </c>
      <c r="I2028" t="n">
        <v>0.0173442581066947</v>
      </c>
      <c r="J2028" t="n">
        <v>0.0026292643086008</v>
      </c>
      <c r="K2028" t="n">
        <v>0.8605668750062454</v>
      </c>
      <c r="L2028" t="b">
        <v>0</v>
      </c>
      <c r="M2028" t="b">
        <v>0</v>
      </c>
      <c r="N2028" t="inlineStr">
        <is>
          <t>ref</t>
        </is>
      </c>
      <c r="O2028" t="n">
        <v>85</v>
      </c>
      <c r="P2028" t="n">
        <v>0.01944</v>
      </c>
      <c r="Q2028" t="n">
        <v>-100</v>
      </c>
      <c r="R2028" t="n">
        <v>0.105</v>
      </c>
      <c r="S2028">
        <f>IMAGE("https://mitra.stanford.edu/kundaje/oak/projects/neuro-variants/variant_position/credible/roussos_2024/variant_figures/roussos_2024.childhood.GABA/rs10404501_count_position.png",4,220,900)</f>
        <v/>
      </c>
      <c r="T2028">
        <f>IMAGE("https://mitra.stanford.edu/kundaje/oak/projects/neuro-variants/variant_position/credible/roussos_2024/variant_figures/roussos_2024.childhood.GABA/rs10404501_profile_position.png",4,220,900)</f>
        <v/>
      </c>
    </row>
    <row r="2029">
      <c r="A2029" t="inlineStr">
        <is>
          <t>chr19</t>
        </is>
      </c>
      <c r="B2029" t="n">
        <v>33479609</v>
      </c>
      <c r="C2029" t="inlineStr">
        <is>
          <t>G</t>
        </is>
      </c>
      <c r="D2029" t="inlineStr">
        <is>
          <t>C</t>
        </is>
      </c>
      <c r="E2029" t="inlineStr">
        <is>
          <t>rs12461525</t>
        </is>
      </c>
      <c r="F2029" t="n">
        <v>-0.050666739</v>
      </c>
      <c r="G2029" t="n">
        <v>0.1499715517515243</v>
      </c>
      <c r="H2029" t="n">
        <v>0.0098557346812646</v>
      </c>
      <c r="I2029" t="n">
        <v>0.6500442472252491</v>
      </c>
      <c r="J2029" t="n">
        <v>0.016734728068522</v>
      </c>
      <c r="K2029" t="n">
        <v>0.6740317494613751</v>
      </c>
      <c r="L2029" t="b">
        <v>0</v>
      </c>
      <c r="M2029" t="b">
        <v>0</v>
      </c>
      <c r="N2029" t="inlineStr">
        <is>
          <t>ref</t>
        </is>
      </c>
      <c r="O2029" t="n">
        <v>-100</v>
      </c>
      <c r="P2029" t="n">
        <v>0.01955</v>
      </c>
      <c r="Q2029" t="n">
        <v>75</v>
      </c>
      <c r="R2029" t="n">
        <v>0.006058</v>
      </c>
      <c r="S2029">
        <f>IMAGE("https://mitra.stanford.edu/kundaje/oak/projects/neuro-variants/variant_position/credible/roussos_2024/variant_figures/roussos_2024.childhood.GABA/rs12461525_count_position.png",4,220,900)</f>
        <v/>
      </c>
      <c r="T2029">
        <f>IMAGE("https://mitra.stanford.edu/kundaje/oak/projects/neuro-variants/variant_position/credible/roussos_2024/variant_figures/roussos_2024.childhood.GABA/rs12461525_profile_position.png",4,220,900)</f>
        <v/>
      </c>
    </row>
    <row r="2030">
      <c r="A2030" t="inlineStr">
        <is>
          <t>chr19</t>
        </is>
      </c>
      <c r="B2030" t="n">
        <v>36169545</v>
      </c>
      <c r="C2030" t="inlineStr">
        <is>
          <t>A</t>
        </is>
      </c>
      <c r="D2030" t="inlineStr">
        <is>
          <t>G</t>
        </is>
      </c>
      <c r="E2030" t="inlineStr">
        <is>
          <t>rs1476503</t>
        </is>
      </c>
      <c r="F2030" t="n">
        <v>-0.0207453875999999</v>
      </c>
      <c r="G2030" t="n">
        <v>0.4115801021908573</v>
      </c>
      <c r="H2030" t="n">
        <v>0.0123016580523035</v>
      </c>
      <c r="I2030" t="n">
        <v>0.4049293635836346</v>
      </c>
      <c r="J2030" t="n">
        <v>0.2049360222822558</v>
      </c>
      <c r="K2030" t="n">
        <v>0.2123967394400821</v>
      </c>
      <c r="L2030" t="b">
        <v>0</v>
      </c>
      <c r="M2030" t="b">
        <v>0</v>
      </c>
      <c r="N2030" t="inlineStr">
        <is>
          <t>ref</t>
        </is>
      </c>
      <c r="O2030" t="n">
        <v>85</v>
      </c>
      <c r="P2030" t="n">
        <v>0.002258</v>
      </c>
      <c r="Q2030" t="n">
        <v>90</v>
      </c>
      <c r="R2030" t="n">
        <v>0.1548</v>
      </c>
      <c r="S2030">
        <f>IMAGE("https://mitra.stanford.edu/kundaje/oak/projects/neuro-variants/variant_position/credible/roussos_2024/variant_figures/roussos_2024.childhood.GABA/rs1476503_count_position.png",4,220,900)</f>
        <v/>
      </c>
      <c r="T2030">
        <f>IMAGE("https://mitra.stanford.edu/kundaje/oak/projects/neuro-variants/variant_position/credible/roussos_2024/variant_figures/roussos_2024.childhood.GABA/rs1476503_profile_position.png",4,220,900)</f>
        <v/>
      </c>
    </row>
    <row r="2031">
      <c r="A2031" t="inlineStr">
        <is>
          <t>chr19</t>
        </is>
      </c>
      <c r="B2031" t="n">
        <v>36169552</v>
      </c>
      <c r="C2031" t="inlineStr">
        <is>
          <t>A</t>
        </is>
      </c>
      <c r="D2031" t="inlineStr">
        <is>
          <t>G</t>
        </is>
      </c>
      <c r="E2031" t="inlineStr">
        <is>
          <t>rs1476504</t>
        </is>
      </c>
      <c r="F2031" t="n">
        <v>0.0163089318</v>
      </c>
      <c r="G2031" t="n">
        <v>0.4644192063854467</v>
      </c>
      <c r="H2031" t="n">
        <v>0.0119549105923658</v>
      </c>
      <c r="I2031" t="n">
        <v>0.4441111555081385</v>
      </c>
      <c r="J2031" t="n">
        <v>0.2113013340034763</v>
      </c>
      <c r="K2031" t="n">
        <v>0.2059669134000012</v>
      </c>
      <c r="L2031" t="b">
        <v>0</v>
      </c>
      <c r="M2031" t="b">
        <v>0</v>
      </c>
      <c r="N2031" t="inlineStr">
        <is>
          <t>alt</t>
        </is>
      </c>
      <c r="O2031" t="n">
        <v>-30</v>
      </c>
      <c r="P2031" t="n">
        <v>0.002003</v>
      </c>
      <c r="Q2031" t="n">
        <v>100</v>
      </c>
      <c r="R2031" t="n">
        <v>0.1753</v>
      </c>
      <c r="S2031">
        <f>IMAGE("https://mitra.stanford.edu/kundaje/oak/projects/neuro-variants/variant_position/credible/roussos_2024/variant_figures/roussos_2024.childhood.GABA/rs1476504_count_position.png",4,220,900)</f>
        <v/>
      </c>
      <c r="T2031">
        <f>IMAGE("https://mitra.stanford.edu/kundaje/oak/projects/neuro-variants/variant_position/credible/roussos_2024/variant_figures/roussos_2024.childhood.GABA/rs1476504_profile_position.png",4,220,900)</f>
        <v/>
      </c>
    </row>
    <row r="2032">
      <c r="A2032" t="inlineStr">
        <is>
          <t>chr19</t>
        </is>
      </c>
      <c r="B2032" t="n">
        <v>36190511</v>
      </c>
      <c r="C2032" t="inlineStr">
        <is>
          <t>A</t>
        </is>
      </c>
      <c r="D2032" t="inlineStr">
        <is>
          <t>G</t>
        </is>
      </c>
      <c r="E2032" t="inlineStr">
        <is>
          <t>rs7249719</t>
        </is>
      </c>
      <c r="F2032" t="n">
        <v>-0.0328554875</v>
      </c>
      <c r="G2032" t="n">
        <v>0.2444334843499299</v>
      </c>
      <c r="H2032" t="n">
        <v>0.014226357818206</v>
      </c>
      <c r="I2032" t="n">
        <v>0.2703214155506408</v>
      </c>
      <c r="J2032" t="n">
        <v>0.2958053234487235</v>
      </c>
      <c r="K2032" t="n">
        <v>0.142890913828322</v>
      </c>
      <c r="L2032" t="b">
        <v>0</v>
      </c>
      <c r="M2032" t="b">
        <v>0</v>
      </c>
      <c r="N2032" t="inlineStr">
        <is>
          <t>ref</t>
        </is>
      </c>
      <c r="O2032" t="n">
        <v>5</v>
      </c>
      <c r="P2032" t="n">
        <v>0.0004883</v>
      </c>
      <c r="Q2032" t="n">
        <v>5</v>
      </c>
      <c r="R2032" t="n">
        <v>0.00537</v>
      </c>
      <c r="S2032">
        <f>IMAGE("https://mitra.stanford.edu/kundaje/oak/projects/neuro-variants/variant_position/credible/roussos_2024/variant_figures/roussos_2024.childhood.GABA/rs7249719_count_position.png",4,220,900)</f>
        <v/>
      </c>
      <c r="T2032">
        <f>IMAGE("https://mitra.stanford.edu/kundaje/oak/projects/neuro-variants/variant_position/credible/roussos_2024/variant_figures/roussos_2024.childhood.GABA/rs7249719_profile_position.png",4,220,900)</f>
        <v/>
      </c>
    </row>
    <row r="2033">
      <c r="A2033" t="inlineStr">
        <is>
          <t>chr19</t>
        </is>
      </c>
      <c r="B2033" t="n">
        <v>36194408</v>
      </c>
      <c r="C2033" t="inlineStr">
        <is>
          <t>C</t>
        </is>
      </c>
      <c r="D2033" t="inlineStr">
        <is>
          <t>T</t>
        </is>
      </c>
      <c r="E2033" t="inlineStr">
        <is>
          <t>rs2287897</t>
        </is>
      </c>
      <c r="F2033" t="n">
        <v>-0.1021991796</v>
      </c>
      <c r="G2033" t="n">
        <v>0.0289279835694672</v>
      </c>
      <c r="H2033" t="n">
        <v>0.0107329376782358</v>
      </c>
      <c r="I2033" t="n">
        <v>0.533033121337768</v>
      </c>
      <c r="J2033" t="n">
        <v>0.3062857322359741</v>
      </c>
      <c r="K2033" t="n">
        <v>0.1338079473883019</v>
      </c>
      <c r="L2033" t="b">
        <v>0</v>
      </c>
      <c r="M2033" t="b">
        <v>0</v>
      </c>
      <c r="N2033" t="inlineStr">
        <is>
          <t>ref</t>
        </is>
      </c>
      <c r="O2033" t="n">
        <v>40</v>
      </c>
      <c r="P2033" t="n">
        <v>0.004303</v>
      </c>
      <c r="Q2033" t="n">
        <v>-85</v>
      </c>
      <c r="R2033" t="n">
        <v>0.0984</v>
      </c>
      <c r="S2033">
        <f>IMAGE("https://mitra.stanford.edu/kundaje/oak/projects/neuro-variants/variant_position/credible/roussos_2024/variant_figures/roussos_2024.childhood.GABA/rs2287897_count_position.png",4,220,900)</f>
        <v/>
      </c>
      <c r="T2033">
        <f>IMAGE("https://mitra.stanford.edu/kundaje/oak/projects/neuro-variants/variant_position/credible/roussos_2024/variant_figures/roussos_2024.childhood.GABA/rs2287897_profile_position.png",4,220,900)</f>
        <v/>
      </c>
    </row>
    <row r="2034">
      <c r="A2034" t="inlineStr">
        <is>
          <t>chr19</t>
        </is>
      </c>
      <c r="B2034" t="n">
        <v>36225931</v>
      </c>
      <c r="C2034" t="inlineStr">
        <is>
          <t>T</t>
        </is>
      </c>
      <c r="D2034" t="inlineStr">
        <is>
          <t>C</t>
        </is>
      </c>
      <c r="E2034" t="inlineStr">
        <is>
          <t>rs2432051</t>
        </is>
      </c>
      <c r="F2034" t="n">
        <v>-0.00204623608</v>
      </c>
      <c r="G2034" t="n">
        <v>0.8770240849003923</v>
      </c>
      <c r="H2034" t="n">
        <v>0.0212023901238526</v>
      </c>
      <c r="I2034" t="n">
        <v>0.0587368009070609</v>
      </c>
      <c r="J2034" t="n">
        <v>0.0867364034261062</v>
      </c>
      <c r="K2034" t="n">
        <v>0.3937125531268907</v>
      </c>
      <c r="L2034" t="b">
        <v>0</v>
      </c>
      <c r="M2034" t="b">
        <v>0</v>
      </c>
      <c r="N2034" t="inlineStr">
        <is>
          <t>ref</t>
        </is>
      </c>
      <c r="O2034" t="n">
        <v>-55</v>
      </c>
      <c r="P2034" t="n">
        <v>0.06909999999999999</v>
      </c>
      <c r="Q2034" t="n">
        <v>100</v>
      </c>
      <c r="R2034" t="n">
        <v>0.154</v>
      </c>
      <c r="S2034">
        <f>IMAGE("https://mitra.stanford.edu/kundaje/oak/projects/neuro-variants/variant_position/credible/roussos_2024/variant_figures/roussos_2024.childhood.GABA/rs2432051_count_position.png",4,220,900)</f>
        <v/>
      </c>
      <c r="T2034">
        <f>IMAGE("https://mitra.stanford.edu/kundaje/oak/projects/neuro-variants/variant_position/credible/roussos_2024/variant_figures/roussos_2024.childhood.GABA/rs2432051_profile_position.png",4,220,900)</f>
        <v/>
      </c>
    </row>
    <row r="2035">
      <c r="A2035" t="inlineStr">
        <is>
          <t>chr19</t>
        </is>
      </c>
      <c r="B2035" t="n">
        <v>36243589</v>
      </c>
      <c r="C2035" t="inlineStr">
        <is>
          <t>G</t>
        </is>
      </c>
      <c r="D2035" t="inlineStr">
        <is>
          <t>A</t>
        </is>
      </c>
      <c r="E2035" t="inlineStr">
        <is>
          <t>rs2972537</t>
        </is>
      </c>
      <c r="F2035" t="n">
        <v>-0.008971456006</v>
      </c>
      <c r="G2035" t="n">
        <v>0.6580770627595572</v>
      </c>
      <c r="H2035" t="n">
        <v>0.009084610191043899</v>
      </c>
      <c r="I2035" t="n">
        <v>0.7437980149903509</v>
      </c>
      <c r="J2035" t="n">
        <v>0.0770015287637954</v>
      </c>
      <c r="K2035" t="n">
        <v>0.4289403423183582</v>
      </c>
      <c r="L2035" t="b">
        <v>0</v>
      </c>
      <c r="M2035" t="b">
        <v>0</v>
      </c>
      <c r="N2035" t="inlineStr">
        <is>
          <t>ref</t>
        </is>
      </c>
      <c r="O2035" t="n">
        <v>-45</v>
      </c>
      <c r="P2035" t="n">
        <v>0.001041</v>
      </c>
      <c r="Q2035" t="n">
        <v>90</v>
      </c>
      <c r="R2035" t="n">
        <v>0.1057</v>
      </c>
      <c r="S2035">
        <f>IMAGE("https://mitra.stanford.edu/kundaje/oak/projects/neuro-variants/variant_position/credible/roussos_2024/variant_figures/roussos_2024.childhood.GABA/rs2972537_count_position.png",4,220,900)</f>
        <v/>
      </c>
      <c r="T2035">
        <f>IMAGE("https://mitra.stanford.edu/kundaje/oak/projects/neuro-variants/variant_position/credible/roussos_2024/variant_figures/roussos_2024.childhood.GABA/rs2972537_profile_position.png",4,220,900)</f>
        <v/>
      </c>
    </row>
    <row r="2036">
      <c r="A2036" t="inlineStr">
        <is>
          <t>chr19</t>
        </is>
      </c>
      <c r="B2036" t="n">
        <v>38046684</v>
      </c>
      <c r="C2036" t="inlineStr">
        <is>
          <t>C</t>
        </is>
      </c>
      <c r="D2036" t="inlineStr">
        <is>
          <t>T</t>
        </is>
      </c>
      <c r="E2036" t="inlineStr">
        <is>
          <t>rs149760493</t>
        </is>
      </c>
      <c r="F2036" t="n">
        <v>-0.0646054314</v>
      </c>
      <c r="G2036" t="n">
        <v>0.08774734512354079</v>
      </c>
      <c r="H2036" t="n">
        <v>0.0190085810364738</v>
      </c>
      <c r="I2036" t="n">
        <v>0.0943389133532745</v>
      </c>
      <c r="J2036" t="n">
        <v>0.519189126929279</v>
      </c>
      <c r="K2036" t="n">
        <v>0.0461114512648177</v>
      </c>
      <c r="L2036" t="b">
        <v>0</v>
      </c>
      <c r="M2036" t="b">
        <v>0</v>
      </c>
      <c r="N2036" t="inlineStr">
        <is>
          <t>ref</t>
        </is>
      </c>
      <c r="O2036" t="n">
        <v>10</v>
      </c>
      <c r="P2036" t="n">
        <v>0.0001831</v>
      </c>
      <c r="Q2036" t="n">
        <v>10</v>
      </c>
      <c r="R2036" t="n">
        <v>0.02661</v>
      </c>
      <c r="S2036">
        <f>IMAGE("https://mitra.stanford.edu/kundaje/oak/projects/neuro-variants/variant_position/credible/roussos_2024/variant_figures/roussos_2024.childhood.GABA/rs149760493_count_position.png",4,220,900)</f>
        <v/>
      </c>
      <c r="T2036">
        <f>IMAGE("https://mitra.stanford.edu/kundaje/oak/projects/neuro-variants/variant_position/credible/roussos_2024/variant_figures/roussos_2024.childhood.GABA/rs149760493_profile_position.png",4,220,900)</f>
        <v/>
      </c>
    </row>
    <row r="2037">
      <c r="A2037" t="inlineStr">
        <is>
          <t>chr19</t>
        </is>
      </c>
      <c r="B2037" t="n">
        <v>38049395</v>
      </c>
      <c r="C2037" t="inlineStr">
        <is>
          <t>C</t>
        </is>
      </c>
      <c r="D2037" t="inlineStr">
        <is>
          <t>T</t>
        </is>
      </c>
      <c r="E2037" t="inlineStr">
        <is>
          <t>rs140163185</t>
        </is>
      </c>
      <c r="F2037" t="n">
        <v>-0.04837545726</v>
      </c>
      <c r="G2037" t="n">
        <v>0.1412177366725971</v>
      </c>
      <c r="H2037" t="n">
        <v>0.0142219964294208</v>
      </c>
      <c r="I2037" t="n">
        <v>0.2706251961563128</v>
      </c>
      <c r="J2037" t="n">
        <v>0.3919645661870955</v>
      </c>
      <c r="K2037" t="n">
        <v>0.08788850923238919</v>
      </c>
      <c r="L2037" t="b">
        <v>0</v>
      </c>
      <c r="M2037" t="b">
        <v>0</v>
      </c>
      <c r="N2037" t="inlineStr">
        <is>
          <t>ref</t>
        </is>
      </c>
      <c r="O2037" t="n">
        <v>-75</v>
      </c>
      <c r="P2037" t="n">
        <v>0.005535</v>
      </c>
      <c r="Q2037" t="n">
        <v>-30</v>
      </c>
      <c r="R2037" t="n">
        <v>0.06419999999999999</v>
      </c>
      <c r="S2037">
        <f>IMAGE("https://mitra.stanford.edu/kundaje/oak/projects/neuro-variants/variant_position/credible/roussos_2024/variant_figures/roussos_2024.childhood.GABA/rs140163185_count_position.png",4,220,900)</f>
        <v/>
      </c>
      <c r="T2037">
        <f>IMAGE("https://mitra.stanford.edu/kundaje/oak/projects/neuro-variants/variant_position/credible/roussos_2024/variant_figures/roussos_2024.childhood.GABA/rs140163185_profile_position.png",4,220,900)</f>
        <v/>
      </c>
    </row>
    <row r="2038">
      <c r="A2038" t="inlineStr">
        <is>
          <t>chr19</t>
        </is>
      </c>
      <c r="B2038" t="n">
        <v>38050594</v>
      </c>
      <c r="C2038" t="inlineStr">
        <is>
          <t>G</t>
        </is>
      </c>
      <c r="D2038" t="inlineStr">
        <is>
          <t>A</t>
        </is>
      </c>
      <c r="E2038" t="inlineStr">
        <is>
          <t>rs150020955</t>
        </is>
      </c>
      <c r="F2038" t="n">
        <v>-0.009841521428000001</v>
      </c>
      <c r="G2038" t="n">
        <v>0.64578936728815</v>
      </c>
      <c r="H2038" t="n">
        <v>0.01148363804254</v>
      </c>
      <c r="I2038" t="n">
        <v>0.4833160958899363</v>
      </c>
      <c r="J2038" t="n">
        <v>0.0482565810140101</v>
      </c>
      <c r="K2038" t="n">
        <v>0.524824143497562</v>
      </c>
      <c r="L2038" t="b">
        <v>0</v>
      </c>
      <c r="M2038" t="b">
        <v>0</v>
      </c>
      <c r="N2038" t="inlineStr">
        <is>
          <t>ref</t>
        </is>
      </c>
      <c r="O2038" t="n">
        <v>90</v>
      </c>
      <c r="P2038" t="n">
        <v>0.005093</v>
      </c>
      <c r="Q2038" t="n">
        <v>15</v>
      </c>
      <c r="R2038" t="n">
        <v>0.02557</v>
      </c>
      <c r="S2038">
        <f>IMAGE("https://mitra.stanford.edu/kundaje/oak/projects/neuro-variants/variant_position/credible/roussos_2024/variant_figures/roussos_2024.childhood.GABA/rs150020955_count_position.png",4,220,900)</f>
        <v/>
      </c>
      <c r="T2038">
        <f>IMAGE("https://mitra.stanford.edu/kundaje/oak/projects/neuro-variants/variant_position/credible/roussos_2024/variant_figures/roussos_2024.childhood.GABA/rs150020955_profile_position.png",4,220,900)</f>
        <v/>
      </c>
    </row>
    <row r="2039">
      <c r="A2039" t="inlineStr">
        <is>
          <t>chr19</t>
        </is>
      </c>
      <c r="B2039" t="n">
        <v>38055616</v>
      </c>
      <c r="C2039" t="inlineStr">
        <is>
          <t>A</t>
        </is>
      </c>
      <c r="D2039" t="inlineStr">
        <is>
          <t>G</t>
        </is>
      </c>
      <c r="E2039" t="inlineStr">
        <is>
          <t>rs148362166</t>
        </is>
      </c>
      <c r="F2039" t="n">
        <v>0.0229624488999999</v>
      </c>
      <c r="G2039" t="n">
        <v>0.3694882226960755</v>
      </c>
      <c r="H2039" t="n">
        <v>0.0128743114735535</v>
      </c>
      <c r="I2039" t="n">
        <v>0.3645930471313372</v>
      </c>
      <c r="J2039" t="n">
        <v>0.3698948713115955</v>
      </c>
      <c r="K2039" t="n">
        <v>0.0989996382967139</v>
      </c>
      <c r="L2039" t="b">
        <v>0</v>
      </c>
      <c r="M2039" t="b">
        <v>0</v>
      </c>
      <c r="N2039" t="inlineStr">
        <is>
          <t>alt</t>
        </is>
      </c>
      <c r="O2039" t="n">
        <v>95</v>
      </c>
      <c r="P2039" t="n">
        <v>0.00434</v>
      </c>
      <c r="Q2039" t="n">
        <v>-15</v>
      </c>
      <c r="R2039" t="n">
        <v>0.02286</v>
      </c>
      <c r="S2039">
        <f>IMAGE("https://mitra.stanford.edu/kundaje/oak/projects/neuro-variants/variant_position/credible/roussos_2024/variant_figures/roussos_2024.childhood.GABA/rs148362166_count_position.png",4,220,900)</f>
        <v/>
      </c>
      <c r="T2039">
        <f>IMAGE("https://mitra.stanford.edu/kundaje/oak/projects/neuro-variants/variant_position/credible/roussos_2024/variant_figures/roussos_2024.childhood.GABA/rs148362166_profile_position.png",4,220,900)</f>
        <v/>
      </c>
    </row>
    <row r="2040">
      <c r="A2040" t="inlineStr">
        <is>
          <t>chr19</t>
        </is>
      </c>
      <c r="B2040" t="n">
        <v>38095543</v>
      </c>
      <c r="C2040" t="inlineStr">
        <is>
          <t>T</t>
        </is>
      </c>
      <c r="D2040" t="inlineStr">
        <is>
          <t>C</t>
        </is>
      </c>
      <c r="E2040" t="inlineStr">
        <is>
          <t>rs12983497</t>
        </is>
      </c>
      <c r="F2040" t="n">
        <v>-0.0384986041999999</v>
      </c>
      <c r="G2040" t="n">
        <v>0.2289611827897821</v>
      </c>
      <c r="H2040" t="n">
        <v>0.0178351540148261</v>
      </c>
      <c r="I2040" t="n">
        <v>0.1232066464586281</v>
      </c>
      <c r="J2040" t="n">
        <v>0.5415080312454189</v>
      </c>
      <c r="K2040" t="n">
        <v>0.0414369404768028</v>
      </c>
      <c r="L2040" t="b">
        <v>0</v>
      </c>
      <c r="M2040" t="b">
        <v>0</v>
      </c>
      <c r="N2040" t="inlineStr">
        <is>
          <t>ref</t>
        </is>
      </c>
      <c r="O2040" t="n">
        <v>-35</v>
      </c>
      <c r="P2040" t="n">
        <v>0.00554</v>
      </c>
      <c r="Q2040" t="n">
        <v>0</v>
      </c>
      <c r="R2040" t="n">
        <v>0</v>
      </c>
      <c r="S2040">
        <f>IMAGE("https://mitra.stanford.edu/kundaje/oak/projects/neuro-variants/variant_position/credible/roussos_2024/variant_figures/roussos_2024.childhood.GABA/rs12983497_count_position.png",4,220,900)</f>
        <v/>
      </c>
      <c r="T2040">
        <f>IMAGE("https://mitra.stanford.edu/kundaje/oak/projects/neuro-variants/variant_position/credible/roussos_2024/variant_figures/roussos_2024.childhood.GABA/rs12983497_profile_position.png",4,220,900)</f>
        <v/>
      </c>
    </row>
    <row r="2041">
      <c r="A2041" t="inlineStr">
        <is>
          <t>chr19</t>
        </is>
      </c>
      <c r="B2041" t="n">
        <v>38100867</v>
      </c>
      <c r="C2041" t="inlineStr">
        <is>
          <t>G</t>
        </is>
      </c>
      <c r="D2041" t="inlineStr">
        <is>
          <t>T</t>
        </is>
      </c>
      <c r="E2041" t="inlineStr">
        <is>
          <t>rs3810356</t>
        </is>
      </c>
      <c r="F2041" t="n">
        <v>-0.0968924452</v>
      </c>
      <c r="G2041" t="n">
        <v>0.0353180892608723</v>
      </c>
      <c r="H2041" t="n">
        <v>0.0162967410308127</v>
      </c>
      <c r="I2041" t="n">
        <v>0.1685450613062039</v>
      </c>
      <c r="J2041" t="n">
        <v>0.451882683085171</v>
      </c>
      <c r="K2041" t="n">
        <v>0.06535801472048371</v>
      </c>
      <c r="L2041" t="b">
        <v>0</v>
      </c>
      <c r="M2041" t="b">
        <v>0</v>
      </c>
      <c r="N2041" t="inlineStr">
        <is>
          <t>ref</t>
        </is>
      </c>
      <c r="O2041" t="n">
        <v>-35</v>
      </c>
      <c r="P2041" t="n">
        <v>0.00702</v>
      </c>
      <c r="Q2041" t="n">
        <v>60</v>
      </c>
      <c r="R2041" t="n">
        <v>0.09130000000000001</v>
      </c>
      <c r="S2041">
        <f>IMAGE("https://mitra.stanford.edu/kundaje/oak/projects/neuro-variants/variant_position/credible/roussos_2024/variant_figures/roussos_2024.childhood.GABA/rs3810356_count_position.png",4,220,900)</f>
        <v/>
      </c>
      <c r="T2041">
        <f>IMAGE("https://mitra.stanford.edu/kundaje/oak/projects/neuro-variants/variant_position/credible/roussos_2024/variant_figures/roussos_2024.childhood.GABA/rs3810356_profile_position.png",4,220,900)</f>
        <v/>
      </c>
    </row>
    <row r="2042">
      <c r="A2042" t="inlineStr">
        <is>
          <t>chr19</t>
        </is>
      </c>
      <c r="B2042" t="n">
        <v>38124082</v>
      </c>
      <c r="C2042" t="inlineStr">
        <is>
          <t>C</t>
        </is>
      </c>
      <c r="D2042" t="inlineStr">
        <is>
          <t>T</t>
        </is>
      </c>
      <c r="E2042" t="inlineStr">
        <is>
          <t>rs569675332</t>
        </is>
      </c>
      <c r="F2042" t="n">
        <v>-0.0045133946</v>
      </c>
      <c r="G2042" t="n">
        <v>0.7682601012764817</v>
      </c>
      <c r="H2042" t="n">
        <v>0.0253486214740643</v>
      </c>
      <c r="I2042" t="n">
        <v>0.0281929233571579</v>
      </c>
      <c r="J2042" t="n">
        <v>0.4230256957969466</v>
      </c>
      <c r="K2042" t="n">
        <v>0.0742479898232999</v>
      </c>
      <c r="L2042" t="b">
        <v>0</v>
      </c>
      <c r="M2042" t="b">
        <v>0</v>
      </c>
      <c r="N2042" t="inlineStr">
        <is>
          <t>ref</t>
        </is>
      </c>
      <c r="O2042" t="n">
        <v>-75</v>
      </c>
      <c r="P2042" t="n">
        <v>0.04736</v>
      </c>
      <c r="Q2042" t="n">
        <v>10</v>
      </c>
      <c r="R2042" t="n">
        <v>0.01111</v>
      </c>
      <c r="S2042">
        <f>IMAGE("https://mitra.stanford.edu/kundaje/oak/projects/neuro-variants/variant_position/credible/roussos_2024/variant_figures/roussos_2024.childhood.GABA/rs569675332_count_position.png",4,220,900)</f>
        <v/>
      </c>
      <c r="T2042">
        <f>IMAGE("https://mitra.stanford.edu/kundaje/oak/projects/neuro-variants/variant_position/credible/roussos_2024/variant_figures/roussos_2024.childhood.GABA/rs569675332_profile_position.png",4,220,900)</f>
        <v/>
      </c>
    </row>
    <row r="2043">
      <c r="A2043" t="inlineStr">
        <is>
          <t>chr19</t>
        </is>
      </c>
      <c r="B2043" t="n">
        <v>38124126</v>
      </c>
      <c r="C2043" t="inlineStr">
        <is>
          <t>G</t>
        </is>
      </c>
      <c r="D2043" t="inlineStr">
        <is>
          <t>A</t>
        </is>
      </c>
      <c r="E2043" t="inlineStr">
        <is>
          <t>rs182522360</t>
        </is>
      </c>
      <c r="F2043" t="n">
        <v>-0.00924682684</v>
      </c>
      <c r="G2043" t="n">
        <v>0.6635161915497872</v>
      </c>
      <c r="H2043" t="n">
        <v>0.0291074795469615</v>
      </c>
      <c r="I2043" t="n">
        <v>0.0155824821102116</v>
      </c>
      <c r="J2043" t="n">
        <v>0.4314998638771962</v>
      </c>
      <c r="K2043" t="n">
        <v>0.0709405716037252</v>
      </c>
      <c r="L2043" t="b">
        <v>1</v>
      </c>
      <c r="M2043" t="b">
        <v>0</v>
      </c>
      <c r="N2043" t="inlineStr">
        <is>
          <t>ref</t>
        </is>
      </c>
      <c r="O2043" t="n">
        <v>-100</v>
      </c>
      <c r="P2043" t="n">
        <v>0.0866</v>
      </c>
      <c r="Q2043" t="n">
        <v>-75</v>
      </c>
      <c r="R2043" t="n">
        <v>0.04565</v>
      </c>
      <c r="S2043">
        <f>IMAGE("https://mitra.stanford.edu/kundaje/oak/projects/neuro-variants/variant_position/credible/roussos_2024/variant_figures/roussos_2024.childhood.GABA/rs182522360_count_position.png",4,220,900)</f>
        <v/>
      </c>
      <c r="T2043">
        <f>IMAGE("https://mitra.stanford.edu/kundaje/oak/projects/neuro-variants/variant_position/credible/roussos_2024/variant_figures/roussos_2024.childhood.GABA/rs182522360_profile_position.png",4,220,900)</f>
        <v/>
      </c>
    </row>
    <row r="2044">
      <c r="A2044" t="inlineStr">
        <is>
          <t>chr19</t>
        </is>
      </c>
      <c r="B2044" t="n">
        <v>38131300</v>
      </c>
      <c r="C2044" t="inlineStr">
        <is>
          <t>G</t>
        </is>
      </c>
      <c r="D2044" t="inlineStr">
        <is>
          <t>A</t>
        </is>
      </c>
      <c r="E2044" t="inlineStr">
        <is>
          <t>rs855616</t>
        </is>
      </c>
      <c r="F2044" t="n">
        <v>-0.021818902</v>
      </c>
      <c r="G2044" t="n">
        <v>0.4066601463111921</v>
      </c>
      <c r="H2044" t="n">
        <v>0.0116377839631969</v>
      </c>
      <c r="I2044" t="n">
        <v>0.4762881511777085</v>
      </c>
      <c r="J2044" t="n">
        <v>0.2507811354736026</v>
      </c>
      <c r="K2044" t="n">
        <v>0.1751599834766467</v>
      </c>
      <c r="L2044" t="b">
        <v>0</v>
      </c>
      <c r="M2044" t="b">
        <v>0</v>
      </c>
      <c r="N2044" t="inlineStr">
        <is>
          <t>ref</t>
        </is>
      </c>
      <c r="O2044" t="n">
        <v>-100</v>
      </c>
      <c r="P2044" t="n">
        <v>0.007755</v>
      </c>
      <c r="Q2044" t="n">
        <v>0</v>
      </c>
      <c r="R2044" t="n">
        <v>0</v>
      </c>
      <c r="S2044">
        <f>IMAGE("https://mitra.stanford.edu/kundaje/oak/projects/neuro-variants/variant_position/credible/roussos_2024/variant_figures/roussos_2024.childhood.GABA/rs855616_count_position.png",4,220,900)</f>
        <v/>
      </c>
      <c r="T2044">
        <f>IMAGE("https://mitra.stanford.edu/kundaje/oak/projects/neuro-variants/variant_position/credible/roussos_2024/variant_figures/roussos_2024.childhood.GABA/rs855616_profile_position.png",4,220,900)</f>
        <v/>
      </c>
    </row>
    <row r="2045">
      <c r="A2045" t="inlineStr">
        <is>
          <t>chr19</t>
        </is>
      </c>
      <c r="B2045" t="n">
        <v>38135855</v>
      </c>
      <c r="C2045" t="inlineStr">
        <is>
          <t>T</t>
        </is>
      </c>
      <c r="D2045" t="inlineStr">
        <is>
          <t>C</t>
        </is>
      </c>
      <c r="E2045" t="inlineStr">
        <is>
          <t>rs8110434</t>
        </is>
      </c>
      <c r="F2045" t="n">
        <v>0.0549367905999999</v>
      </c>
      <c r="G2045" t="n">
        <v>0.1158245730554274</v>
      </c>
      <c r="H2045" t="n">
        <v>0.0147087227739952</v>
      </c>
      <c r="I2045" t="n">
        <v>0.2433378133949077</v>
      </c>
      <c r="J2045" t="n">
        <v>0.3074668593327888</v>
      </c>
      <c r="K2045" t="n">
        <v>0.1324132775387412</v>
      </c>
      <c r="L2045" t="b">
        <v>0</v>
      </c>
      <c r="M2045" t="b">
        <v>0</v>
      </c>
      <c r="N2045" t="inlineStr">
        <is>
          <t>alt</t>
        </is>
      </c>
      <c r="O2045" t="n">
        <v>100</v>
      </c>
      <c r="P2045" t="n">
        <v>0.01852</v>
      </c>
      <c r="Q2045" t="n">
        <v>-25</v>
      </c>
      <c r="R2045" t="n">
        <v>0.05484</v>
      </c>
      <c r="S2045">
        <f>IMAGE("https://mitra.stanford.edu/kundaje/oak/projects/neuro-variants/variant_position/credible/roussos_2024/variant_figures/roussos_2024.childhood.GABA/rs8110434_count_position.png",4,220,900)</f>
        <v/>
      </c>
      <c r="T2045">
        <f>IMAGE("https://mitra.stanford.edu/kundaje/oak/projects/neuro-variants/variant_position/credible/roussos_2024/variant_figures/roussos_2024.childhood.GABA/rs8110434_profile_position.png",4,220,900)</f>
        <v/>
      </c>
    </row>
    <row r="2046">
      <c r="A2046" t="inlineStr">
        <is>
          <t>chr19</t>
        </is>
      </c>
      <c r="B2046" t="n">
        <v>38138144</v>
      </c>
      <c r="C2046" t="inlineStr">
        <is>
          <t>A</t>
        </is>
      </c>
      <c r="D2046" t="inlineStr">
        <is>
          <t>T</t>
        </is>
      </c>
      <c r="E2046" t="inlineStr">
        <is>
          <t>rs4803805</t>
        </is>
      </c>
      <c r="F2046" t="n">
        <v>-0.0048169825</v>
      </c>
      <c r="G2046" t="n">
        <v>0.8022081737422537</v>
      </c>
      <c r="H2046" t="n">
        <v>0.0288106378010919</v>
      </c>
      <c r="I2046" t="n">
        <v>0.0155418922252145</v>
      </c>
      <c r="J2046" t="n">
        <v>0.0340055705639672</v>
      </c>
      <c r="K2046" t="n">
        <v>0.5778622196637716</v>
      </c>
      <c r="L2046" t="b">
        <v>1</v>
      </c>
      <c r="M2046" t="b">
        <v>0</v>
      </c>
      <c r="N2046" t="inlineStr">
        <is>
          <t>ref</t>
        </is>
      </c>
      <c r="O2046" t="n">
        <v>-85</v>
      </c>
      <c r="P2046" t="n">
        <v>0.01688</v>
      </c>
      <c r="Q2046" t="n">
        <v>70</v>
      </c>
      <c r="R2046" t="n">
        <v>0.01672</v>
      </c>
      <c r="S2046">
        <f>IMAGE("https://mitra.stanford.edu/kundaje/oak/projects/neuro-variants/variant_position/credible/roussos_2024/variant_figures/roussos_2024.childhood.GABA/rs4803805_count_position.png",4,220,900)</f>
        <v/>
      </c>
      <c r="T2046">
        <f>IMAGE("https://mitra.stanford.edu/kundaje/oak/projects/neuro-variants/variant_position/credible/roussos_2024/variant_figures/roussos_2024.childhood.GABA/rs4803805_profile_position.png",4,220,900)</f>
        <v/>
      </c>
    </row>
    <row r="2047">
      <c r="A2047" t="inlineStr">
        <is>
          <t>chr19</t>
        </is>
      </c>
      <c r="B2047" t="n">
        <v>38139285</v>
      </c>
      <c r="C2047" t="inlineStr">
        <is>
          <t>G</t>
        </is>
      </c>
      <c r="D2047" t="inlineStr">
        <is>
          <t>T</t>
        </is>
      </c>
      <c r="E2047" t="inlineStr">
        <is>
          <t>rs61185863</t>
        </is>
      </c>
      <c r="F2047" t="n">
        <v>0.07590530186</v>
      </c>
      <c r="G2047" t="n">
        <v>0.0703031113720642</v>
      </c>
      <c r="H2047" t="n">
        <v>0.018181986930811</v>
      </c>
      <c r="I2047" t="n">
        <v>0.1099485397668641</v>
      </c>
      <c r="J2047" t="n">
        <v>0.1988345793805365</v>
      </c>
      <c r="K2047" t="n">
        <v>0.2238233375581789</v>
      </c>
      <c r="L2047" t="b">
        <v>0</v>
      </c>
      <c r="M2047" t="b">
        <v>0</v>
      </c>
      <c r="N2047" t="inlineStr">
        <is>
          <t>alt</t>
        </is>
      </c>
      <c r="O2047" t="n">
        <v>-60</v>
      </c>
      <c r="P2047" t="n">
        <v>0.003025</v>
      </c>
      <c r="Q2047" t="n">
        <v>70</v>
      </c>
      <c r="R2047" t="n">
        <v>0.03455</v>
      </c>
      <c r="S2047">
        <f>IMAGE("https://mitra.stanford.edu/kundaje/oak/projects/neuro-variants/variant_position/credible/roussos_2024/variant_figures/roussos_2024.childhood.GABA/rs61185863_count_position.png",4,220,900)</f>
        <v/>
      </c>
      <c r="T2047">
        <f>IMAGE("https://mitra.stanford.edu/kundaje/oak/projects/neuro-variants/variant_position/credible/roussos_2024/variant_figures/roussos_2024.childhood.GABA/rs61185863_profile_position.png",4,220,900)</f>
        <v/>
      </c>
    </row>
    <row r="2048">
      <c r="A2048" t="inlineStr">
        <is>
          <t>chr19</t>
        </is>
      </c>
      <c r="B2048" t="n">
        <v>38180561</v>
      </c>
      <c r="C2048" t="inlineStr">
        <is>
          <t>A</t>
        </is>
      </c>
      <c r="D2048" t="inlineStr">
        <is>
          <t>G</t>
        </is>
      </c>
      <c r="E2048" t="inlineStr">
        <is>
          <t>rs10401165</t>
        </is>
      </c>
      <c r="F2048" t="n">
        <v>-0.0010390543599999</v>
      </c>
      <c r="G2048" t="n">
        <v>0.7102379185671028</v>
      </c>
      <c r="H2048" t="n">
        <v>0.0226298857337764</v>
      </c>
      <c r="I2048" t="n">
        <v>0.0444045637990065</v>
      </c>
      <c r="J2048" t="n">
        <v>0.0172781721848756</v>
      </c>
      <c r="K2048" t="n">
        <v>0.6844688052939262</v>
      </c>
      <c r="L2048" t="b">
        <v>0</v>
      </c>
      <c r="M2048" t="b">
        <v>0</v>
      </c>
      <c r="N2048" t="inlineStr">
        <is>
          <t>ref</t>
        </is>
      </c>
      <c r="O2048" t="n">
        <v>-100</v>
      </c>
      <c r="P2048" t="n">
        <v>0.005493</v>
      </c>
      <c r="Q2048" t="n">
        <v>0</v>
      </c>
      <c r="R2048" t="n">
        <v>0</v>
      </c>
      <c r="S2048">
        <f>IMAGE("https://mitra.stanford.edu/kundaje/oak/projects/neuro-variants/variant_position/credible/roussos_2024/variant_figures/roussos_2024.childhood.GABA/rs10401165_count_position.png",4,220,900)</f>
        <v/>
      </c>
      <c r="T2048">
        <f>IMAGE("https://mitra.stanford.edu/kundaje/oak/projects/neuro-variants/variant_position/credible/roussos_2024/variant_figures/roussos_2024.childhood.GABA/rs10401165_profile_position.png",4,220,900)</f>
        <v/>
      </c>
    </row>
    <row r="2049">
      <c r="A2049" t="inlineStr">
        <is>
          <t>chr19</t>
        </is>
      </c>
      <c r="B2049" t="n">
        <v>49661592</v>
      </c>
      <c r="C2049" t="inlineStr">
        <is>
          <t>G</t>
        </is>
      </c>
      <c r="D2049" t="inlineStr">
        <is>
          <t>T</t>
        </is>
      </c>
      <c r="E2049" t="inlineStr">
        <is>
          <t>rs66675705</t>
        </is>
      </c>
      <c r="F2049" t="n">
        <v>0.0123971000999999</v>
      </c>
      <c r="G2049" t="n">
        <v>0.5601665988104857</v>
      </c>
      <c r="H2049" t="n">
        <v>0.0385503688449766</v>
      </c>
      <c r="I2049" t="n">
        <v>0.0045033087607047</v>
      </c>
      <c r="J2049" t="n">
        <v>0.3970943016900169</v>
      </c>
      <c r="K2049" t="n">
        <v>0.08612837099135009</v>
      </c>
      <c r="L2049" t="b">
        <v>1</v>
      </c>
      <c r="M2049" t="b">
        <v>1</v>
      </c>
      <c r="N2049" t="inlineStr">
        <is>
          <t>alt</t>
        </is>
      </c>
      <c r="O2049" t="n">
        <v>85</v>
      </c>
      <c r="P2049" t="n">
        <v>0.0094</v>
      </c>
      <c r="Q2049" t="n">
        <v>-100</v>
      </c>
      <c r="R2049" t="n">
        <v>0.1543</v>
      </c>
      <c r="S2049">
        <f>IMAGE("https://mitra.stanford.edu/kundaje/oak/projects/neuro-variants/variant_position/credible/roussos_2024/variant_figures/roussos_2024.childhood.GABA/rs66675705_count_position.png",4,220,900)</f>
        <v/>
      </c>
      <c r="T2049">
        <f>IMAGE("https://mitra.stanford.edu/kundaje/oak/projects/neuro-variants/variant_position/credible/roussos_2024/variant_figures/roussos_2024.childhood.GABA/rs66675705_profile_position.png",4,220,900)</f>
        <v/>
      </c>
    </row>
    <row r="2050">
      <c r="A2050" t="inlineStr">
        <is>
          <t>chr19</t>
        </is>
      </c>
      <c r="B2050" t="n">
        <v>49665614</v>
      </c>
      <c r="C2050" t="inlineStr">
        <is>
          <t>G</t>
        </is>
      </c>
      <c r="D2050" t="inlineStr">
        <is>
          <t>A</t>
        </is>
      </c>
      <c r="E2050" t="inlineStr">
        <is>
          <t>rs2304206</t>
        </is>
      </c>
      <c r="F2050" t="n">
        <v>-0.01678448836</v>
      </c>
      <c r="G2050" t="n">
        <v>0.4787246741897737</v>
      </c>
      <c r="H2050" t="n">
        <v>0.0115601684187167</v>
      </c>
      <c r="I2050" t="n">
        <v>0.4770566486927055</v>
      </c>
      <c r="J2050" t="n">
        <v>0.8941205419781785</v>
      </c>
      <c r="K2050" t="n">
        <v>0.0018370190495294</v>
      </c>
      <c r="L2050" t="b">
        <v>0</v>
      </c>
      <c r="M2050" t="b">
        <v>0</v>
      </c>
      <c r="N2050" t="inlineStr">
        <is>
          <t>ref</t>
        </is>
      </c>
      <c r="O2050" t="n">
        <v>100</v>
      </c>
      <c r="P2050" t="n">
        <v>0.01944</v>
      </c>
      <c r="Q2050" t="n">
        <v>100</v>
      </c>
      <c r="R2050" t="n">
        <v>0.0437</v>
      </c>
      <c r="S2050">
        <f>IMAGE("https://mitra.stanford.edu/kundaje/oak/projects/neuro-variants/variant_position/credible/roussos_2024/variant_figures/roussos_2024.childhood.GABA/rs2304206_count_position.png",4,220,900)</f>
        <v/>
      </c>
      <c r="T2050">
        <f>IMAGE("https://mitra.stanford.edu/kundaje/oak/projects/neuro-variants/variant_position/credible/roussos_2024/variant_figures/roussos_2024.childhood.GABA/rs2304206_profile_position.png",4,220,900)</f>
        <v/>
      </c>
    </row>
    <row r="2051">
      <c r="A2051" t="inlineStr">
        <is>
          <t>chr19</t>
        </is>
      </c>
      <c r="B2051" t="n">
        <v>49665670</v>
      </c>
      <c r="C2051" t="inlineStr">
        <is>
          <t>A</t>
        </is>
      </c>
      <c r="D2051" t="inlineStr">
        <is>
          <t>C</t>
        </is>
      </c>
      <c r="E2051" t="inlineStr">
        <is>
          <t>rs2304205</t>
        </is>
      </c>
      <c r="F2051" t="n">
        <v>0.0340948416</v>
      </c>
      <c r="G2051" t="n">
        <v>0.2566261934530651</v>
      </c>
      <c r="H2051" t="n">
        <v>0.026730772462635</v>
      </c>
      <c r="I2051" t="n">
        <v>0.0237252128082095</v>
      </c>
      <c r="J2051" t="n">
        <v>0.9114981885196124</v>
      </c>
      <c r="K2051" t="n">
        <v>0.0011914602431103</v>
      </c>
      <c r="L2051" t="b">
        <v>0</v>
      </c>
      <c r="M2051" t="b">
        <v>0</v>
      </c>
      <c r="N2051" t="inlineStr">
        <is>
          <t>alt</t>
        </is>
      </c>
      <c r="O2051" t="n">
        <v>100</v>
      </c>
      <c r="P2051" t="n">
        <v>0.08044</v>
      </c>
      <c r="Q2051" t="n">
        <v>100</v>
      </c>
      <c r="R2051" t="n">
        <v>0.2695</v>
      </c>
      <c r="S2051">
        <f>IMAGE("https://mitra.stanford.edu/kundaje/oak/projects/neuro-variants/variant_position/credible/roussos_2024/variant_figures/roussos_2024.childhood.GABA/rs2304205_count_position.png",4,220,900)</f>
        <v/>
      </c>
      <c r="T2051">
        <f>IMAGE("https://mitra.stanford.edu/kundaje/oak/projects/neuro-variants/variant_position/credible/roussos_2024/variant_figures/roussos_2024.childhood.GABA/rs2304205_profile_position.png",4,220,900)</f>
        <v/>
      </c>
    </row>
    <row r="2052">
      <c r="A2052" t="inlineStr">
        <is>
          <t>chr19</t>
        </is>
      </c>
      <c r="B2052" t="n">
        <v>50466719</v>
      </c>
      <c r="C2052" t="inlineStr">
        <is>
          <t>C</t>
        </is>
      </c>
      <c r="D2052" t="inlineStr">
        <is>
          <t>T</t>
        </is>
      </c>
      <c r="E2052" t="inlineStr">
        <is>
          <t>rs2278999</t>
        </is>
      </c>
      <c r="F2052" t="n">
        <v>0.12078151</v>
      </c>
      <c r="G2052" t="n">
        <v>0.0180961212721875</v>
      </c>
      <c r="H2052" t="n">
        <v>0.0251715199749255</v>
      </c>
      <c r="I2052" t="n">
        <v>0.0278546748214896</v>
      </c>
      <c r="J2052" t="n">
        <v>0.6985267324244518</v>
      </c>
      <c r="K2052" t="n">
        <v>0.0151244805944957</v>
      </c>
      <c r="L2052" t="b">
        <v>1</v>
      </c>
      <c r="M2052" t="b">
        <v>0</v>
      </c>
      <c r="N2052" t="inlineStr">
        <is>
          <t>alt</t>
        </is>
      </c>
      <c r="O2052" t="n">
        <v>80</v>
      </c>
      <c r="P2052" t="n">
        <v>0.001911</v>
      </c>
      <c r="Q2052" t="n">
        <v>-70</v>
      </c>
      <c r="R2052" t="n">
        <v>0.09470000000000001</v>
      </c>
      <c r="S2052">
        <f>IMAGE("https://mitra.stanford.edu/kundaje/oak/projects/neuro-variants/variant_position/credible/roussos_2024/variant_figures/roussos_2024.childhood.GABA/rs2278999_count_position.png",4,220,900)</f>
        <v/>
      </c>
      <c r="T2052">
        <f>IMAGE("https://mitra.stanford.edu/kundaje/oak/projects/neuro-variants/variant_position/credible/roussos_2024/variant_figures/roussos_2024.childhood.GABA/rs2278999_profile_position.png",4,220,900)</f>
        <v/>
      </c>
    </row>
    <row r="2053">
      <c r="A2053" t="inlineStr">
        <is>
          <t>chr19</t>
        </is>
      </c>
      <c r="B2053" t="n">
        <v>56675761</v>
      </c>
      <c r="C2053" t="inlineStr">
        <is>
          <t>T</t>
        </is>
      </c>
      <c r="D2053" t="inlineStr">
        <is>
          <t>C</t>
        </is>
      </c>
      <c r="E2053" t="inlineStr">
        <is>
          <t>rs2052241</t>
        </is>
      </c>
      <c r="F2053" t="n">
        <v>0.07104039899999991</v>
      </c>
      <c r="G2053" t="n">
        <v>0.0632090110347112</v>
      </c>
      <c r="H2053" t="n">
        <v>0.0125944054864346</v>
      </c>
      <c r="I2053" t="n">
        <v>0.390562605801371</v>
      </c>
      <c r="J2053" t="n">
        <v>0.0685786685095599</v>
      </c>
      <c r="K2053" t="n">
        <v>0.4439408445271171</v>
      </c>
      <c r="L2053" t="b">
        <v>0</v>
      </c>
      <c r="M2053" t="b">
        <v>0</v>
      </c>
      <c r="N2053" t="inlineStr">
        <is>
          <t>alt</t>
        </is>
      </c>
      <c r="O2053" t="n">
        <v>100</v>
      </c>
      <c r="P2053" t="n">
        <v>0.01994</v>
      </c>
      <c r="Q2053" t="n">
        <v>-95</v>
      </c>
      <c r="R2053" t="n">
        <v>0.0655</v>
      </c>
      <c r="S2053">
        <f>IMAGE("https://mitra.stanford.edu/kundaje/oak/projects/neuro-variants/variant_position/credible/roussos_2024/variant_figures/roussos_2024.childhood.GABA/rs2052241_count_position.png",4,220,900)</f>
        <v/>
      </c>
      <c r="T2053">
        <f>IMAGE("https://mitra.stanford.edu/kundaje/oak/projects/neuro-variants/variant_position/credible/roussos_2024/variant_figures/roussos_2024.childhood.GABA/rs2052241_profile_position.png",4,220,900)</f>
        <v/>
      </c>
    </row>
    <row r="2054">
      <c r="A2054" t="inlineStr">
        <is>
          <t>chr19</t>
        </is>
      </c>
      <c r="B2054" t="n">
        <v>56678350</v>
      </c>
      <c r="C2054" t="inlineStr">
        <is>
          <t>C</t>
        </is>
      </c>
      <c r="D2054" t="inlineStr">
        <is>
          <t>T</t>
        </is>
      </c>
      <c r="E2054" t="inlineStr">
        <is>
          <t>rs758749</t>
        </is>
      </c>
      <c r="F2054" t="n">
        <v>-0.0634291402</v>
      </c>
      <c r="G2054" t="n">
        <v>0.09673742047039829</v>
      </c>
      <c r="H2054" t="n">
        <v>0.0137275911075311</v>
      </c>
      <c r="I2054" t="n">
        <v>0.2967108514676319</v>
      </c>
      <c r="J2054" t="n">
        <v>0.2495099579066407</v>
      </c>
      <c r="K2054" t="n">
        <v>0.1722593545520485</v>
      </c>
      <c r="L2054" t="b">
        <v>0</v>
      </c>
      <c r="M2054" t="b">
        <v>0</v>
      </c>
      <c r="N2054" t="inlineStr">
        <is>
          <t>ref</t>
        </is>
      </c>
      <c r="O2054" t="n">
        <v>85</v>
      </c>
      <c r="P2054" t="n">
        <v>0.002525</v>
      </c>
      <c r="Q2054" t="n">
        <v>-20</v>
      </c>
      <c r="R2054" t="n">
        <v>0.001465</v>
      </c>
      <c r="S2054">
        <f>IMAGE("https://mitra.stanford.edu/kundaje/oak/projects/neuro-variants/variant_position/credible/roussos_2024/variant_figures/roussos_2024.childhood.GABA/rs758749_count_position.png",4,220,900)</f>
        <v/>
      </c>
      <c r="T2054">
        <f>IMAGE("https://mitra.stanford.edu/kundaje/oak/projects/neuro-variants/variant_position/credible/roussos_2024/variant_figures/roussos_2024.childhood.GABA/rs758749_profile_position.png",4,220,900)</f>
        <v/>
      </c>
    </row>
    <row r="2055">
      <c r="A2055" t="inlineStr">
        <is>
          <t>chr2</t>
        </is>
      </c>
      <c r="B2055" t="n">
        <v>2312029</v>
      </c>
      <c r="C2055" t="inlineStr">
        <is>
          <t>A</t>
        </is>
      </c>
      <c r="D2055" t="inlineStr">
        <is>
          <t>G</t>
        </is>
      </c>
      <c r="E2055" t="inlineStr">
        <is>
          <t>rs17247190</t>
        </is>
      </c>
      <c r="F2055" t="n">
        <v>0.01580330184</v>
      </c>
      <c r="G2055" t="n">
        <v>0.465248866224169</v>
      </c>
      <c r="H2055" t="n">
        <v>0.0106468971097405</v>
      </c>
      <c r="I2055" t="n">
        <v>0.5662045963651715</v>
      </c>
      <c r="J2055" t="n">
        <v>0.1472031999329856</v>
      </c>
      <c r="K2055" t="n">
        <v>0.2734518974168416</v>
      </c>
      <c r="L2055" t="b">
        <v>0</v>
      </c>
      <c r="M2055" t="b">
        <v>0</v>
      </c>
      <c r="N2055" t="inlineStr">
        <is>
          <t>alt</t>
        </is>
      </c>
      <c r="O2055" t="n">
        <v>-85</v>
      </c>
      <c r="P2055" t="n">
        <v>0.002419</v>
      </c>
      <c r="Q2055" t="n">
        <v>45</v>
      </c>
      <c r="R2055" t="n">
        <v>0.09594999999999999</v>
      </c>
      <c r="S2055">
        <f>IMAGE("https://mitra.stanford.edu/kundaje/oak/projects/neuro-variants/variant_position/credible/roussos_2024/variant_figures/roussos_2024.childhood.GABA/rs17247190_count_position.png",4,220,900)</f>
        <v/>
      </c>
      <c r="T2055">
        <f>IMAGE("https://mitra.stanford.edu/kundaje/oak/projects/neuro-variants/variant_position/credible/roussos_2024/variant_figures/roussos_2024.childhood.GABA/rs17247190_profile_position.png",4,220,900)</f>
        <v/>
      </c>
    </row>
    <row r="2056">
      <c r="A2056" t="inlineStr">
        <is>
          <t>chr2</t>
        </is>
      </c>
      <c r="B2056" t="n">
        <v>2322151</v>
      </c>
      <c r="C2056" t="inlineStr">
        <is>
          <t>T</t>
        </is>
      </c>
      <c r="D2056" t="inlineStr">
        <is>
          <t>C</t>
        </is>
      </c>
      <c r="E2056" t="inlineStr">
        <is>
          <t>rs10206268</t>
        </is>
      </c>
      <c r="F2056" t="n">
        <v>-0.0025564817</v>
      </c>
      <c r="G2056" t="n">
        <v>0.9091609040814214</v>
      </c>
      <c r="H2056" t="n">
        <v>0.0177954726256157</v>
      </c>
      <c r="I2056" t="n">
        <v>0.119371211141635</v>
      </c>
      <c r="J2056" t="n">
        <v>0.0278475843437833</v>
      </c>
      <c r="K2056" t="n">
        <v>0.6012977995693618</v>
      </c>
      <c r="L2056" t="b">
        <v>0</v>
      </c>
      <c r="M2056" t="b">
        <v>0</v>
      </c>
      <c r="N2056" t="inlineStr">
        <is>
          <t>ref</t>
        </is>
      </c>
      <c r="O2056" t="n">
        <v>90</v>
      </c>
      <c r="P2056" t="n">
        <v>0.009639999999999999</v>
      </c>
      <c r="Q2056" t="n">
        <v>-25</v>
      </c>
      <c r="R2056" t="n">
        <v>0.01569</v>
      </c>
      <c r="S2056">
        <f>IMAGE("https://mitra.stanford.edu/kundaje/oak/projects/neuro-variants/variant_position/credible/roussos_2024/variant_figures/roussos_2024.childhood.GABA/rs10206268_count_position.png",4,220,900)</f>
        <v/>
      </c>
      <c r="T2056">
        <f>IMAGE("https://mitra.stanford.edu/kundaje/oak/projects/neuro-variants/variant_position/credible/roussos_2024/variant_figures/roussos_2024.childhood.GABA/rs10206268_profile_position.png",4,220,900)</f>
        <v/>
      </c>
    </row>
    <row r="2057">
      <c r="A2057" t="inlineStr">
        <is>
          <t>chr2</t>
        </is>
      </c>
      <c r="B2057" t="n">
        <v>17824042</v>
      </c>
      <c r="C2057" t="inlineStr">
        <is>
          <t>G</t>
        </is>
      </c>
      <c r="D2057" t="inlineStr">
        <is>
          <t>A</t>
        </is>
      </c>
      <c r="E2057" t="inlineStr">
        <is>
          <t>rs35983183</t>
        </is>
      </c>
      <c r="F2057" t="n">
        <v>-0.014089256</v>
      </c>
      <c r="G2057" t="n">
        <v>0.5481931187706204</v>
      </c>
      <c r="H2057" t="n">
        <v>0.0149521785687917</v>
      </c>
      <c r="I2057" t="n">
        <v>0.2302312606294148</v>
      </c>
      <c r="J2057" t="n">
        <v>0.0307511884567862</v>
      </c>
      <c r="K2057" t="n">
        <v>0.6057286744060835</v>
      </c>
      <c r="L2057" t="b">
        <v>0</v>
      </c>
      <c r="M2057" t="b">
        <v>0</v>
      </c>
      <c r="N2057" t="inlineStr">
        <is>
          <t>ref</t>
        </is>
      </c>
      <c r="O2057" t="n">
        <v>0</v>
      </c>
      <c r="P2057" t="n">
        <v>0</v>
      </c>
      <c r="Q2057" t="n">
        <v>50</v>
      </c>
      <c r="R2057" t="n">
        <v>0.01178</v>
      </c>
      <c r="S2057">
        <f>IMAGE("https://mitra.stanford.edu/kundaje/oak/projects/neuro-variants/variant_position/credible/roussos_2024/variant_figures/roussos_2024.childhood.GABA/rs35983183_count_position.png",4,220,900)</f>
        <v/>
      </c>
      <c r="T2057">
        <f>IMAGE("https://mitra.stanford.edu/kundaje/oak/projects/neuro-variants/variant_position/credible/roussos_2024/variant_figures/roussos_2024.childhood.GABA/rs35983183_profile_position.png",4,220,900)</f>
        <v/>
      </c>
    </row>
    <row r="2058">
      <c r="A2058" t="inlineStr">
        <is>
          <t>chr2</t>
        </is>
      </c>
      <c r="B2058" t="n">
        <v>17826046</v>
      </c>
      <c r="C2058" t="inlineStr">
        <is>
          <t>T</t>
        </is>
      </c>
      <c r="D2058" t="inlineStr">
        <is>
          <t>C</t>
        </is>
      </c>
      <c r="E2058" t="inlineStr">
        <is>
          <t>rs35925486</t>
        </is>
      </c>
      <c r="F2058" t="n">
        <v>0.119107702</v>
      </c>
      <c r="G2058" t="n">
        <v>0.0184844374144152</v>
      </c>
      <c r="H2058" t="n">
        <v>0.0409525961223294</v>
      </c>
      <c r="I2058" t="n">
        <v>0.0038427190361311</v>
      </c>
      <c r="J2058" t="n">
        <v>0.0309679378442335</v>
      </c>
      <c r="K2058" t="n">
        <v>0.6055450257535784</v>
      </c>
      <c r="L2058" t="b">
        <v>1</v>
      </c>
      <c r="M2058" t="b">
        <v>0</v>
      </c>
      <c r="N2058" t="inlineStr">
        <is>
          <t>alt</t>
        </is>
      </c>
      <c r="O2058" t="n">
        <v>90</v>
      </c>
      <c r="P2058" t="n">
        <v>0.003605</v>
      </c>
      <c r="Q2058" t="n">
        <v>-10</v>
      </c>
      <c r="R2058" t="n">
        <v>0.01782</v>
      </c>
      <c r="S2058">
        <f>IMAGE("https://mitra.stanford.edu/kundaje/oak/projects/neuro-variants/variant_position/credible/roussos_2024/variant_figures/roussos_2024.childhood.GABA/rs35925486_count_position.png",4,220,900)</f>
        <v/>
      </c>
      <c r="T2058">
        <f>IMAGE("https://mitra.stanford.edu/kundaje/oak/projects/neuro-variants/variant_position/credible/roussos_2024/variant_figures/roussos_2024.childhood.GABA/rs35925486_profile_position.png",4,220,900)</f>
        <v/>
      </c>
    </row>
    <row r="2059">
      <c r="A2059" t="inlineStr">
        <is>
          <t>chr2</t>
        </is>
      </c>
      <c r="B2059" t="n">
        <v>17872369</v>
      </c>
      <c r="C2059" t="inlineStr">
        <is>
          <t>A</t>
        </is>
      </c>
      <c r="D2059" t="inlineStr">
        <is>
          <t>T</t>
        </is>
      </c>
      <c r="E2059" t="inlineStr">
        <is>
          <t>rs6531063</t>
        </is>
      </c>
      <c r="F2059" t="n">
        <v>0.00654823174</v>
      </c>
      <c r="G2059" t="n">
        <v>0.7332078018472504</v>
      </c>
      <c r="H2059" t="n">
        <v>0.0187296075716194</v>
      </c>
      <c r="I2059" t="n">
        <v>0.101889351879725</v>
      </c>
      <c r="J2059" t="n">
        <v>0.0491267198592699</v>
      </c>
      <c r="K2059" t="n">
        <v>0.5344378772718384</v>
      </c>
      <c r="L2059" t="b">
        <v>0</v>
      </c>
      <c r="M2059" t="b">
        <v>0</v>
      </c>
      <c r="N2059" t="inlineStr">
        <is>
          <t>alt</t>
        </is>
      </c>
      <c r="O2059" t="n">
        <v>60</v>
      </c>
      <c r="P2059" t="n">
        <v>0.002644</v>
      </c>
      <c r="Q2059" t="n">
        <v>80</v>
      </c>
      <c r="R2059" t="n">
        <v>0.0421</v>
      </c>
      <c r="S2059">
        <f>IMAGE("https://mitra.stanford.edu/kundaje/oak/projects/neuro-variants/variant_position/credible/roussos_2024/variant_figures/roussos_2024.childhood.GABA/rs6531063_count_position.png",4,220,900)</f>
        <v/>
      </c>
      <c r="T2059">
        <f>IMAGE("https://mitra.stanford.edu/kundaje/oak/projects/neuro-variants/variant_position/credible/roussos_2024/variant_figures/roussos_2024.childhood.GABA/rs6531063_profile_position.png",4,220,900)</f>
        <v/>
      </c>
    </row>
    <row r="2060">
      <c r="A2060" t="inlineStr">
        <is>
          <t>chr2</t>
        </is>
      </c>
      <c r="B2060" t="n">
        <v>17894785</v>
      </c>
      <c r="C2060" t="inlineStr">
        <is>
          <t>A</t>
        </is>
      </c>
      <c r="D2060" t="inlineStr">
        <is>
          <t>G</t>
        </is>
      </c>
      <c r="E2060" t="inlineStr">
        <is>
          <t>rs2061607</t>
        </is>
      </c>
      <c r="F2060" t="n">
        <v>0.178146908</v>
      </c>
      <c r="G2060" t="n">
        <v>0.0064845752216208</v>
      </c>
      <c r="H2060" t="n">
        <v>0.0148420281615116</v>
      </c>
      <c r="I2060" t="n">
        <v>0.2291552336630986</v>
      </c>
      <c r="J2060" t="n">
        <v>0.0952493141504889</v>
      </c>
      <c r="K2060" t="n">
        <v>0.3690184159649683</v>
      </c>
      <c r="L2060" t="b">
        <v>1</v>
      </c>
      <c r="M2060" t="b">
        <v>1</v>
      </c>
      <c r="N2060" t="inlineStr">
        <is>
          <t>alt</t>
        </is>
      </c>
      <c r="O2060" t="n">
        <v>100</v>
      </c>
      <c r="P2060" t="n">
        <v>0.0192</v>
      </c>
      <c r="Q2060" t="n">
        <v>5</v>
      </c>
      <c r="R2060" t="n">
        <v>0.003296</v>
      </c>
      <c r="S2060">
        <f>IMAGE("https://mitra.stanford.edu/kundaje/oak/projects/neuro-variants/variant_position/credible/roussos_2024/variant_figures/roussos_2024.childhood.GABA/rs2061607_count_position.png",4,220,900)</f>
        <v/>
      </c>
      <c r="T2060">
        <f>IMAGE("https://mitra.stanford.edu/kundaje/oak/projects/neuro-variants/variant_position/credible/roussos_2024/variant_figures/roussos_2024.childhood.GABA/rs2061607_profile_position.png",4,220,900)</f>
        <v/>
      </c>
    </row>
    <row r="2061">
      <c r="A2061" t="inlineStr">
        <is>
          <t>chr2</t>
        </is>
      </c>
      <c r="B2061" t="n">
        <v>22333905</v>
      </c>
      <c r="C2061" t="inlineStr">
        <is>
          <t>A</t>
        </is>
      </c>
      <c r="D2061" t="inlineStr">
        <is>
          <t>C</t>
        </is>
      </c>
      <c r="E2061" t="inlineStr">
        <is>
          <t>rs4552217</t>
        </is>
      </c>
      <c r="F2061" t="n">
        <v>0.0215183508</v>
      </c>
      <c r="G2061" t="n">
        <v>0.3807412219855014</v>
      </c>
      <c r="H2061" t="n">
        <v>0.0101114618265591</v>
      </c>
      <c r="I2061" t="n">
        <v>0.626085819134337</v>
      </c>
      <c r="J2061" t="n">
        <v>0.0388965676111494</v>
      </c>
      <c r="K2061" t="n">
        <v>0.5463178054495164</v>
      </c>
      <c r="L2061" t="b">
        <v>0</v>
      </c>
      <c r="M2061" t="b">
        <v>0</v>
      </c>
      <c r="N2061" t="inlineStr">
        <is>
          <t>alt</t>
        </is>
      </c>
      <c r="O2061" t="n">
        <v>70</v>
      </c>
      <c r="P2061" t="n">
        <v>0.005802</v>
      </c>
      <c r="Q2061" t="n">
        <v>60</v>
      </c>
      <c r="R2061" t="n">
        <v>0.0912</v>
      </c>
      <c r="S2061">
        <f>IMAGE("https://mitra.stanford.edu/kundaje/oak/projects/neuro-variants/variant_position/credible/roussos_2024/variant_figures/roussos_2024.childhood.GABA/rs4552217_count_position.png",4,220,900)</f>
        <v/>
      </c>
      <c r="T2061">
        <f>IMAGE("https://mitra.stanford.edu/kundaje/oak/projects/neuro-variants/variant_position/credible/roussos_2024/variant_figures/roussos_2024.childhood.GABA/rs4552217_profile_position.png",4,220,900)</f>
        <v/>
      </c>
    </row>
    <row r="2062">
      <c r="A2062" t="inlineStr">
        <is>
          <t>chr2</t>
        </is>
      </c>
      <c r="B2062" t="n">
        <v>22333932</v>
      </c>
      <c r="C2062" t="inlineStr">
        <is>
          <t>T</t>
        </is>
      </c>
      <c r="D2062" t="inlineStr">
        <is>
          <t>G</t>
        </is>
      </c>
      <c r="E2062" t="inlineStr">
        <is>
          <t>rs4277554</t>
        </is>
      </c>
      <c r="F2062" t="n">
        <v>0.073306911</v>
      </c>
      <c r="G2062" t="n">
        <v>0.06279701516780919</v>
      </c>
      <c r="H2062" t="n">
        <v>0.0135441082011786</v>
      </c>
      <c r="I2062" t="n">
        <v>0.3150439216186925</v>
      </c>
      <c r="J2062" t="n">
        <v>0.0476251806244894</v>
      </c>
      <c r="K2062" t="n">
        <v>0.5085479137416908</v>
      </c>
      <c r="L2062" t="b">
        <v>0</v>
      </c>
      <c r="M2062" t="b">
        <v>0</v>
      </c>
      <c r="N2062" t="inlineStr">
        <is>
          <t>alt</t>
        </is>
      </c>
      <c r="O2062" t="n">
        <v>40</v>
      </c>
      <c r="P2062" t="n">
        <v>0.003433</v>
      </c>
      <c r="Q2062" t="n">
        <v>30</v>
      </c>
      <c r="R2062" t="n">
        <v>0.006226</v>
      </c>
      <c r="S2062">
        <f>IMAGE("https://mitra.stanford.edu/kundaje/oak/projects/neuro-variants/variant_position/credible/roussos_2024/variant_figures/roussos_2024.childhood.GABA/rs4277554_count_position.png",4,220,900)</f>
        <v/>
      </c>
      <c r="T2062">
        <f>IMAGE("https://mitra.stanford.edu/kundaje/oak/projects/neuro-variants/variant_position/credible/roussos_2024/variant_figures/roussos_2024.childhood.GABA/rs4277554_profile_position.png",4,220,900)</f>
        <v/>
      </c>
    </row>
    <row r="2063">
      <c r="A2063" t="inlineStr">
        <is>
          <t>chr2</t>
        </is>
      </c>
      <c r="B2063" t="n">
        <v>22345778</v>
      </c>
      <c r="C2063" t="inlineStr">
        <is>
          <t>C</t>
        </is>
      </c>
      <c r="D2063" t="inlineStr">
        <is>
          <t>A</t>
        </is>
      </c>
      <c r="E2063" t="inlineStr">
        <is>
          <t>rs7608960</t>
        </is>
      </c>
      <c r="F2063" t="n">
        <v>-0.0143644804</v>
      </c>
      <c r="G2063" t="n">
        <v>0.5380738728324125</v>
      </c>
      <c r="H2063" t="n">
        <v>0.0229631467777746</v>
      </c>
      <c r="I2063" t="n">
        <v>0.0416174068635074</v>
      </c>
      <c r="J2063" t="n">
        <v>0.0028899918326317</v>
      </c>
      <c r="K2063" t="n">
        <v>0.853114275971791</v>
      </c>
      <c r="L2063" t="b">
        <v>0</v>
      </c>
      <c r="M2063" t="b">
        <v>0</v>
      </c>
      <c r="N2063" t="inlineStr">
        <is>
          <t>ref</t>
        </is>
      </c>
      <c r="O2063" t="n">
        <v>25</v>
      </c>
      <c r="P2063" t="n">
        <v>6.104e-05</v>
      </c>
      <c r="Q2063" t="n">
        <v>-15</v>
      </c>
      <c r="R2063" t="n">
        <v>0.0177</v>
      </c>
      <c r="S2063">
        <f>IMAGE("https://mitra.stanford.edu/kundaje/oak/projects/neuro-variants/variant_position/credible/roussos_2024/variant_figures/roussos_2024.childhood.GABA/rs7608960_count_position.png",4,220,900)</f>
        <v/>
      </c>
      <c r="T2063">
        <f>IMAGE("https://mitra.stanford.edu/kundaje/oak/projects/neuro-variants/variant_position/credible/roussos_2024/variant_figures/roussos_2024.childhood.GABA/rs7608960_profile_position.png",4,220,900)</f>
        <v/>
      </c>
    </row>
    <row r="2064">
      <c r="A2064" t="inlineStr">
        <is>
          <t>chr2</t>
        </is>
      </c>
      <c r="B2064" t="n">
        <v>22415696</v>
      </c>
      <c r="C2064" t="inlineStr">
        <is>
          <t>T</t>
        </is>
      </c>
      <c r="D2064" t="inlineStr">
        <is>
          <t>C</t>
        </is>
      </c>
      <c r="E2064" t="inlineStr">
        <is>
          <t>rs11895519</t>
        </is>
      </c>
      <c r="F2064" t="n">
        <v>-0.0006357539</v>
      </c>
      <c r="G2064" t="n">
        <v>0.5783295542453757</v>
      </c>
      <c r="H2064" t="n">
        <v>0.0102612056495315</v>
      </c>
      <c r="I2064" t="n">
        <v>0.6075532125052137</v>
      </c>
      <c r="J2064" t="n">
        <v>0.0434912357856379</v>
      </c>
      <c r="K2064" t="n">
        <v>0.5127242079218369</v>
      </c>
      <c r="L2064" t="b">
        <v>0</v>
      </c>
      <c r="M2064" t="b">
        <v>0</v>
      </c>
      <c r="N2064" t="inlineStr">
        <is>
          <t>ref</t>
        </is>
      </c>
      <c r="O2064" t="n">
        <v>100</v>
      </c>
      <c r="P2064" t="n">
        <v>0.003258</v>
      </c>
      <c r="Q2064" t="n">
        <v>40</v>
      </c>
      <c r="R2064" t="n">
        <v>0.10767</v>
      </c>
      <c r="S2064">
        <f>IMAGE("https://mitra.stanford.edu/kundaje/oak/projects/neuro-variants/variant_position/credible/roussos_2024/variant_figures/roussos_2024.childhood.GABA/rs11895519_count_position.png",4,220,900)</f>
        <v/>
      </c>
      <c r="T2064">
        <f>IMAGE("https://mitra.stanford.edu/kundaje/oak/projects/neuro-variants/variant_position/credible/roussos_2024/variant_figures/roussos_2024.childhood.GABA/rs11895519_profile_position.png",4,220,900)</f>
        <v/>
      </c>
    </row>
    <row r="2065">
      <c r="A2065" t="inlineStr">
        <is>
          <t>chr2</t>
        </is>
      </c>
      <c r="B2065" t="n">
        <v>22417579</v>
      </c>
      <c r="C2065" t="inlineStr">
        <is>
          <t>A</t>
        </is>
      </c>
      <c r="D2065" t="inlineStr">
        <is>
          <t>C</t>
        </is>
      </c>
      <c r="E2065" t="inlineStr">
        <is>
          <t>rs140227113</t>
        </is>
      </c>
      <c r="F2065" t="n">
        <v>0.0162624462</v>
      </c>
      <c r="G2065" t="n">
        <v>0.4933221068814287</v>
      </c>
      <c r="H2065" t="n">
        <v>0.027105123211755</v>
      </c>
      <c r="I2065" t="n">
        <v>0.0203302938699764</v>
      </c>
      <c r="J2065" t="n">
        <v>0.0064637389792883</v>
      </c>
      <c r="K2065" t="n">
        <v>0.7949128553312189</v>
      </c>
      <c r="L2065" t="b">
        <v>0</v>
      </c>
      <c r="M2065" t="b">
        <v>0</v>
      </c>
      <c r="N2065" t="inlineStr">
        <is>
          <t>alt</t>
        </is>
      </c>
      <c r="O2065" t="n">
        <v>-40</v>
      </c>
      <c r="P2065" t="n">
        <v>0.001938</v>
      </c>
      <c r="Q2065" t="n">
        <v>100</v>
      </c>
      <c r="R2065" t="n">
        <v>0.02185</v>
      </c>
      <c r="S2065">
        <f>IMAGE("https://mitra.stanford.edu/kundaje/oak/projects/neuro-variants/variant_position/credible/roussos_2024/variant_figures/roussos_2024.childhood.GABA/rs140227113_count_position.png",4,220,900)</f>
        <v/>
      </c>
      <c r="T2065">
        <f>IMAGE("https://mitra.stanford.edu/kundaje/oak/projects/neuro-variants/variant_position/credible/roussos_2024/variant_figures/roussos_2024.childhood.GABA/rs140227113_profile_position.png",4,220,900)</f>
        <v/>
      </c>
    </row>
    <row r="2066">
      <c r="A2066" t="inlineStr">
        <is>
          <t>chr2</t>
        </is>
      </c>
      <c r="B2066" t="n">
        <v>22509148</v>
      </c>
      <c r="C2066" t="inlineStr">
        <is>
          <t>T</t>
        </is>
      </c>
      <c r="D2066" t="inlineStr">
        <is>
          <t>C</t>
        </is>
      </c>
      <c r="E2066" t="inlineStr">
        <is>
          <t>rs1463977</t>
        </is>
      </c>
      <c r="F2066" t="n">
        <v>0.0463399742</v>
      </c>
      <c r="G2066" t="n">
        <v>0.1645562896414971</v>
      </c>
      <c r="H2066" t="n">
        <v>0.0106095473968222</v>
      </c>
      <c r="I2066" t="n">
        <v>0.5558951926209146</v>
      </c>
      <c r="J2066" t="n">
        <v>0.0408001926661221</v>
      </c>
      <c r="K2066" t="n">
        <v>0.5461407222742458</v>
      </c>
      <c r="L2066" t="b">
        <v>0</v>
      </c>
      <c r="M2066" t="b">
        <v>0</v>
      </c>
      <c r="N2066" t="inlineStr">
        <is>
          <t>alt</t>
        </is>
      </c>
      <c r="O2066" t="n">
        <v>-35</v>
      </c>
      <c r="P2066" t="n">
        <v>0.002563</v>
      </c>
      <c r="Q2066" t="n">
        <v>-20</v>
      </c>
      <c r="R2066" t="n">
        <v>0.0227</v>
      </c>
      <c r="S2066">
        <f>IMAGE("https://mitra.stanford.edu/kundaje/oak/projects/neuro-variants/variant_position/credible/roussos_2024/variant_figures/roussos_2024.childhood.GABA/rs1463977_count_position.png",4,220,900)</f>
        <v/>
      </c>
      <c r="T2066">
        <f>IMAGE("https://mitra.stanford.edu/kundaje/oak/projects/neuro-variants/variant_position/credible/roussos_2024/variant_figures/roussos_2024.childhood.GABA/rs1463977_profile_position.png",4,220,900)</f>
        <v/>
      </c>
    </row>
    <row r="2067">
      <c r="A2067" t="inlineStr">
        <is>
          <t>chr2</t>
        </is>
      </c>
      <c r="B2067" t="n">
        <v>26765143</v>
      </c>
      <c r="C2067" t="inlineStr">
        <is>
          <t>T</t>
        </is>
      </c>
      <c r="D2067" t="inlineStr">
        <is>
          <t>A</t>
        </is>
      </c>
      <c r="E2067" t="inlineStr">
        <is>
          <t>rs34995758</t>
        </is>
      </c>
      <c r="F2067" t="n">
        <v>-0.00648912152</v>
      </c>
      <c r="G2067" t="n">
        <v>0.6702845516541401</v>
      </c>
      <c r="H2067" t="n">
        <v>0.0068279608393805</v>
      </c>
      <c r="I2067" t="n">
        <v>0.9361075869323646</v>
      </c>
      <c r="J2067" t="n">
        <v>0.4349992670310569</v>
      </c>
      <c r="K2067" t="n">
        <v>0.07095145324009081</v>
      </c>
      <c r="L2067" t="b">
        <v>0</v>
      </c>
      <c r="M2067" t="b">
        <v>0</v>
      </c>
      <c r="N2067" t="inlineStr">
        <is>
          <t>ref</t>
        </is>
      </c>
      <c r="O2067" t="n">
        <v>-5</v>
      </c>
      <c r="P2067" t="n">
        <v>0.001862</v>
      </c>
      <c r="Q2067" t="n">
        <v>-100</v>
      </c>
      <c r="R2067" t="n">
        <v>0.0939</v>
      </c>
      <c r="S2067">
        <f>IMAGE("https://mitra.stanford.edu/kundaje/oak/projects/neuro-variants/variant_position/credible/roussos_2024/variant_figures/roussos_2024.childhood.GABA/rs34995758_count_position.png",4,220,900)</f>
        <v/>
      </c>
      <c r="T2067">
        <f>IMAGE("https://mitra.stanford.edu/kundaje/oak/projects/neuro-variants/variant_position/credible/roussos_2024/variant_figures/roussos_2024.childhood.GABA/rs34995758_profile_position.png",4,220,900)</f>
        <v/>
      </c>
    </row>
    <row r="2068">
      <c r="A2068" t="inlineStr">
        <is>
          <t>chr2</t>
        </is>
      </c>
      <c r="B2068" t="n">
        <v>26769202</v>
      </c>
      <c r="C2068" t="inlineStr">
        <is>
          <t>C</t>
        </is>
      </c>
      <c r="D2068" t="inlineStr">
        <is>
          <t>T</t>
        </is>
      </c>
      <c r="E2068" t="inlineStr">
        <is>
          <t>rs3769126</t>
        </is>
      </c>
      <c r="F2068" t="n">
        <v>-0.0883444266</v>
      </c>
      <c r="G2068" t="n">
        <v>0.0410708519026017</v>
      </c>
      <c r="H2068" t="n">
        <v>0.0157342506821219</v>
      </c>
      <c r="I2068" t="n">
        <v>0.1875812879013919</v>
      </c>
      <c r="J2068" t="n">
        <v>0.3562742141525831</v>
      </c>
      <c r="K2068" t="n">
        <v>0.1049726255986361</v>
      </c>
      <c r="L2068" t="b">
        <v>0</v>
      </c>
      <c r="M2068" t="b">
        <v>0</v>
      </c>
      <c r="N2068" t="inlineStr">
        <is>
          <t>ref</t>
        </is>
      </c>
      <c r="O2068" t="n">
        <v>60</v>
      </c>
      <c r="P2068" t="n">
        <v>0.0006027</v>
      </c>
      <c r="Q2068" t="n">
        <v>80</v>
      </c>
      <c r="R2068" t="n">
        <v>0.0708</v>
      </c>
      <c r="S2068">
        <f>IMAGE("https://mitra.stanford.edu/kundaje/oak/projects/neuro-variants/variant_position/credible/roussos_2024/variant_figures/roussos_2024.childhood.GABA/rs3769126_count_position.png",4,220,900)</f>
        <v/>
      </c>
      <c r="T2068">
        <f>IMAGE("https://mitra.stanford.edu/kundaje/oak/projects/neuro-variants/variant_position/credible/roussos_2024/variant_figures/roussos_2024.childhood.GABA/rs3769126_profile_position.png",4,220,900)</f>
        <v/>
      </c>
    </row>
    <row r="2069">
      <c r="A2069" t="inlineStr">
        <is>
          <t>chr2</t>
        </is>
      </c>
      <c r="B2069" t="n">
        <v>26774622</v>
      </c>
      <c r="C2069" t="inlineStr">
        <is>
          <t>A</t>
        </is>
      </c>
      <c r="D2069" t="inlineStr">
        <is>
          <t>C</t>
        </is>
      </c>
      <c r="E2069" t="inlineStr">
        <is>
          <t>rs4665905</t>
        </is>
      </c>
      <c r="F2069" t="n">
        <v>0.0392386378799999</v>
      </c>
      <c r="G2069" t="n">
        <v>0.2123964259970455</v>
      </c>
      <c r="H2069" t="n">
        <v>0.0132408909352207</v>
      </c>
      <c r="I2069" t="n">
        <v>0.3258763899850102</v>
      </c>
      <c r="J2069" t="n">
        <v>0.2205807208226005</v>
      </c>
      <c r="K2069" t="n">
        <v>0.2008686767331586</v>
      </c>
      <c r="L2069" t="b">
        <v>0</v>
      </c>
      <c r="M2069" t="b">
        <v>0</v>
      </c>
      <c r="N2069" t="inlineStr">
        <is>
          <t>alt</t>
        </is>
      </c>
      <c r="O2069" t="n">
        <v>90</v>
      </c>
      <c r="P2069" t="n">
        <v>0.000556</v>
      </c>
      <c r="Q2069" t="n">
        <v>80</v>
      </c>
      <c r="R2069" t="n">
        <v>0.03085</v>
      </c>
      <c r="S2069">
        <f>IMAGE("https://mitra.stanford.edu/kundaje/oak/projects/neuro-variants/variant_position/credible/roussos_2024/variant_figures/roussos_2024.childhood.GABA/rs4665905_count_position.png",4,220,900)</f>
        <v/>
      </c>
      <c r="T2069">
        <f>IMAGE("https://mitra.stanford.edu/kundaje/oak/projects/neuro-variants/variant_position/credible/roussos_2024/variant_figures/roussos_2024.childhood.GABA/rs4665905_profile_position.png",4,220,900)</f>
        <v/>
      </c>
    </row>
    <row r="2070">
      <c r="A2070" t="inlineStr">
        <is>
          <t>chr2</t>
        </is>
      </c>
      <c r="B2070" t="n">
        <v>26808217</v>
      </c>
      <c r="C2070" t="inlineStr">
        <is>
          <t>C</t>
        </is>
      </c>
      <c r="D2070" t="inlineStr">
        <is>
          <t>T</t>
        </is>
      </c>
      <c r="E2070" t="inlineStr">
        <is>
          <t>rs34736994</t>
        </is>
      </c>
      <c r="F2070" t="n">
        <v>-0.0809135936</v>
      </c>
      <c r="G2070" t="n">
        <v>0.0507520295064894</v>
      </c>
      <c r="H2070" t="n">
        <v>0.0152761108725169</v>
      </c>
      <c r="I2070" t="n">
        <v>0.214872295429588</v>
      </c>
      <c r="J2070" t="n">
        <v>0.3257073150300517</v>
      </c>
      <c r="K2070" t="n">
        <v>0.121280083143455</v>
      </c>
      <c r="L2070" t="b">
        <v>0</v>
      </c>
      <c r="M2070" t="b">
        <v>0</v>
      </c>
      <c r="N2070" t="inlineStr">
        <is>
          <t>ref</t>
        </is>
      </c>
      <c r="O2070" t="n">
        <v>-100</v>
      </c>
      <c r="P2070" t="n">
        <v>0.04965</v>
      </c>
      <c r="Q2070" t="n">
        <v>-100</v>
      </c>
      <c r="R2070" t="n">
        <v>0.6909999999999999</v>
      </c>
      <c r="S2070">
        <f>IMAGE("https://mitra.stanford.edu/kundaje/oak/projects/neuro-variants/variant_position/credible/roussos_2024/variant_figures/roussos_2024.childhood.GABA/rs34736994_count_position.png",4,220,900)</f>
        <v/>
      </c>
      <c r="T2070">
        <f>IMAGE("https://mitra.stanford.edu/kundaje/oak/projects/neuro-variants/variant_position/credible/roussos_2024/variant_figures/roussos_2024.childhood.GABA/rs34736994_profile_position.png",4,220,900)</f>
        <v/>
      </c>
    </row>
    <row r="2071">
      <c r="A2071" t="inlineStr">
        <is>
          <t>chr2</t>
        </is>
      </c>
      <c r="B2071" t="n">
        <v>26810572</v>
      </c>
      <c r="C2071" t="inlineStr">
        <is>
          <t>G</t>
        </is>
      </c>
      <c r="D2071" t="inlineStr">
        <is>
          <t>A</t>
        </is>
      </c>
      <c r="E2071" t="inlineStr">
        <is>
          <t>rs2082610</t>
        </is>
      </c>
      <c r="F2071" t="n">
        <v>0.0440676114</v>
      </c>
      <c r="G2071" t="n">
        <v>0.1698260984865025</v>
      </c>
      <c r="H2071" t="n">
        <v>0.0167719686696407</v>
      </c>
      <c r="I2071" t="n">
        <v>0.1506442434564039</v>
      </c>
      <c r="J2071" t="n">
        <v>0.08665891813784</v>
      </c>
      <c r="K2071" t="n">
        <v>0.40597640824747</v>
      </c>
      <c r="L2071" t="b">
        <v>0</v>
      </c>
      <c r="M2071" t="b">
        <v>0</v>
      </c>
      <c r="N2071" t="inlineStr">
        <is>
          <t>alt</t>
        </is>
      </c>
      <c r="O2071" t="n">
        <v>5</v>
      </c>
      <c r="P2071" t="n">
        <v>9.155e-05</v>
      </c>
      <c r="Q2071" t="n">
        <v>-40</v>
      </c>
      <c r="R2071" t="n">
        <v>0.03644</v>
      </c>
      <c r="S2071">
        <f>IMAGE("https://mitra.stanford.edu/kundaje/oak/projects/neuro-variants/variant_position/credible/roussos_2024/variant_figures/roussos_2024.childhood.GABA/rs2082610_count_position.png",4,220,900)</f>
        <v/>
      </c>
      <c r="T2071">
        <f>IMAGE("https://mitra.stanford.edu/kundaje/oak/projects/neuro-variants/variant_position/credible/roussos_2024/variant_figures/roussos_2024.childhood.GABA/rs2082610_profile_position.png",4,220,900)</f>
        <v/>
      </c>
    </row>
    <row r="2072">
      <c r="A2072" t="inlineStr">
        <is>
          <t>chr2</t>
        </is>
      </c>
      <c r="B2072" t="n">
        <v>26813614</v>
      </c>
      <c r="C2072" t="inlineStr">
        <is>
          <t>T</t>
        </is>
      </c>
      <c r="D2072" t="inlineStr">
        <is>
          <t>C</t>
        </is>
      </c>
      <c r="E2072" t="inlineStr">
        <is>
          <t>rs11891133</t>
        </is>
      </c>
      <c r="F2072" t="n">
        <v>0.0485972138</v>
      </c>
      <c r="G2072" t="n">
        <v>0.1445533562374156</v>
      </c>
      <c r="H2072" t="n">
        <v>0.0099668602802896</v>
      </c>
      <c r="I2072" t="n">
        <v>0.6450638210472345</v>
      </c>
      <c r="J2072" t="n">
        <v>0.279601474314674</v>
      </c>
      <c r="K2072" t="n">
        <v>0.1518280931798643</v>
      </c>
      <c r="L2072" t="b">
        <v>0</v>
      </c>
      <c r="M2072" t="b">
        <v>0</v>
      </c>
      <c r="N2072" t="inlineStr">
        <is>
          <t>alt</t>
        </is>
      </c>
      <c r="O2072" t="n">
        <v>100</v>
      </c>
      <c r="P2072" t="n">
        <v>0.002071</v>
      </c>
      <c r="Q2072" t="n">
        <v>75</v>
      </c>
      <c r="R2072" t="n">
        <v>0.07446</v>
      </c>
      <c r="S2072">
        <f>IMAGE("https://mitra.stanford.edu/kundaje/oak/projects/neuro-variants/variant_position/credible/roussos_2024/variant_figures/roussos_2024.childhood.GABA/rs11891133_count_position.png",4,220,900)</f>
        <v/>
      </c>
      <c r="T2072">
        <f>IMAGE("https://mitra.stanford.edu/kundaje/oak/projects/neuro-variants/variant_position/credible/roussos_2024/variant_figures/roussos_2024.childhood.GABA/rs11891133_profile_position.png",4,220,900)</f>
        <v/>
      </c>
    </row>
    <row r="2073">
      <c r="A2073" t="inlineStr">
        <is>
          <t>chr2</t>
        </is>
      </c>
      <c r="B2073" t="n">
        <v>26814228</v>
      </c>
      <c r="C2073" t="inlineStr">
        <is>
          <t>C</t>
        </is>
      </c>
      <c r="D2073" t="inlineStr">
        <is>
          <t>G</t>
        </is>
      </c>
      <c r="E2073" t="inlineStr">
        <is>
          <t>rs2082611</t>
        </is>
      </c>
      <c r="F2073" t="n">
        <v>-0.0525349813999999</v>
      </c>
      <c r="G2073" t="n">
        <v>0.1415478564041235</v>
      </c>
      <c r="H2073" t="n">
        <v>0.0186830792577019</v>
      </c>
      <c r="I2073" t="n">
        <v>0.101852313105489</v>
      </c>
      <c r="J2073" t="n">
        <v>0.5981204582102992</v>
      </c>
      <c r="K2073" t="n">
        <v>0.0285690114395699</v>
      </c>
      <c r="L2073" t="b">
        <v>0</v>
      </c>
      <c r="M2073" t="b">
        <v>0</v>
      </c>
      <c r="N2073" t="inlineStr">
        <is>
          <t>ref</t>
        </is>
      </c>
      <c r="O2073" t="n">
        <v>-35</v>
      </c>
      <c r="P2073" t="n">
        <v>0.004364</v>
      </c>
      <c r="Q2073" t="n">
        <v>85</v>
      </c>
      <c r="R2073" t="n">
        <v>0.0696</v>
      </c>
      <c r="S2073">
        <f>IMAGE("https://mitra.stanford.edu/kundaje/oak/projects/neuro-variants/variant_position/credible/roussos_2024/variant_figures/roussos_2024.childhood.GABA/rs2082611_count_position.png",4,220,900)</f>
        <v/>
      </c>
      <c r="T2073">
        <f>IMAGE("https://mitra.stanford.edu/kundaje/oak/projects/neuro-variants/variant_position/credible/roussos_2024/variant_figures/roussos_2024.childhood.GABA/rs2082611_profile_position.png",4,220,900)</f>
        <v/>
      </c>
    </row>
    <row r="2074">
      <c r="A2074" t="inlineStr">
        <is>
          <t>chr2</t>
        </is>
      </c>
      <c r="B2074" t="n">
        <v>26815782</v>
      </c>
      <c r="C2074" t="inlineStr">
        <is>
          <t>G</t>
        </is>
      </c>
      <c r="D2074" t="inlineStr">
        <is>
          <t>T</t>
        </is>
      </c>
      <c r="E2074" t="inlineStr">
        <is>
          <t>rs35610357</t>
        </is>
      </c>
      <c r="F2074" t="n">
        <v>-0.0517695876</v>
      </c>
      <c r="G2074" t="n">
        <v>0.1390143249332174</v>
      </c>
      <c r="H2074" t="n">
        <v>0.022346047007832</v>
      </c>
      <c r="I2074" t="n">
        <v>0.0491877429505094</v>
      </c>
      <c r="J2074" t="n">
        <v>0.573252916169295</v>
      </c>
      <c r="K2074" t="n">
        <v>0.0338719212947104</v>
      </c>
      <c r="L2074" t="b">
        <v>0</v>
      </c>
      <c r="M2074" t="b">
        <v>0</v>
      </c>
      <c r="N2074" t="inlineStr">
        <is>
          <t>ref</t>
        </is>
      </c>
      <c r="O2074" t="n">
        <v>-75</v>
      </c>
      <c r="P2074" t="n">
        <v>0.178</v>
      </c>
      <c r="Q2074" t="n">
        <v>70</v>
      </c>
      <c r="R2074" t="n">
        <v>0.03076</v>
      </c>
      <c r="S2074">
        <f>IMAGE("https://mitra.stanford.edu/kundaje/oak/projects/neuro-variants/variant_position/credible/roussos_2024/variant_figures/roussos_2024.childhood.GABA/rs35610357_count_position.png",4,220,900)</f>
        <v/>
      </c>
      <c r="T2074">
        <f>IMAGE("https://mitra.stanford.edu/kundaje/oak/projects/neuro-variants/variant_position/credible/roussos_2024/variant_figures/roussos_2024.childhood.GABA/rs35610357_profile_position.png",4,220,900)</f>
        <v/>
      </c>
    </row>
    <row r="2075">
      <c r="A2075" t="inlineStr">
        <is>
          <t>chr2</t>
        </is>
      </c>
      <c r="B2075" t="n">
        <v>26816924</v>
      </c>
      <c r="C2075" t="inlineStr">
        <is>
          <t>G</t>
        </is>
      </c>
      <c r="D2075" t="inlineStr">
        <is>
          <t>A</t>
        </is>
      </c>
      <c r="E2075" t="inlineStr">
        <is>
          <t>rs12475388</t>
        </is>
      </c>
      <c r="F2075" t="n">
        <v>0.009582696660000001</v>
      </c>
      <c r="G2075" t="n">
        <v>0.5806730581098883</v>
      </c>
      <c r="H2075" t="n">
        <v>0.0133958764823553</v>
      </c>
      <c r="I2075" t="n">
        <v>0.3234953945557957</v>
      </c>
      <c r="J2075" t="n">
        <v>0.2899091118510607</v>
      </c>
      <c r="K2075" t="n">
        <v>0.1432437873166714</v>
      </c>
      <c r="L2075" t="b">
        <v>0</v>
      </c>
      <c r="M2075" t="b">
        <v>0</v>
      </c>
      <c r="N2075" t="inlineStr">
        <is>
          <t>alt</t>
        </is>
      </c>
      <c r="O2075" t="n">
        <v>70</v>
      </c>
      <c r="P2075" t="n">
        <v>0.00261</v>
      </c>
      <c r="Q2075" t="n">
        <v>95</v>
      </c>
      <c r="R2075" t="n">
        <v>0.08813</v>
      </c>
      <c r="S2075">
        <f>IMAGE("https://mitra.stanford.edu/kundaje/oak/projects/neuro-variants/variant_position/credible/roussos_2024/variant_figures/roussos_2024.childhood.GABA/rs12475388_count_position.png",4,220,900)</f>
        <v/>
      </c>
      <c r="T2075">
        <f>IMAGE("https://mitra.stanford.edu/kundaje/oak/projects/neuro-variants/variant_position/credible/roussos_2024/variant_figures/roussos_2024.childhood.GABA/rs12475388_profile_position.png",4,220,900)</f>
        <v/>
      </c>
    </row>
    <row r="2076">
      <c r="A2076" t="inlineStr">
        <is>
          <t>chr2</t>
        </is>
      </c>
      <c r="B2076" t="n">
        <v>26843235</v>
      </c>
      <c r="C2076" t="inlineStr">
        <is>
          <t>G</t>
        </is>
      </c>
      <c r="D2076" t="inlineStr">
        <is>
          <t>T</t>
        </is>
      </c>
      <c r="E2076" t="inlineStr">
        <is>
          <t>rs2196150</t>
        </is>
      </c>
      <c r="F2076" t="n">
        <v>0.0529299473999999</v>
      </c>
      <c r="G2076" t="n">
        <v>0.1371769146034076</v>
      </c>
      <c r="H2076" t="n">
        <v>0.0248596255610997</v>
      </c>
      <c r="I2076" t="n">
        <v>0.0300557110501442</v>
      </c>
      <c r="J2076" t="n">
        <v>0.1426891583422336</v>
      </c>
      <c r="K2076" t="n">
        <v>0.2805939205241239</v>
      </c>
      <c r="L2076" t="b">
        <v>0</v>
      </c>
      <c r="M2076" t="b">
        <v>0</v>
      </c>
      <c r="N2076" t="inlineStr">
        <is>
          <t>alt</t>
        </is>
      </c>
      <c r="O2076" t="n">
        <v>80</v>
      </c>
      <c r="P2076" t="n">
        <v>0.104</v>
      </c>
      <c r="Q2076" t="n">
        <v>55</v>
      </c>
      <c r="R2076" t="n">
        <v>0.0718</v>
      </c>
      <c r="S2076">
        <f>IMAGE("https://mitra.stanford.edu/kundaje/oak/projects/neuro-variants/variant_position/credible/roussos_2024/variant_figures/roussos_2024.childhood.GABA/rs2196150_count_position.png",4,220,900)</f>
        <v/>
      </c>
      <c r="T2076">
        <f>IMAGE("https://mitra.stanford.edu/kundaje/oak/projects/neuro-variants/variant_position/credible/roussos_2024/variant_figures/roussos_2024.childhood.GABA/rs2196150_profile_position.png",4,220,900)</f>
        <v/>
      </c>
    </row>
    <row r="2077">
      <c r="A2077" t="inlineStr">
        <is>
          <t>chr2</t>
        </is>
      </c>
      <c r="B2077" t="n">
        <v>26870976</v>
      </c>
      <c r="C2077" t="inlineStr">
        <is>
          <t>A</t>
        </is>
      </c>
      <c r="D2077" t="inlineStr">
        <is>
          <t>C</t>
        </is>
      </c>
      <c r="E2077" t="inlineStr">
        <is>
          <t>rs1368889</t>
        </is>
      </c>
      <c r="F2077" t="n">
        <v>-0.0055697607</v>
      </c>
      <c r="G2077" t="n">
        <v>0.7416889797478435</v>
      </c>
      <c r="H2077" t="n">
        <v>0.0266931169175602</v>
      </c>
      <c r="I2077" t="n">
        <v>0.0223803944205791</v>
      </c>
      <c r="J2077" t="n">
        <v>0.0035203451236622</v>
      </c>
      <c r="K2077" t="n">
        <v>0.8419880923833947</v>
      </c>
      <c r="L2077" t="b">
        <v>0</v>
      </c>
      <c r="M2077" t="b">
        <v>0</v>
      </c>
      <c r="N2077" t="inlineStr">
        <is>
          <t>ref</t>
        </is>
      </c>
      <c r="O2077" t="n">
        <v>100</v>
      </c>
      <c r="P2077" t="n">
        <v>0.001938</v>
      </c>
      <c r="Q2077" t="n">
        <v>65</v>
      </c>
      <c r="R2077" t="n">
        <v>0.002136</v>
      </c>
      <c r="S2077">
        <f>IMAGE("https://mitra.stanford.edu/kundaje/oak/projects/neuro-variants/variant_position/credible/roussos_2024/variant_figures/roussos_2024.childhood.GABA/rs1368889_count_position.png",4,220,900)</f>
        <v/>
      </c>
      <c r="T2077">
        <f>IMAGE("https://mitra.stanford.edu/kundaje/oak/projects/neuro-variants/variant_position/credible/roussos_2024/variant_figures/roussos_2024.childhood.GABA/rs1368889_profile_position.png",4,220,900)</f>
        <v/>
      </c>
    </row>
    <row r="2078">
      <c r="A2078" t="inlineStr">
        <is>
          <t>chr2</t>
        </is>
      </c>
      <c r="B2078" t="n">
        <v>27712485</v>
      </c>
      <c r="C2078" t="inlineStr">
        <is>
          <t>C</t>
        </is>
      </c>
      <c r="D2078" t="inlineStr">
        <is>
          <t>A</t>
        </is>
      </c>
      <c r="E2078" t="inlineStr">
        <is>
          <t>rs4665386</t>
        </is>
      </c>
      <c r="F2078" t="n">
        <v>0.0005471699399999</v>
      </c>
      <c r="G2078" t="n">
        <v>0.7472894044552459</v>
      </c>
      <c r="H2078" t="n">
        <v>0.0130964800955275</v>
      </c>
      <c r="I2078" t="n">
        <v>0.3479911700998527</v>
      </c>
      <c r="J2078" t="n">
        <v>0.0568019517915854</v>
      </c>
      <c r="K2078" t="n">
        <v>0.4833245442487426</v>
      </c>
      <c r="L2078" t="b">
        <v>0</v>
      </c>
      <c r="M2078" t="b">
        <v>0</v>
      </c>
      <c r="N2078" t="inlineStr">
        <is>
          <t>alt</t>
        </is>
      </c>
      <c r="O2078" t="n">
        <v>95</v>
      </c>
      <c r="P2078" t="n">
        <v>0.003109</v>
      </c>
      <c r="Q2078" t="n">
        <v>40</v>
      </c>
      <c r="R2078" t="n">
        <v>0.0853</v>
      </c>
      <c r="S2078">
        <f>IMAGE("https://mitra.stanford.edu/kundaje/oak/projects/neuro-variants/variant_position/credible/roussos_2024/variant_figures/roussos_2024.childhood.GABA/rs4665386_count_position.png",4,220,900)</f>
        <v/>
      </c>
      <c r="T2078">
        <f>IMAGE("https://mitra.stanford.edu/kundaje/oak/projects/neuro-variants/variant_position/credible/roussos_2024/variant_figures/roussos_2024.childhood.GABA/rs4665386_profile_position.png",4,220,900)</f>
        <v/>
      </c>
    </row>
    <row r="2079">
      <c r="A2079" t="inlineStr">
        <is>
          <t>chr2</t>
        </is>
      </c>
      <c r="B2079" t="n">
        <v>27796239</v>
      </c>
      <c r="C2079" t="inlineStr">
        <is>
          <t>C</t>
        </is>
      </c>
      <c r="D2079" t="inlineStr">
        <is>
          <t>T</t>
        </is>
      </c>
      <c r="E2079" t="inlineStr">
        <is>
          <t>rs4666013</t>
        </is>
      </c>
      <c r="F2079" t="n">
        <v>-0.070738494</v>
      </c>
      <c r="G2079" t="n">
        <v>0.07210326276720359</v>
      </c>
      <c r="H2079" t="n">
        <v>0.0162851001399319</v>
      </c>
      <c r="I2079" t="n">
        <v>0.1689379788415039</v>
      </c>
      <c r="J2079" t="n">
        <v>0.1590961445833594</v>
      </c>
      <c r="K2079" t="n">
        <v>0.272150267796274</v>
      </c>
      <c r="L2079" t="b">
        <v>0</v>
      </c>
      <c r="M2079" t="b">
        <v>0</v>
      </c>
      <c r="N2079" t="inlineStr">
        <is>
          <t>ref</t>
        </is>
      </c>
      <c r="O2079" t="n">
        <v>20</v>
      </c>
      <c r="P2079" t="n">
        <v>0.01477</v>
      </c>
      <c r="Q2079" t="n">
        <v>-85</v>
      </c>
      <c r="R2079" t="n">
        <v>0.03833</v>
      </c>
      <c r="S2079">
        <f>IMAGE("https://mitra.stanford.edu/kundaje/oak/projects/neuro-variants/variant_position/credible/roussos_2024/variant_figures/roussos_2024.childhood.GABA/rs4666013_count_position.png",4,220,900)</f>
        <v/>
      </c>
      <c r="T2079">
        <f>IMAGE("https://mitra.stanford.edu/kundaje/oak/projects/neuro-variants/variant_position/credible/roussos_2024/variant_figures/roussos_2024.childhood.GABA/rs4666013_profile_position.png",4,220,900)</f>
        <v/>
      </c>
    </row>
    <row r="2080">
      <c r="A2080" t="inlineStr">
        <is>
          <t>chr2</t>
        </is>
      </c>
      <c r="B2080" t="n">
        <v>27796500</v>
      </c>
      <c r="C2080" t="inlineStr">
        <is>
          <t>G</t>
        </is>
      </c>
      <c r="D2080" t="inlineStr">
        <is>
          <t>A</t>
        </is>
      </c>
      <c r="E2080" t="inlineStr">
        <is>
          <t>rs4666015</t>
        </is>
      </c>
      <c r="F2080" t="n">
        <v>-0.0103627324</v>
      </c>
      <c r="G2080" t="n">
        <v>0.6271526526326505</v>
      </c>
      <c r="H2080" t="n">
        <v>0.007994134632552601</v>
      </c>
      <c r="I2080" t="n">
        <v>0.8479824989903179</v>
      </c>
      <c r="J2080" t="n">
        <v>0.2158656363217524</v>
      </c>
      <c r="K2080" t="n">
        <v>0.2065620776222566</v>
      </c>
      <c r="L2080" t="b">
        <v>0</v>
      </c>
      <c r="M2080" t="b">
        <v>0</v>
      </c>
      <c r="N2080" t="inlineStr">
        <is>
          <t>ref</t>
        </is>
      </c>
      <c r="O2080" t="n">
        <v>-90</v>
      </c>
      <c r="P2080" t="n">
        <v>0.00919</v>
      </c>
      <c r="Q2080" t="n">
        <v>95</v>
      </c>
      <c r="R2080" t="n">
        <v>0.1458</v>
      </c>
      <c r="S2080">
        <f>IMAGE("https://mitra.stanford.edu/kundaje/oak/projects/neuro-variants/variant_position/credible/roussos_2024/variant_figures/roussos_2024.childhood.GABA/rs4666015_count_position.png",4,220,900)</f>
        <v/>
      </c>
      <c r="T2080">
        <f>IMAGE("https://mitra.stanford.edu/kundaje/oak/projects/neuro-variants/variant_position/credible/roussos_2024/variant_figures/roussos_2024.childhood.GABA/rs4666015_profile_position.png",4,220,900)</f>
        <v/>
      </c>
    </row>
    <row r="2081">
      <c r="A2081" t="inlineStr">
        <is>
          <t>chr2</t>
        </is>
      </c>
      <c r="B2081" t="n">
        <v>27799808</v>
      </c>
      <c r="C2081" t="inlineStr">
        <is>
          <t>G</t>
        </is>
      </c>
      <c r="D2081" t="inlineStr">
        <is>
          <t>A</t>
        </is>
      </c>
      <c r="E2081" t="inlineStr">
        <is>
          <t>rs7570730</t>
        </is>
      </c>
      <c r="F2081" t="n">
        <v>-0.0295704084</v>
      </c>
      <c r="G2081" t="n">
        <v>0.3057831016014806</v>
      </c>
      <c r="H2081" t="n">
        <v>0.0109699278877504</v>
      </c>
      <c r="I2081" t="n">
        <v>0.5066786850935626</v>
      </c>
      <c r="J2081" t="n">
        <v>0.5123630918724216</v>
      </c>
      <c r="K2081" t="n">
        <v>0.0487801794995935</v>
      </c>
      <c r="L2081" t="b">
        <v>0</v>
      </c>
      <c r="M2081" t="b">
        <v>0</v>
      </c>
      <c r="N2081" t="inlineStr">
        <is>
          <t>ref</t>
        </is>
      </c>
      <c r="O2081" t="n">
        <v>-100</v>
      </c>
      <c r="P2081" t="n">
        <v>0.0271</v>
      </c>
      <c r="Q2081" t="n">
        <v>0</v>
      </c>
      <c r="R2081" t="n">
        <v>0</v>
      </c>
      <c r="S2081">
        <f>IMAGE("https://mitra.stanford.edu/kundaje/oak/projects/neuro-variants/variant_position/credible/roussos_2024/variant_figures/roussos_2024.childhood.GABA/rs7570730_count_position.png",4,220,900)</f>
        <v/>
      </c>
      <c r="T2081">
        <f>IMAGE("https://mitra.stanford.edu/kundaje/oak/projects/neuro-variants/variant_position/credible/roussos_2024/variant_figures/roussos_2024.childhood.GABA/rs7570730_profile_position.png",4,220,900)</f>
        <v/>
      </c>
    </row>
    <row r="2082">
      <c r="A2082" t="inlineStr">
        <is>
          <t>chr2</t>
        </is>
      </c>
      <c r="B2082" t="n">
        <v>27802713</v>
      </c>
      <c r="C2082" t="inlineStr">
        <is>
          <t>G</t>
        </is>
      </c>
      <c r="D2082" t="inlineStr">
        <is>
          <t>C</t>
        </is>
      </c>
      <c r="E2082" t="inlineStr">
        <is>
          <t>rs11891769</t>
        </is>
      </c>
      <c r="F2082" t="n">
        <v>-0.0387872951999999</v>
      </c>
      <c r="G2082" t="n">
        <v>0.2232340996970147</v>
      </c>
      <c r="H2082" t="n">
        <v>0.0129976252369072</v>
      </c>
      <c r="I2082" t="n">
        <v>0.3525716398222367</v>
      </c>
      <c r="J2082" t="n">
        <v>0.0560312873028836</v>
      </c>
      <c r="K2082" t="n">
        <v>0.4806905559068968</v>
      </c>
      <c r="L2082" t="b">
        <v>0</v>
      </c>
      <c r="M2082" t="b">
        <v>0</v>
      </c>
      <c r="N2082" t="inlineStr">
        <is>
          <t>ref</t>
        </is>
      </c>
      <c r="O2082" t="n">
        <v>-100</v>
      </c>
      <c r="P2082" t="n">
        <v>0.02135</v>
      </c>
      <c r="Q2082" t="n">
        <v>100</v>
      </c>
      <c r="R2082" t="n">
        <v>0.1179</v>
      </c>
      <c r="S2082">
        <f>IMAGE("https://mitra.stanford.edu/kundaje/oak/projects/neuro-variants/variant_position/credible/roussos_2024/variant_figures/roussos_2024.childhood.GABA/rs11891769_count_position.png",4,220,900)</f>
        <v/>
      </c>
      <c r="T2082">
        <f>IMAGE("https://mitra.stanford.edu/kundaje/oak/projects/neuro-variants/variant_position/credible/roussos_2024/variant_figures/roussos_2024.childhood.GABA/rs11891769_profile_position.png",4,220,900)</f>
        <v/>
      </c>
    </row>
    <row r="2083">
      <c r="A2083" t="inlineStr">
        <is>
          <t>chr2</t>
        </is>
      </c>
      <c r="B2083" t="n">
        <v>27807570</v>
      </c>
      <c r="C2083" t="inlineStr">
        <is>
          <t>A</t>
        </is>
      </c>
      <c r="D2083" t="inlineStr">
        <is>
          <t>G</t>
        </is>
      </c>
      <c r="E2083" t="inlineStr">
        <is>
          <t>rs12986980</t>
        </is>
      </c>
      <c r="F2083" t="n">
        <v>-0.0020990312599999</v>
      </c>
      <c r="G2083" t="n">
        <v>0.6977251264032704</v>
      </c>
      <c r="H2083" t="n">
        <v>0.0121112042822914</v>
      </c>
      <c r="I2083" t="n">
        <v>0.432771359932284</v>
      </c>
      <c r="J2083" t="n">
        <v>0.0704100437687168</v>
      </c>
      <c r="K2083" t="n">
        <v>0.4177611293573304</v>
      </c>
      <c r="L2083" t="b">
        <v>0</v>
      </c>
      <c r="M2083" t="b">
        <v>0</v>
      </c>
      <c r="N2083" t="inlineStr">
        <is>
          <t>ref</t>
        </is>
      </c>
      <c r="O2083" t="n">
        <v>100</v>
      </c>
      <c r="P2083" t="n">
        <v>0.0199</v>
      </c>
      <c r="Q2083" t="n">
        <v>-10</v>
      </c>
      <c r="R2083" t="n">
        <v>0.02759</v>
      </c>
      <c r="S2083">
        <f>IMAGE("https://mitra.stanford.edu/kundaje/oak/projects/neuro-variants/variant_position/credible/roussos_2024/variant_figures/roussos_2024.childhood.GABA/rs12986980_count_position.png",4,220,900)</f>
        <v/>
      </c>
      <c r="T2083">
        <f>IMAGE("https://mitra.stanford.edu/kundaje/oak/projects/neuro-variants/variant_position/credible/roussos_2024/variant_figures/roussos_2024.childhood.GABA/rs12986980_profile_position.png",4,220,900)</f>
        <v/>
      </c>
    </row>
    <row r="2084">
      <c r="A2084" t="inlineStr">
        <is>
          <t>chr2</t>
        </is>
      </c>
      <c r="B2084" t="n">
        <v>27811517</v>
      </c>
      <c r="C2084" t="inlineStr">
        <is>
          <t>C</t>
        </is>
      </c>
      <c r="D2084" t="inlineStr">
        <is>
          <t>T</t>
        </is>
      </c>
      <c r="E2084" t="inlineStr">
        <is>
          <t>rs4233716</t>
        </is>
      </c>
      <c r="F2084" t="n">
        <v>0.0206139903999999</v>
      </c>
      <c r="G2084" t="n">
        <v>0.1608887594738536</v>
      </c>
      <c r="H2084" t="n">
        <v>0.0152535473637813</v>
      </c>
      <c r="I2084" t="n">
        <v>0.2149610099415072</v>
      </c>
      <c r="J2084" t="n">
        <v>0.1210623861280391</v>
      </c>
      <c r="K2084" t="n">
        <v>0.3122408525922156</v>
      </c>
      <c r="L2084" t="b">
        <v>0</v>
      </c>
      <c r="M2084" t="b">
        <v>0</v>
      </c>
      <c r="N2084" t="inlineStr">
        <is>
          <t>alt</t>
        </is>
      </c>
      <c r="O2084" t="n">
        <v>-90</v>
      </c>
      <c r="P2084" t="n">
        <v>0.00847</v>
      </c>
      <c r="Q2084" t="n">
        <v>-100</v>
      </c>
      <c r="R2084" t="n">
        <v>0.0762</v>
      </c>
      <c r="S2084">
        <f>IMAGE("https://mitra.stanford.edu/kundaje/oak/projects/neuro-variants/variant_position/credible/roussos_2024/variant_figures/roussos_2024.childhood.GABA/rs4233716_count_position.png",4,220,900)</f>
        <v/>
      </c>
      <c r="T2084">
        <f>IMAGE("https://mitra.stanford.edu/kundaje/oak/projects/neuro-variants/variant_position/credible/roussos_2024/variant_figures/roussos_2024.childhood.GABA/rs4233716_profile_position.png",4,220,900)</f>
        <v/>
      </c>
    </row>
    <row r="2085">
      <c r="A2085" t="inlineStr">
        <is>
          <t>chr2</t>
        </is>
      </c>
      <c r="B2085" t="n">
        <v>27815932</v>
      </c>
      <c r="C2085" t="inlineStr">
        <is>
          <t>C</t>
        </is>
      </c>
      <c r="D2085" t="inlineStr">
        <is>
          <t>T</t>
        </is>
      </c>
      <c r="E2085" t="inlineStr">
        <is>
          <t>rs12617171</t>
        </is>
      </c>
      <c r="F2085" t="n">
        <v>-0.00584047312</v>
      </c>
      <c r="G2085" t="n">
        <v>0.7624709935560497</v>
      </c>
      <c r="H2085" t="n">
        <v>0.008567342256627799</v>
      </c>
      <c r="I2085" t="n">
        <v>0.7983351165995224</v>
      </c>
      <c r="J2085" t="n">
        <v>0.0553119306401959</v>
      </c>
      <c r="K2085" t="n">
        <v>0.480249501351211</v>
      </c>
      <c r="L2085" t="b">
        <v>0</v>
      </c>
      <c r="M2085" t="b">
        <v>0</v>
      </c>
      <c r="N2085" t="inlineStr">
        <is>
          <t>ref</t>
        </is>
      </c>
      <c r="O2085" t="n">
        <v>100</v>
      </c>
      <c r="P2085" t="n">
        <v>0.00826</v>
      </c>
      <c r="Q2085" t="n">
        <v>50</v>
      </c>
      <c r="R2085" t="n">
        <v>0.04315</v>
      </c>
      <c r="S2085">
        <f>IMAGE("https://mitra.stanford.edu/kundaje/oak/projects/neuro-variants/variant_position/credible/roussos_2024/variant_figures/roussos_2024.childhood.GABA/rs12617171_count_position.png",4,220,900)</f>
        <v/>
      </c>
      <c r="T2085">
        <f>IMAGE("https://mitra.stanford.edu/kundaje/oak/projects/neuro-variants/variant_position/credible/roussos_2024/variant_figures/roussos_2024.childhood.GABA/rs12617171_profile_position.png",4,220,900)</f>
        <v/>
      </c>
    </row>
    <row r="2086">
      <c r="A2086" t="inlineStr">
        <is>
          <t>chr2</t>
        </is>
      </c>
      <c r="B2086" t="n">
        <v>27835359</v>
      </c>
      <c r="C2086" t="inlineStr">
        <is>
          <t>C</t>
        </is>
      </c>
      <c r="D2086" t="inlineStr">
        <is>
          <t>T</t>
        </is>
      </c>
      <c r="E2086" t="inlineStr">
        <is>
          <t>rs12464988</t>
        </is>
      </c>
      <c r="F2086" t="n">
        <v>-0.0364990926</v>
      </c>
      <c r="G2086" t="n">
        <v>0.2326938137367652</v>
      </c>
      <c r="H2086" t="n">
        <v>0.0106826417383574</v>
      </c>
      <c r="I2086" t="n">
        <v>0.5721154568740467</v>
      </c>
      <c r="J2086" t="n">
        <v>0.048729869531528</v>
      </c>
      <c r="K2086" t="n">
        <v>0.508203930763015</v>
      </c>
      <c r="L2086" t="b">
        <v>0</v>
      </c>
      <c r="M2086" t="b">
        <v>0</v>
      </c>
      <c r="N2086" t="inlineStr">
        <is>
          <t>ref</t>
        </is>
      </c>
      <c r="O2086" t="n">
        <v>-15</v>
      </c>
      <c r="P2086" t="n">
        <v>0.00119</v>
      </c>
      <c r="Q2086" t="n">
        <v>-40</v>
      </c>
      <c r="R2086" t="n">
        <v>0.008606000000000001</v>
      </c>
      <c r="S2086">
        <f>IMAGE("https://mitra.stanford.edu/kundaje/oak/projects/neuro-variants/variant_position/credible/roussos_2024/variant_figures/roussos_2024.childhood.GABA/rs12464988_count_position.png",4,220,900)</f>
        <v/>
      </c>
      <c r="T2086">
        <f>IMAGE("https://mitra.stanford.edu/kundaje/oak/projects/neuro-variants/variant_position/credible/roussos_2024/variant_figures/roussos_2024.childhood.GABA/rs12464988_profile_position.png",4,220,900)</f>
        <v/>
      </c>
    </row>
    <row r="2087">
      <c r="A2087" t="inlineStr">
        <is>
          <t>chr2</t>
        </is>
      </c>
      <c r="B2087" t="n">
        <v>27856477</v>
      </c>
      <c r="C2087" t="inlineStr">
        <is>
          <t>C</t>
        </is>
      </c>
      <c r="D2087" t="inlineStr">
        <is>
          <t>A</t>
        </is>
      </c>
      <c r="E2087" t="inlineStr">
        <is>
          <t>rs4233719</t>
        </is>
      </c>
      <c r="F2087" t="n">
        <v>-0.045141428</v>
      </c>
      <c r="G2087" t="n">
        <v>0.1814066942740627</v>
      </c>
      <c r="H2087" t="n">
        <v>0.0142114722623425</v>
      </c>
      <c r="I2087" t="n">
        <v>0.2710695732318076</v>
      </c>
      <c r="J2087" t="n">
        <v>0.0613149462838473</v>
      </c>
      <c r="K2087" t="n">
        <v>0.4575960489605524</v>
      </c>
      <c r="L2087" t="b">
        <v>0</v>
      </c>
      <c r="M2087" t="b">
        <v>0</v>
      </c>
      <c r="N2087" t="inlineStr">
        <is>
          <t>ref</t>
        </is>
      </c>
      <c r="O2087" t="n">
        <v>100</v>
      </c>
      <c r="P2087" t="n">
        <v>0.007797</v>
      </c>
      <c r="Q2087" t="n">
        <v>100</v>
      </c>
      <c r="R2087" t="n">
        <v>0.09080000000000001</v>
      </c>
      <c r="S2087">
        <f>IMAGE("https://mitra.stanford.edu/kundaje/oak/projects/neuro-variants/variant_position/credible/roussos_2024/variant_figures/roussos_2024.childhood.GABA/rs4233719_count_position.png",4,220,900)</f>
        <v/>
      </c>
      <c r="T2087">
        <f>IMAGE("https://mitra.stanford.edu/kundaje/oak/projects/neuro-variants/variant_position/credible/roussos_2024/variant_figures/roussos_2024.childhood.GABA/rs4233719_profile_position.png",4,220,900)</f>
        <v/>
      </c>
    </row>
    <row r="2088">
      <c r="A2088" t="inlineStr">
        <is>
          <t>chr2</t>
        </is>
      </c>
      <c r="B2088" t="n">
        <v>27873925</v>
      </c>
      <c r="C2088" t="inlineStr">
        <is>
          <t>A</t>
        </is>
      </c>
      <c r="D2088" t="inlineStr">
        <is>
          <t>G</t>
        </is>
      </c>
      <c r="E2088" t="inlineStr">
        <is>
          <t>rs12466717</t>
        </is>
      </c>
      <c r="F2088" t="n">
        <v>0.0783883792</v>
      </c>
      <c r="G2088" t="n">
        <v>0.0603890390587467</v>
      </c>
      <c r="H2088" t="n">
        <v>0.017710922873405</v>
      </c>
      <c r="I2088" t="n">
        <v>0.1234023808081712</v>
      </c>
      <c r="J2088" t="n">
        <v>0.0183242235764695</v>
      </c>
      <c r="K2088" t="n">
        <v>0.6586972398860149</v>
      </c>
      <c r="L2088" t="b">
        <v>0</v>
      </c>
      <c r="M2088" t="b">
        <v>0</v>
      </c>
      <c r="N2088" t="inlineStr">
        <is>
          <t>alt</t>
        </is>
      </c>
      <c r="O2088" t="n">
        <v>-100</v>
      </c>
      <c r="P2088" t="n">
        <v>0.01185</v>
      </c>
      <c r="Q2088" t="n">
        <v>-85</v>
      </c>
      <c r="R2088" t="n">
        <v>0.0799</v>
      </c>
      <c r="S2088">
        <f>IMAGE("https://mitra.stanford.edu/kundaje/oak/projects/neuro-variants/variant_position/credible/roussos_2024/variant_figures/roussos_2024.childhood.GABA/rs12466717_count_position.png",4,220,900)</f>
        <v/>
      </c>
      <c r="T2088">
        <f>IMAGE("https://mitra.stanford.edu/kundaje/oak/projects/neuro-variants/variant_position/credible/roussos_2024/variant_figures/roussos_2024.childhood.GABA/rs12466717_profile_position.png",4,220,900)</f>
        <v/>
      </c>
    </row>
    <row r="2089">
      <c r="A2089" t="inlineStr">
        <is>
          <t>chr2</t>
        </is>
      </c>
      <c r="B2089" t="n">
        <v>27880131</v>
      </c>
      <c r="C2089" t="inlineStr">
        <is>
          <t>G</t>
        </is>
      </c>
      <c r="D2089" t="inlineStr">
        <is>
          <t>A</t>
        </is>
      </c>
      <c r="E2089" t="inlineStr">
        <is>
          <t>rs6547814</t>
        </is>
      </c>
      <c r="F2089" t="n">
        <v>-0.0498089456</v>
      </c>
      <c r="G2089" t="n">
        <v>0.1545463127450402</v>
      </c>
      <c r="H2089" t="n">
        <v>0.0103206763944822</v>
      </c>
      <c r="I2089" t="n">
        <v>0.5923112873739336</v>
      </c>
      <c r="J2089" t="n">
        <v>0.0750591610646897</v>
      </c>
      <c r="K2089" t="n">
        <v>0.4134753406000393</v>
      </c>
      <c r="L2089" t="b">
        <v>0</v>
      </c>
      <c r="M2089" t="b">
        <v>0</v>
      </c>
      <c r="N2089" t="inlineStr">
        <is>
          <t>ref</t>
        </is>
      </c>
      <c r="O2089" t="n">
        <v>-100</v>
      </c>
      <c r="P2089" t="n">
        <v>0.001068</v>
      </c>
      <c r="Q2089" t="n">
        <v>-100</v>
      </c>
      <c r="R2089" t="n">
        <v>0.0963</v>
      </c>
      <c r="S2089">
        <f>IMAGE("https://mitra.stanford.edu/kundaje/oak/projects/neuro-variants/variant_position/credible/roussos_2024/variant_figures/roussos_2024.childhood.GABA/rs6547814_count_position.png",4,220,900)</f>
        <v/>
      </c>
      <c r="T2089">
        <f>IMAGE("https://mitra.stanford.edu/kundaje/oak/projects/neuro-variants/variant_position/credible/roussos_2024/variant_figures/roussos_2024.childhood.GABA/rs6547814_profile_position.png",4,220,900)</f>
        <v/>
      </c>
    </row>
    <row r="2090">
      <c r="A2090" t="inlineStr">
        <is>
          <t>chr2</t>
        </is>
      </c>
      <c r="B2090" t="n">
        <v>27901304</v>
      </c>
      <c r="C2090" t="inlineStr">
        <is>
          <t>G</t>
        </is>
      </c>
      <c r="D2090" t="inlineStr">
        <is>
          <t>A</t>
        </is>
      </c>
      <c r="E2090" t="inlineStr">
        <is>
          <t>rs10177845</t>
        </is>
      </c>
      <c r="F2090" t="n">
        <v>-0.0831665453999999</v>
      </c>
      <c r="G2090" t="n">
        <v>0.0544570738286945</v>
      </c>
      <c r="H2090" t="n">
        <v>0.024541452187351</v>
      </c>
      <c r="I2090" t="n">
        <v>0.0317813433530349</v>
      </c>
      <c r="J2090" t="n">
        <v>0.2655295177064354</v>
      </c>
      <c r="K2090" t="n">
        <v>0.1567480773451625</v>
      </c>
      <c r="L2090" t="b">
        <v>0</v>
      </c>
      <c r="M2090" t="b">
        <v>0</v>
      </c>
      <c r="N2090" t="inlineStr">
        <is>
          <t>ref</t>
        </is>
      </c>
      <c r="O2090" t="n">
        <v>-30</v>
      </c>
      <c r="P2090" t="n">
        <v>0.002365</v>
      </c>
      <c r="Q2090" t="n">
        <v>25</v>
      </c>
      <c r="R2090" t="n">
        <v>0.05225</v>
      </c>
      <c r="S2090">
        <f>IMAGE("https://mitra.stanford.edu/kundaje/oak/projects/neuro-variants/variant_position/credible/roussos_2024/variant_figures/roussos_2024.childhood.GABA/rs10177845_count_position.png",4,220,900)</f>
        <v/>
      </c>
      <c r="T2090">
        <f>IMAGE("https://mitra.stanford.edu/kundaje/oak/projects/neuro-variants/variant_position/credible/roussos_2024/variant_figures/roussos_2024.childhood.GABA/rs10177845_profile_position.png",4,220,900)</f>
        <v/>
      </c>
    </row>
    <row r="2091">
      <c r="A2091" t="inlineStr">
        <is>
          <t>chr2</t>
        </is>
      </c>
      <c r="B2091" t="n">
        <v>27913484</v>
      </c>
      <c r="C2091" t="inlineStr">
        <is>
          <t>A</t>
        </is>
      </c>
      <c r="D2091" t="inlineStr">
        <is>
          <t>G</t>
        </is>
      </c>
      <c r="E2091" t="inlineStr">
        <is>
          <t>rs1458396</t>
        </is>
      </c>
      <c r="F2091" t="n">
        <v>0.0006010709</v>
      </c>
      <c r="G2091" t="n">
        <v>0.8288225437238722</v>
      </c>
      <c r="H2091" t="n">
        <v>0.0224405608140434</v>
      </c>
      <c r="I2091" t="n">
        <v>0.0461926333816492</v>
      </c>
      <c r="J2091" t="n">
        <v>0.0011842683922849</v>
      </c>
      <c r="K2091" t="n">
        <v>0.9191125650798028</v>
      </c>
      <c r="L2091" t="b">
        <v>0</v>
      </c>
      <c r="M2091" t="b">
        <v>0</v>
      </c>
      <c r="N2091" t="inlineStr">
        <is>
          <t>alt</t>
        </is>
      </c>
      <c r="O2091" t="n">
        <v>50</v>
      </c>
      <c r="P2091" t="n">
        <v>0.001897</v>
      </c>
      <c r="Q2091" t="n">
        <v>-95</v>
      </c>
      <c r="R2091" t="n">
        <v>0.07275</v>
      </c>
      <c r="S2091">
        <f>IMAGE("https://mitra.stanford.edu/kundaje/oak/projects/neuro-variants/variant_position/credible/roussos_2024/variant_figures/roussos_2024.childhood.GABA/rs1458396_count_position.png",4,220,900)</f>
        <v/>
      </c>
      <c r="T2091">
        <f>IMAGE("https://mitra.stanford.edu/kundaje/oak/projects/neuro-variants/variant_position/credible/roussos_2024/variant_figures/roussos_2024.childhood.GABA/rs1458396_profile_position.png",4,220,900)</f>
        <v/>
      </c>
    </row>
    <row r="2092">
      <c r="A2092" t="inlineStr">
        <is>
          <t>chr2</t>
        </is>
      </c>
      <c r="B2092" t="n">
        <v>27933773</v>
      </c>
      <c r="C2092" t="inlineStr">
        <is>
          <t>T</t>
        </is>
      </c>
      <c r="D2092" t="inlineStr">
        <is>
          <t>G</t>
        </is>
      </c>
      <c r="E2092" t="inlineStr">
        <is>
          <t>rs13012050</t>
        </is>
      </c>
      <c r="F2092" t="n">
        <v>-0.0231845482</v>
      </c>
      <c r="G2092" t="n">
        <v>0.3783874679848341</v>
      </c>
      <c r="H2092" t="n">
        <v>0.0455362756239638</v>
      </c>
      <c r="I2092" t="n">
        <v>0.002383953428451</v>
      </c>
      <c r="J2092" t="n">
        <v>0.0041014847856589</v>
      </c>
      <c r="K2092" t="n">
        <v>0.8252958767043539</v>
      </c>
      <c r="L2092" t="b">
        <v>0</v>
      </c>
      <c r="M2092" t="b">
        <v>0</v>
      </c>
      <c r="N2092" t="inlineStr">
        <is>
          <t>ref</t>
        </is>
      </c>
      <c r="O2092" t="n">
        <v>-100</v>
      </c>
      <c r="P2092" t="n">
        <v>0.003754</v>
      </c>
      <c r="Q2092" t="n">
        <v>-100</v>
      </c>
      <c r="R2092" t="n">
        <v>0.05386</v>
      </c>
      <c r="S2092">
        <f>IMAGE("https://mitra.stanford.edu/kundaje/oak/projects/neuro-variants/variant_position/credible/roussos_2024/variant_figures/roussos_2024.childhood.GABA/rs13012050_count_position.png",4,220,900)</f>
        <v/>
      </c>
      <c r="T2092">
        <f>IMAGE("https://mitra.stanford.edu/kundaje/oak/projects/neuro-variants/variant_position/credible/roussos_2024/variant_figures/roussos_2024.childhood.GABA/rs13012050_profile_position.png",4,220,900)</f>
        <v/>
      </c>
    </row>
    <row r="2093">
      <c r="A2093" t="inlineStr">
        <is>
          <t>chr2</t>
        </is>
      </c>
      <c r="B2093" t="n">
        <v>27936777</v>
      </c>
      <c r="C2093" t="inlineStr">
        <is>
          <t>A</t>
        </is>
      </c>
      <c r="D2093" t="inlineStr">
        <is>
          <t>G</t>
        </is>
      </c>
      <c r="E2093" t="inlineStr">
        <is>
          <t>rs10184052</t>
        </is>
      </c>
      <c r="F2093" t="n">
        <v>0.096569291</v>
      </c>
      <c r="G2093" t="n">
        <v>0.0310364942220127</v>
      </c>
      <c r="H2093" t="n">
        <v>0.0117933400976505</v>
      </c>
      <c r="I2093" t="n">
        <v>0.453121851011283</v>
      </c>
      <c r="J2093" t="n">
        <v>0.0124426713576678</v>
      </c>
      <c r="K2093" t="n">
        <v>0.7293389938029802</v>
      </c>
      <c r="L2093" t="b">
        <v>0</v>
      </c>
      <c r="M2093" t="b">
        <v>0</v>
      </c>
      <c r="N2093" t="inlineStr">
        <is>
          <t>alt</t>
        </is>
      </c>
      <c r="O2093" t="n">
        <v>100</v>
      </c>
      <c r="P2093" t="n">
        <v>0.06</v>
      </c>
      <c r="Q2093" t="n">
        <v>20</v>
      </c>
      <c r="R2093" t="n">
        <v>0.009520000000000001</v>
      </c>
      <c r="S2093">
        <f>IMAGE("https://mitra.stanford.edu/kundaje/oak/projects/neuro-variants/variant_position/credible/roussos_2024/variant_figures/roussos_2024.childhood.GABA/rs10184052_count_position.png",4,220,900)</f>
        <v/>
      </c>
      <c r="T2093">
        <f>IMAGE("https://mitra.stanford.edu/kundaje/oak/projects/neuro-variants/variant_position/credible/roussos_2024/variant_figures/roussos_2024.childhood.GABA/rs10184052_profile_position.png",4,220,900)</f>
        <v/>
      </c>
    </row>
    <row r="2094">
      <c r="A2094" t="inlineStr">
        <is>
          <t>chr2</t>
        </is>
      </c>
      <c r="B2094" t="n">
        <v>28019441</v>
      </c>
      <c r="C2094" t="inlineStr">
        <is>
          <t>G</t>
        </is>
      </c>
      <c r="D2094" t="inlineStr">
        <is>
          <t>A</t>
        </is>
      </c>
      <c r="E2094" t="inlineStr">
        <is>
          <t>rs4616436</t>
        </is>
      </c>
      <c r="F2094" t="n">
        <v>0.0461277268</v>
      </c>
      <c r="G2094" t="n">
        <v>0.1585405470239682</v>
      </c>
      <c r="H2094" t="n">
        <v>0.011989500608645</v>
      </c>
      <c r="I2094" t="n">
        <v>0.4401104344530783</v>
      </c>
      <c r="J2094" t="n">
        <v>0.0189493413750497</v>
      </c>
      <c r="K2094" t="n">
        <v>0.6818426454268998</v>
      </c>
      <c r="L2094" t="b">
        <v>0</v>
      </c>
      <c r="M2094" t="b">
        <v>0</v>
      </c>
      <c r="N2094" t="inlineStr">
        <is>
          <t>alt</t>
        </is>
      </c>
      <c r="O2094" t="n">
        <v>-50</v>
      </c>
      <c r="P2094" t="n">
        <v>0.014626</v>
      </c>
      <c r="Q2094" t="n">
        <v>-90</v>
      </c>
      <c r="R2094" t="n">
        <v>0.1389</v>
      </c>
      <c r="S2094">
        <f>IMAGE("https://mitra.stanford.edu/kundaje/oak/projects/neuro-variants/variant_position/credible/roussos_2024/variant_figures/roussos_2024.childhood.GABA/rs4616436_count_position.png",4,220,900)</f>
        <v/>
      </c>
      <c r="T2094">
        <f>IMAGE("https://mitra.stanford.edu/kundaje/oak/projects/neuro-variants/variant_position/credible/roussos_2024/variant_figures/roussos_2024.childhood.GABA/rs4616436_profile_position.png",4,220,900)</f>
        <v/>
      </c>
    </row>
    <row r="2095">
      <c r="A2095" t="inlineStr">
        <is>
          <t>chr2</t>
        </is>
      </c>
      <c r="B2095" t="n">
        <v>36985060</v>
      </c>
      <c r="C2095" t="inlineStr">
        <is>
          <t>G</t>
        </is>
      </c>
      <c r="D2095" t="inlineStr">
        <is>
          <t>A</t>
        </is>
      </c>
      <c r="E2095" t="inlineStr">
        <is>
          <t>rs6712162</t>
        </is>
      </c>
      <c r="F2095" t="n">
        <v>-0.06763917260000001</v>
      </c>
      <c r="G2095" t="n">
        <v>0.076060856325692</v>
      </c>
      <c r="H2095" t="n">
        <v>0.0136346318670961</v>
      </c>
      <c r="I2095" t="n">
        <v>0.3091221814003014</v>
      </c>
      <c r="J2095" t="n">
        <v>0.0011717032104039</v>
      </c>
      <c r="K2095" t="n">
        <v>0.9064014528512964</v>
      </c>
      <c r="L2095" t="b">
        <v>0</v>
      </c>
      <c r="M2095" t="b">
        <v>0</v>
      </c>
      <c r="N2095" t="inlineStr">
        <is>
          <t>ref</t>
        </is>
      </c>
      <c r="O2095" t="n">
        <v>-50</v>
      </c>
      <c r="P2095" t="n">
        <v>0.004913</v>
      </c>
      <c r="Q2095" t="n">
        <v>65</v>
      </c>
      <c r="R2095" t="n">
        <v>0.008059999999999999</v>
      </c>
      <c r="S2095">
        <f>IMAGE("https://mitra.stanford.edu/kundaje/oak/projects/neuro-variants/variant_position/credible/roussos_2024/variant_figures/roussos_2024.childhood.GABA/rs6712162_count_position.png",4,220,900)</f>
        <v/>
      </c>
      <c r="T2095">
        <f>IMAGE("https://mitra.stanford.edu/kundaje/oak/projects/neuro-variants/variant_position/credible/roussos_2024/variant_figures/roussos_2024.childhood.GABA/rs6712162_profile_position.png",4,220,900)</f>
        <v/>
      </c>
    </row>
    <row r="2096">
      <c r="A2096" t="inlineStr">
        <is>
          <t>chr2</t>
        </is>
      </c>
      <c r="B2096" t="n">
        <v>37005187</v>
      </c>
      <c r="C2096" t="inlineStr">
        <is>
          <t>C</t>
        </is>
      </c>
      <c r="D2096" t="inlineStr">
        <is>
          <t>T</t>
        </is>
      </c>
      <c r="E2096" t="inlineStr">
        <is>
          <t>rs1123648</t>
        </is>
      </c>
      <c r="F2096" t="n">
        <v>-0.144670852</v>
      </c>
      <c r="G2096" t="n">
        <v>0.0137477319881369</v>
      </c>
      <c r="H2096" t="n">
        <v>0.0383576853496781</v>
      </c>
      <c r="I2096" t="n">
        <v>0.0055994024095381</v>
      </c>
      <c r="J2096" t="n">
        <v>0.216771376515675</v>
      </c>
      <c r="K2096" t="n">
        <v>0.1956304315446212</v>
      </c>
      <c r="L2096" t="b">
        <v>1</v>
      </c>
      <c r="M2096" t="b">
        <v>1</v>
      </c>
      <c r="N2096" t="inlineStr">
        <is>
          <t>ref</t>
        </is>
      </c>
      <c r="O2096" t="n">
        <v>75</v>
      </c>
      <c r="P2096" t="n">
        <v>0.0108</v>
      </c>
      <c r="Q2096" t="n">
        <v>70</v>
      </c>
      <c r="R2096" t="n">
        <v>0.2295</v>
      </c>
      <c r="S2096">
        <f>IMAGE("https://mitra.stanford.edu/kundaje/oak/projects/neuro-variants/variant_position/credible/roussos_2024/variant_figures/roussos_2024.childhood.GABA/rs1123648_count_position.png",4,220,900)</f>
        <v/>
      </c>
      <c r="T2096">
        <f>IMAGE("https://mitra.stanford.edu/kundaje/oak/projects/neuro-variants/variant_position/credible/roussos_2024/variant_figures/roussos_2024.childhood.GABA/rs1123648_profile_position.png",4,220,900)</f>
        <v/>
      </c>
    </row>
    <row r="2097">
      <c r="A2097" t="inlineStr">
        <is>
          <t>chr2</t>
        </is>
      </c>
      <c r="B2097" t="n">
        <v>37011373</v>
      </c>
      <c r="C2097" t="inlineStr">
        <is>
          <t>C</t>
        </is>
      </c>
      <c r="D2097" t="inlineStr">
        <is>
          <t>G</t>
        </is>
      </c>
      <c r="E2097" t="inlineStr">
        <is>
          <t>rs6753260</t>
        </is>
      </c>
      <c r="F2097" t="n">
        <v>-0.0440248908</v>
      </c>
      <c r="G2097" t="n">
        <v>0.1755466995456544</v>
      </c>
      <c r="H2097" t="n">
        <v>0.0126208409631662</v>
      </c>
      <c r="I2097" t="n">
        <v>0.3823577862233654</v>
      </c>
      <c r="J2097" t="n">
        <v>0.0170027852819835</v>
      </c>
      <c r="K2097" t="n">
        <v>0.674171590957942</v>
      </c>
      <c r="L2097" t="b">
        <v>0</v>
      </c>
      <c r="M2097" t="b">
        <v>0</v>
      </c>
      <c r="N2097" t="inlineStr">
        <is>
          <t>ref</t>
        </is>
      </c>
      <c r="O2097" t="n">
        <v>100</v>
      </c>
      <c r="P2097" t="n">
        <v>0.01519</v>
      </c>
      <c r="Q2097" t="n">
        <v>15</v>
      </c>
      <c r="R2097" t="n">
        <v>0.0636</v>
      </c>
      <c r="S2097">
        <f>IMAGE("https://mitra.stanford.edu/kundaje/oak/projects/neuro-variants/variant_position/credible/roussos_2024/variant_figures/roussos_2024.childhood.GABA/rs6753260_count_position.png",4,220,900)</f>
        <v/>
      </c>
      <c r="T2097">
        <f>IMAGE("https://mitra.stanford.edu/kundaje/oak/projects/neuro-variants/variant_position/credible/roussos_2024/variant_figures/roussos_2024.childhood.GABA/rs6753260_profile_position.png",4,220,900)</f>
        <v/>
      </c>
    </row>
    <row r="2098">
      <c r="A2098" t="inlineStr">
        <is>
          <t>chr2</t>
        </is>
      </c>
      <c r="B2098" t="n">
        <v>37020872</v>
      </c>
      <c r="C2098" t="inlineStr">
        <is>
          <t>T</t>
        </is>
      </c>
      <c r="D2098" t="inlineStr">
        <is>
          <t>C</t>
        </is>
      </c>
      <c r="E2098" t="inlineStr">
        <is>
          <t>rs17020136</t>
        </is>
      </c>
      <c r="F2098" t="n">
        <v>-0.008357577939999999</v>
      </c>
      <c r="G2098" t="n">
        <v>0.5914625798567558</v>
      </c>
      <c r="H2098" t="n">
        <v>0.022581419866302</v>
      </c>
      <c r="I2098" t="n">
        <v>0.0452450172488022</v>
      </c>
      <c r="J2098" t="n">
        <v>0.1168635211828024</v>
      </c>
      <c r="K2098" t="n">
        <v>0.3181759094617392</v>
      </c>
      <c r="L2098" t="b">
        <v>0</v>
      </c>
      <c r="M2098" t="b">
        <v>0</v>
      </c>
      <c r="N2098" t="inlineStr">
        <is>
          <t>ref</t>
        </is>
      </c>
      <c r="O2098" t="n">
        <v>-45</v>
      </c>
      <c r="P2098" t="n">
        <v>0.005127</v>
      </c>
      <c r="Q2098" t="n">
        <v>-100</v>
      </c>
      <c r="R2098" t="n">
        <v>0.1694</v>
      </c>
      <c r="S2098">
        <f>IMAGE("https://mitra.stanford.edu/kundaje/oak/projects/neuro-variants/variant_position/credible/roussos_2024/variant_figures/roussos_2024.childhood.GABA/rs17020136_count_position.png",4,220,900)</f>
        <v/>
      </c>
      <c r="T2098">
        <f>IMAGE("https://mitra.stanford.edu/kundaje/oak/projects/neuro-variants/variant_position/credible/roussos_2024/variant_figures/roussos_2024.childhood.GABA/rs17020136_profile_position.png",4,220,900)</f>
        <v/>
      </c>
    </row>
    <row r="2099">
      <c r="A2099" t="inlineStr">
        <is>
          <t>chr2</t>
        </is>
      </c>
      <c r="B2099" t="n">
        <v>37179000</v>
      </c>
      <c r="C2099" t="inlineStr">
        <is>
          <t>C</t>
        </is>
      </c>
      <c r="D2099" t="inlineStr">
        <is>
          <t>T</t>
        </is>
      </c>
      <c r="E2099" t="inlineStr">
        <is>
          <t>rs28463756</t>
        </is>
      </c>
      <c r="F2099" t="n">
        <v>-0.039381676</v>
      </c>
      <c r="G2099" t="n">
        <v>0.2220300422050243</v>
      </c>
      <c r="H2099" t="n">
        <v>0.0176406116176015</v>
      </c>
      <c r="I2099" t="n">
        <v>0.1255734681671906</v>
      </c>
      <c r="J2099" t="n">
        <v>0.009987225398420899</v>
      </c>
      <c r="K2099" t="n">
        <v>0.7573688210040891</v>
      </c>
      <c r="L2099" t="b">
        <v>0</v>
      </c>
      <c r="M2099" t="b">
        <v>0</v>
      </c>
      <c r="N2099" t="inlineStr">
        <is>
          <t>ref</t>
        </is>
      </c>
      <c r="O2099" t="n">
        <v>-75</v>
      </c>
      <c r="P2099" t="n">
        <v>0.006546</v>
      </c>
      <c r="Q2099" t="n">
        <v>100</v>
      </c>
      <c r="R2099" t="n">
        <v>0.02805</v>
      </c>
      <c r="S2099">
        <f>IMAGE("https://mitra.stanford.edu/kundaje/oak/projects/neuro-variants/variant_position/credible/roussos_2024/variant_figures/roussos_2024.childhood.GABA/rs28463756_count_position.png",4,220,900)</f>
        <v/>
      </c>
      <c r="T2099">
        <f>IMAGE("https://mitra.stanford.edu/kundaje/oak/projects/neuro-variants/variant_position/credible/roussos_2024/variant_figures/roussos_2024.childhood.GABA/rs28463756_profile_position.png",4,220,900)</f>
        <v/>
      </c>
    </row>
    <row r="2100">
      <c r="A2100" t="inlineStr">
        <is>
          <t>chr2</t>
        </is>
      </c>
      <c r="B2100" t="n">
        <v>37180035</v>
      </c>
      <c r="C2100" t="inlineStr">
        <is>
          <t>A</t>
        </is>
      </c>
      <c r="D2100" t="inlineStr">
        <is>
          <t>G</t>
        </is>
      </c>
      <c r="E2100" t="inlineStr">
        <is>
          <t>rs4374352</t>
        </is>
      </c>
      <c r="F2100" t="n">
        <v>0.0905520074</v>
      </c>
      <c r="G2100" t="n">
        <v>0.039162371472072</v>
      </c>
      <c r="H2100" t="n">
        <v>0.0135626384624185</v>
      </c>
      <c r="I2100" t="n">
        <v>0.3016492512506906</v>
      </c>
      <c r="J2100" t="n">
        <v>0.1148583275742915</v>
      </c>
      <c r="K2100" t="n">
        <v>0.3308899607257313</v>
      </c>
      <c r="L2100" t="b">
        <v>0</v>
      </c>
      <c r="M2100" t="b">
        <v>0</v>
      </c>
      <c r="N2100" t="inlineStr">
        <is>
          <t>alt</t>
        </is>
      </c>
      <c r="O2100" t="n">
        <v>100</v>
      </c>
      <c r="P2100" t="n">
        <v>0.00641</v>
      </c>
      <c r="Q2100" t="n">
        <v>100</v>
      </c>
      <c r="R2100" t="n">
        <v>0.1749</v>
      </c>
      <c r="S2100">
        <f>IMAGE("https://mitra.stanford.edu/kundaje/oak/projects/neuro-variants/variant_position/credible/roussos_2024/variant_figures/roussos_2024.childhood.GABA/rs4374352_count_position.png",4,220,900)</f>
        <v/>
      </c>
      <c r="T2100">
        <f>IMAGE("https://mitra.stanford.edu/kundaje/oak/projects/neuro-variants/variant_position/credible/roussos_2024/variant_figures/roussos_2024.childhood.GABA/rs4374352_profile_position.png",4,220,900)</f>
        <v/>
      </c>
    </row>
    <row r="2101">
      <c r="A2101" t="inlineStr">
        <is>
          <t>chr2</t>
        </is>
      </c>
      <c r="B2101" t="n">
        <v>37181405</v>
      </c>
      <c r="C2101" t="inlineStr">
        <is>
          <t>C</t>
        </is>
      </c>
      <c r="D2101" t="inlineStr">
        <is>
          <t>T</t>
        </is>
      </c>
      <c r="E2101" t="inlineStr">
        <is>
          <t>rs6750763</t>
        </is>
      </c>
      <c r="F2101" t="n">
        <v>-0.0482421743999999</v>
      </c>
      <c r="G2101" t="n">
        <v>0.1602044506721427</v>
      </c>
      <c r="H2101" t="n">
        <v>0.0139763117984734</v>
      </c>
      <c r="I2101" t="n">
        <v>0.288380402555132</v>
      </c>
      <c r="J2101" t="n">
        <v>0.0951938179305144</v>
      </c>
      <c r="K2101" t="n">
        <v>0.3692432741027233</v>
      </c>
      <c r="L2101" t="b">
        <v>0</v>
      </c>
      <c r="M2101" t="b">
        <v>0</v>
      </c>
      <c r="N2101" t="inlineStr">
        <is>
          <t>ref</t>
        </is>
      </c>
      <c r="O2101" t="n">
        <v>90</v>
      </c>
      <c r="P2101" t="n">
        <v>0.00923</v>
      </c>
      <c r="Q2101" t="n">
        <v>-85</v>
      </c>
      <c r="R2101" t="n">
        <v>0.0755</v>
      </c>
      <c r="S2101">
        <f>IMAGE("https://mitra.stanford.edu/kundaje/oak/projects/neuro-variants/variant_position/credible/roussos_2024/variant_figures/roussos_2024.childhood.GABA/rs6750763_count_position.png",4,220,900)</f>
        <v/>
      </c>
      <c r="T2101">
        <f>IMAGE("https://mitra.stanford.edu/kundaje/oak/projects/neuro-variants/variant_position/credible/roussos_2024/variant_figures/roussos_2024.childhood.GABA/rs6750763_profile_position.png",4,220,900)</f>
        <v/>
      </c>
    </row>
    <row r="2102">
      <c r="A2102" t="inlineStr">
        <is>
          <t>chr2</t>
        </is>
      </c>
      <c r="B2102" t="n">
        <v>37183173</v>
      </c>
      <c r="C2102" t="inlineStr">
        <is>
          <t>T</t>
        </is>
      </c>
      <c r="D2102" t="inlineStr">
        <is>
          <t>G</t>
        </is>
      </c>
      <c r="E2102" t="inlineStr">
        <is>
          <t>rs11124565</t>
        </is>
      </c>
      <c r="F2102" t="n">
        <v>-0.009338603799999999</v>
      </c>
      <c r="G2102" t="n">
        <v>0.4598576413148322</v>
      </c>
      <c r="H2102" t="n">
        <v>0.023037274514246</v>
      </c>
      <c r="I2102" t="n">
        <v>0.0418637337017091</v>
      </c>
      <c r="J2102" t="n">
        <v>0.0052606228141818</v>
      </c>
      <c r="K2102" t="n">
        <v>0.804504468478219</v>
      </c>
      <c r="L2102" t="b">
        <v>0</v>
      </c>
      <c r="M2102" t="b">
        <v>0</v>
      </c>
      <c r="N2102" t="inlineStr">
        <is>
          <t>ref</t>
        </is>
      </c>
      <c r="O2102" t="n">
        <v>-40</v>
      </c>
      <c r="P2102" t="n">
        <v>0.008156</v>
      </c>
      <c r="Q2102" t="n">
        <v>-60</v>
      </c>
      <c r="R2102" t="n">
        <v>0.04773</v>
      </c>
      <c r="S2102">
        <f>IMAGE("https://mitra.stanford.edu/kundaje/oak/projects/neuro-variants/variant_position/credible/roussos_2024/variant_figures/roussos_2024.childhood.GABA/rs11124565_count_position.png",4,220,900)</f>
        <v/>
      </c>
      <c r="T2102">
        <f>IMAGE("https://mitra.stanford.edu/kundaje/oak/projects/neuro-variants/variant_position/credible/roussos_2024/variant_figures/roussos_2024.childhood.GABA/rs11124565_profile_position.png",4,220,900)</f>
        <v/>
      </c>
    </row>
    <row r="2103">
      <c r="A2103" t="inlineStr">
        <is>
          <t>chr2</t>
        </is>
      </c>
      <c r="B2103" t="n">
        <v>37183820</v>
      </c>
      <c r="C2103" t="inlineStr">
        <is>
          <t>T</t>
        </is>
      </c>
      <c r="D2103" t="inlineStr">
        <is>
          <t>G</t>
        </is>
      </c>
      <c r="E2103" t="inlineStr">
        <is>
          <t>rs4670673</t>
        </is>
      </c>
      <c r="F2103" t="n">
        <v>0.00524696822</v>
      </c>
      <c r="G2103" t="n">
        <v>0.7209667357380858</v>
      </c>
      <c r="H2103" t="n">
        <v>0.0290035543519637</v>
      </c>
      <c r="I2103" t="n">
        <v>0.0145342947968894</v>
      </c>
      <c r="J2103" t="n">
        <v>0.008623903164331599</v>
      </c>
      <c r="K2103" t="n">
        <v>0.754207823884996</v>
      </c>
      <c r="L2103" t="b">
        <v>0</v>
      </c>
      <c r="M2103" t="b">
        <v>0</v>
      </c>
      <c r="N2103" t="inlineStr">
        <is>
          <t>alt</t>
        </is>
      </c>
      <c r="O2103" t="n">
        <v>85</v>
      </c>
      <c r="P2103" t="n">
        <v>0.01744</v>
      </c>
      <c r="Q2103" t="n">
        <v>-10</v>
      </c>
      <c r="R2103" t="n">
        <v>0.02545</v>
      </c>
      <c r="S2103">
        <f>IMAGE("https://mitra.stanford.edu/kundaje/oak/projects/neuro-variants/variant_position/credible/roussos_2024/variant_figures/roussos_2024.childhood.GABA/rs4670673_count_position.png",4,220,900)</f>
        <v/>
      </c>
      <c r="T2103">
        <f>IMAGE("https://mitra.stanford.edu/kundaje/oak/projects/neuro-variants/variant_position/credible/roussos_2024/variant_figures/roussos_2024.childhood.GABA/rs4670673_profile_position.png",4,220,900)</f>
        <v/>
      </c>
    </row>
    <row r="2104">
      <c r="A2104" t="inlineStr">
        <is>
          <t>chr2</t>
        </is>
      </c>
      <c r="B2104" t="n">
        <v>37198486</v>
      </c>
      <c r="C2104" t="inlineStr">
        <is>
          <t>A</t>
        </is>
      </c>
      <c r="D2104" t="inlineStr">
        <is>
          <t>G</t>
        </is>
      </c>
      <c r="E2104" t="inlineStr">
        <is>
          <t>rs2287093</t>
        </is>
      </c>
      <c r="F2104" t="n">
        <v>0.0710084444</v>
      </c>
      <c r="G2104" t="n">
        <v>0.0655093744229291</v>
      </c>
      <c r="H2104" t="n">
        <v>0.0107900441550106</v>
      </c>
      <c r="I2104" t="n">
        <v>0.5568307681682262</v>
      </c>
      <c r="J2104" t="n">
        <v>0.1313291868233125</v>
      </c>
      <c r="K2104" t="n">
        <v>0.3113169183222612</v>
      </c>
      <c r="L2104" t="b">
        <v>0</v>
      </c>
      <c r="M2104" t="b">
        <v>0</v>
      </c>
      <c r="N2104" t="inlineStr">
        <is>
          <t>alt</t>
        </is>
      </c>
      <c r="O2104" t="n">
        <v>-85</v>
      </c>
      <c r="P2104" t="n">
        <v>0.01515</v>
      </c>
      <c r="Q2104" t="n">
        <v>20</v>
      </c>
      <c r="R2104" t="n">
        <v>0.0188</v>
      </c>
      <c r="S2104">
        <f>IMAGE("https://mitra.stanford.edu/kundaje/oak/projects/neuro-variants/variant_position/credible/roussos_2024/variant_figures/roussos_2024.childhood.GABA/rs2287093_count_position.png",4,220,900)</f>
        <v/>
      </c>
      <c r="T2104">
        <f>IMAGE("https://mitra.stanford.edu/kundaje/oak/projects/neuro-variants/variant_position/credible/roussos_2024/variant_figures/roussos_2024.childhood.GABA/rs2287093_profile_position.png",4,220,900)</f>
        <v/>
      </c>
    </row>
    <row r="2105">
      <c r="A2105" t="inlineStr">
        <is>
          <t>chr2</t>
        </is>
      </c>
      <c r="B2105" t="n">
        <v>37227075</v>
      </c>
      <c r="C2105" t="inlineStr">
        <is>
          <t>C</t>
        </is>
      </c>
      <c r="D2105" t="inlineStr">
        <is>
          <t>G</t>
        </is>
      </c>
      <c r="E2105" t="inlineStr">
        <is>
          <t>rs10182759</t>
        </is>
      </c>
      <c r="F2105" t="n">
        <v>0.079148784</v>
      </c>
      <c r="G2105" t="n">
        <v>0.0572271549460338</v>
      </c>
      <c r="H2105" t="n">
        <v>0.0139803683668344</v>
      </c>
      <c r="I2105" t="n">
        <v>0.2804664917792543</v>
      </c>
      <c r="J2105" t="n">
        <v>0.1202466964042637</v>
      </c>
      <c r="K2105" t="n">
        <v>0.310594873336969</v>
      </c>
      <c r="L2105" t="b">
        <v>0</v>
      </c>
      <c r="M2105" t="b">
        <v>0</v>
      </c>
      <c r="N2105" t="inlineStr">
        <is>
          <t>alt</t>
        </is>
      </c>
      <c r="O2105" t="n">
        <v>-100</v>
      </c>
      <c r="P2105" t="n">
        <v>0.03232</v>
      </c>
      <c r="Q2105" t="n">
        <v>-10</v>
      </c>
      <c r="R2105" t="n">
        <v>0.011475</v>
      </c>
      <c r="S2105">
        <f>IMAGE("https://mitra.stanford.edu/kundaje/oak/projects/neuro-variants/variant_position/credible/roussos_2024/variant_figures/roussos_2024.childhood.GABA/rs10182759_count_position.png",4,220,900)</f>
        <v/>
      </c>
      <c r="T2105">
        <f>IMAGE("https://mitra.stanford.edu/kundaje/oak/projects/neuro-variants/variant_position/credible/roussos_2024/variant_figures/roussos_2024.childhood.GABA/rs10182759_profile_position.png",4,220,900)</f>
        <v/>
      </c>
    </row>
    <row r="2106">
      <c r="A2106" t="inlineStr">
        <is>
          <t>chr2</t>
        </is>
      </c>
      <c r="B2106" t="n">
        <v>37281990</v>
      </c>
      <c r="C2106" t="inlineStr">
        <is>
          <t>C</t>
        </is>
      </c>
      <c r="D2106" t="inlineStr">
        <is>
          <t>A</t>
        </is>
      </c>
      <c r="E2106" t="inlineStr">
        <is>
          <t>rs2041836</t>
        </is>
      </c>
      <c r="F2106" t="n">
        <v>0.007935842515199999</v>
      </c>
      <c r="G2106" t="n">
        <v>0.6405470415005439</v>
      </c>
      <c r="H2106" t="n">
        <v>0.0196958488732758</v>
      </c>
      <c r="I2106" t="n">
        <v>0.0795076494542462</v>
      </c>
      <c r="J2106" t="n">
        <v>0.1163619610060522</v>
      </c>
      <c r="K2106" t="n">
        <v>0.334556030380275</v>
      </c>
      <c r="L2106" t="b">
        <v>0</v>
      </c>
      <c r="M2106" t="b">
        <v>0</v>
      </c>
      <c r="N2106" t="inlineStr">
        <is>
          <t>alt</t>
        </is>
      </c>
      <c r="O2106" t="n">
        <v>-40</v>
      </c>
      <c r="P2106" t="n">
        <v>0.01581</v>
      </c>
      <c r="Q2106" t="n">
        <v>-40</v>
      </c>
      <c r="R2106" t="n">
        <v>0.021</v>
      </c>
      <c r="S2106">
        <f>IMAGE("https://mitra.stanford.edu/kundaje/oak/projects/neuro-variants/variant_position/credible/roussos_2024/variant_figures/roussos_2024.childhood.GABA/rs2041836_count_position.png",4,220,900)</f>
        <v/>
      </c>
      <c r="T2106">
        <f>IMAGE("https://mitra.stanford.edu/kundaje/oak/projects/neuro-variants/variant_position/credible/roussos_2024/variant_figures/roussos_2024.childhood.GABA/rs2041836_profile_position.png",4,220,900)</f>
        <v/>
      </c>
    </row>
    <row r="2107">
      <c r="A2107" t="inlineStr">
        <is>
          <t>chr2</t>
        </is>
      </c>
      <c r="B2107" t="n">
        <v>37292625</v>
      </c>
      <c r="C2107" t="inlineStr">
        <is>
          <t>C</t>
        </is>
      </c>
      <c r="D2107" t="inlineStr">
        <is>
          <t>T</t>
        </is>
      </c>
      <c r="E2107" t="inlineStr">
        <is>
          <t>rs11682607</t>
        </is>
      </c>
      <c r="F2107" t="n">
        <v>-0.0607275526</v>
      </c>
      <c r="G2107" t="n">
        <v>0.1003023466507534</v>
      </c>
      <c r="H2107" t="n">
        <v>0.0130856159417334</v>
      </c>
      <c r="I2107" t="n">
        <v>0.3477216948584334</v>
      </c>
      <c r="J2107" t="n">
        <v>0.0486063119096981</v>
      </c>
      <c r="K2107" t="n">
        <v>0.5039026466497465</v>
      </c>
      <c r="L2107" t="b">
        <v>0</v>
      </c>
      <c r="M2107" t="b">
        <v>0</v>
      </c>
      <c r="N2107" t="inlineStr">
        <is>
          <t>ref</t>
        </is>
      </c>
      <c r="O2107" t="n">
        <v>90</v>
      </c>
      <c r="P2107" t="n">
        <v>0.01979</v>
      </c>
      <c r="Q2107" t="n">
        <v>-50</v>
      </c>
      <c r="R2107" t="n">
        <v>0.03265</v>
      </c>
      <c r="S2107">
        <f>IMAGE("https://mitra.stanford.edu/kundaje/oak/projects/neuro-variants/variant_position/credible/roussos_2024/variant_figures/roussos_2024.childhood.GABA/rs11682607_count_position.png",4,220,900)</f>
        <v/>
      </c>
      <c r="T2107">
        <f>IMAGE("https://mitra.stanford.edu/kundaje/oak/projects/neuro-variants/variant_position/credible/roussos_2024/variant_figures/roussos_2024.childhood.GABA/rs11682607_profile_position.png",4,220,900)</f>
        <v/>
      </c>
    </row>
    <row r="2108">
      <c r="A2108" t="inlineStr">
        <is>
          <t>chr2</t>
        </is>
      </c>
      <c r="B2108" t="n">
        <v>37292826</v>
      </c>
      <c r="C2108" t="inlineStr">
        <is>
          <t>A</t>
        </is>
      </c>
      <c r="D2108" t="inlineStr">
        <is>
          <t>G</t>
        </is>
      </c>
      <c r="E2108" t="inlineStr">
        <is>
          <t>rs11693917</t>
        </is>
      </c>
      <c r="F2108" t="n">
        <v>-0.00640705126</v>
      </c>
      <c r="G2108" t="n">
        <v>0.7141679740202606</v>
      </c>
      <c r="H2108" t="n">
        <v>0.0366894006703885</v>
      </c>
      <c r="I2108" t="n">
        <v>0.0056639453216185</v>
      </c>
      <c r="J2108" t="n">
        <v>0.0395080731293585</v>
      </c>
      <c r="K2108" t="n">
        <v>0.5421507076710942</v>
      </c>
      <c r="L2108" t="b">
        <v>1</v>
      </c>
      <c r="M2108" t="b">
        <v>0</v>
      </c>
      <c r="N2108" t="inlineStr">
        <is>
          <t>ref</t>
        </is>
      </c>
      <c r="O2108" t="n">
        <v>80</v>
      </c>
      <c r="P2108" t="n">
        <v>0.0008545</v>
      </c>
      <c r="Q2108" t="n">
        <v>-65</v>
      </c>
      <c r="R2108" t="n">
        <v>0.11053</v>
      </c>
      <c r="S2108">
        <f>IMAGE("https://mitra.stanford.edu/kundaje/oak/projects/neuro-variants/variant_position/credible/roussos_2024/variant_figures/roussos_2024.childhood.GABA/rs11693917_count_position.png",4,220,900)</f>
        <v/>
      </c>
      <c r="T2108">
        <f>IMAGE("https://mitra.stanford.edu/kundaje/oak/projects/neuro-variants/variant_position/credible/roussos_2024/variant_figures/roussos_2024.childhood.GABA/rs11693917_profile_position.png",4,220,900)</f>
        <v/>
      </c>
    </row>
    <row r="2109">
      <c r="A2109" t="inlineStr">
        <is>
          <t>chr2</t>
        </is>
      </c>
      <c r="B2109" t="n">
        <v>37299694</v>
      </c>
      <c r="C2109" t="inlineStr">
        <is>
          <t>A</t>
        </is>
      </c>
      <c r="D2109" t="inlineStr">
        <is>
          <t>C</t>
        </is>
      </c>
      <c r="E2109" t="inlineStr">
        <is>
          <t>rs74177070</t>
        </is>
      </c>
      <c r="F2109" t="n">
        <v>-0.00348262678</v>
      </c>
      <c r="G2109" t="n">
        <v>0.7315637689148347</v>
      </c>
      <c r="H2109" t="n">
        <v>0.026775147160785</v>
      </c>
      <c r="I2109" t="n">
        <v>0.020999068082666</v>
      </c>
      <c r="J2109" t="n">
        <v>0.0707472094825238</v>
      </c>
      <c r="K2109" t="n">
        <v>0.4216975469663486</v>
      </c>
      <c r="L2109" t="b">
        <v>0</v>
      </c>
      <c r="M2109" t="b">
        <v>0</v>
      </c>
      <c r="N2109" t="inlineStr">
        <is>
          <t>ref</t>
        </is>
      </c>
      <c r="O2109" t="n">
        <v>90</v>
      </c>
      <c r="P2109" t="n">
        <v>0.02657</v>
      </c>
      <c r="Q2109" t="n">
        <v>-55</v>
      </c>
      <c r="R2109" t="n">
        <v>0.0866</v>
      </c>
      <c r="S2109">
        <f>IMAGE("https://mitra.stanford.edu/kundaje/oak/projects/neuro-variants/variant_position/credible/roussos_2024/variant_figures/roussos_2024.childhood.GABA/rs74177070_count_position.png",4,220,900)</f>
        <v/>
      </c>
      <c r="T2109">
        <f>IMAGE("https://mitra.stanford.edu/kundaje/oak/projects/neuro-variants/variant_position/credible/roussos_2024/variant_figures/roussos_2024.childhood.GABA/rs74177070_profile_position.png",4,220,900)</f>
        <v/>
      </c>
    </row>
    <row r="2110">
      <c r="A2110" t="inlineStr">
        <is>
          <t>chr2</t>
        </is>
      </c>
      <c r="B2110" t="n">
        <v>50826690</v>
      </c>
      <c r="C2110" t="inlineStr">
        <is>
          <t>C</t>
        </is>
      </c>
      <c r="D2110" t="inlineStr">
        <is>
          <t>T</t>
        </is>
      </c>
      <c r="E2110" t="inlineStr">
        <is>
          <t>rs67986063</t>
        </is>
      </c>
      <c r="F2110" t="n">
        <v>-0.00119374348</v>
      </c>
      <c r="G2110" t="n">
        <v>0.6186613339865502</v>
      </c>
      <c r="H2110" t="n">
        <v>0.0197382511661648</v>
      </c>
      <c r="I2110" t="n">
        <v>0.0793038667314207</v>
      </c>
      <c r="J2110" t="n">
        <v>0.0139808590396012</v>
      </c>
      <c r="K2110" t="n">
        <v>0.7052172562828309</v>
      </c>
      <c r="L2110" t="b">
        <v>0</v>
      </c>
      <c r="M2110" t="b">
        <v>0</v>
      </c>
      <c r="N2110" t="inlineStr">
        <is>
          <t>ref</t>
        </is>
      </c>
      <c r="O2110" t="n">
        <v>90</v>
      </c>
      <c r="P2110" t="n">
        <v>0.004204</v>
      </c>
      <c r="Q2110" t="n">
        <v>85</v>
      </c>
      <c r="R2110" t="n">
        <v>0.1445</v>
      </c>
      <c r="S2110">
        <f>IMAGE("https://mitra.stanford.edu/kundaje/oak/projects/neuro-variants/variant_position/credible/roussos_2024/variant_figures/roussos_2024.childhood.GABA/rs67986063_count_position.png",4,220,900)</f>
        <v/>
      </c>
      <c r="T2110">
        <f>IMAGE("https://mitra.stanford.edu/kundaje/oak/projects/neuro-variants/variant_position/credible/roussos_2024/variant_figures/roussos_2024.childhood.GABA/rs67986063_profile_position.png",4,220,900)</f>
        <v/>
      </c>
    </row>
    <row r="2111">
      <c r="A2111" t="inlineStr">
        <is>
          <t>chr2</t>
        </is>
      </c>
      <c r="B2111" t="n">
        <v>50834102</v>
      </c>
      <c r="C2111" t="inlineStr">
        <is>
          <t>T</t>
        </is>
      </c>
      <c r="D2111" t="inlineStr">
        <is>
          <t>C</t>
        </is>
      </c>
      <c r="E2111" t="inlineStr">
        <is>
          <t>rs17504263</t>
        </is>
      </c>
      <c r="F2111" t="n">
        <v>0.0444199246</v>
      </c>
      <c r="G2111" t="n">
        <v>0.1652513425076196</v>
      </c>
      <c r="H2111" t="n">
        <v>0.0147150203690207</v>
      </c>
      <c r="I2111" t="n">
        <v>0.2413631457319639</v>
      </c>
      <c r="J2111" t="n">
        <v>0.0006198823061296</v>
      </c>
      <c r="K2111" t="n">
        <v>0.9488166786724078</v>
      </c>
      <c r="L2111" t="b">
        <v>0</v>
      </c>
      <c r="M2111" t="b">
        <v>0</v>
      </c>
      <c r="N2111" t="inlineStr">
        <is>
          <t>alt</t>
        </is>
      </c>
      <c r="O2111" t="n">
        <v>-5</v>
      </c>
      <c r="P2111" t="n">
        <v>0.001297</v>
      </c>
      <c r="Q2111" t="n">
        <v>100</v>
      </c>
      <c r="R2111" t="n">
        <v>0.04907</v>
      </c>
      <c r="S2111">
        <f>IMAGE("https://mitra.stanford.edu/kundaje/oak/projects/neuro-variants/variant_position/credible/roussos_2024/variant_figures/roussos_2024.childhood.GABA/rs17504263_count_position.png",4,220,900)</f>
        <v/>
      </c>
      <c r="T2111">
        <f>IMAGE("https://mitra.stanford.edu/kundaje/oak/projects/neuro-variants/variant_position/credible/roussos_2024/variant_figures/roussos_2024.childhood.GABA/rs17504263_profile_position.png",4,220,900)</f>
        <v/>
      </c>
    </row>
    <row r="2112">
      <c r="A2112" t="inlineStr">
        <is>
          <t>chr2</t>
        </is>
      </c>
      <c r="B2112" t="n">
        <v>50841977</v>
      </c>
      <c r="C2112" t="inlineStr">
        <is>
          <t>A</t>
        </is>
      </c>
      <c r="D2112" t="inlineStr">
        <is>
          <t>G</t>
        </is>
      </c>
      <c r="E2112" t="inlineStr">
        <is>
          <t>rs17041068</t>
        </is>
      </c>
      <c r="F2112" t="n">
        <v>-0.00304213236</v>
      </c>
      <c r="G2112" t="n">
        <v>0.8623563330852527</v>
      </c>
      <c r="H2112" t="n">
        <v>0.0202146609972584</v>
      </c>
      <c r="I2112" t="n">
        <v>0.0711539224159545</v>
      </c>
      <c r="J2112" t="n">
        <v>0.0145703754895184</v>
      </c>
      <c r="K2112" t="n">
        <v>0.7060254682729535</v>
      </c>
      <c r="L2112" t="b">
        <v>0</v>
      </c>
      <c r="M2112" t="b">
        <v>0</v>
      </c>
      <c r="N2112" t="inlineStr">
        <is>
          <t>ref</t>
        </is>
      </c>
      <c r="O2112" t="n">
        <v>-100</v>
      </c>
      <c r="P2112" t="n">
        <v>0.03226</v>
      </c>
      <c r="Q2112" t="n">
        <v>-95</v>
      </c>
      <c r="R2112" t="n">
        <v>0.1802</v>
      </c>
      <c r="S2112">
        <f>IMAGE("https://mitra.stanford.edu/kundaje/oak/projects/neuro-variants/variant_position/credible/roussos_2024/variant_figures/roussos_2024.childhood.GABA/rs17041068_count_position.png",4,220,900)</f>
        <v/>
      </c>
      <c r="T2112">
        <f>IMAGE("https://mitra.stanford.edu/kundaje/oak/projects/neuro-variants/variant_position/credible/roussos_2024/variant_figures/roussos_2024.childhood.GABA/rs17041068_profile_position.png",4,220,900)</f>
        <v/>
      </c>
    </row>
    <row r="2113">
      <c r="A2113" t="inlineStr">
        <is>
          <t>chr2</t>
        </is>
      </c>
      <c r="B2113" t="n">
        <v>50865054</v>
      </c>
      <c r="C2113" t="inlineStr">
        <is>
          <t>G</t>
        </is>
      </c>
      <c r="D2113" t="inlineStr">
        <is>
          <t>A</t>
        </is>
      </c>
      <c r="E2113" t="inlineStr">
        <is>
          <t>rs67206190</t>
        </is>
      </c>
      <c r="F2113" t="n">
        <v>-0.0468493052</v>
      </c>
      <c r="G2113" t="n">
        <v>0.1622950121827114</v>
      </c>
      <c r="H2113" t="n">
        <v>0.0102594581063123</v>
      </c>
      <c r="I2113" t="n">
        <v>0.6146146712064469</v>
      </c>
      <c r="J2113" t="n">
        <v>0.07693451446043</v>
      </c>
      <c r="K2113" t="n">
        <v>0.4015931034996349</v>
      </c>
      <c r="L2113" t="b">
        <v>0</v>
      </c>
      <c r="M2113" t="b">
        <v>0</v>
      </c>
      <c r="N2113" t="inlineStr">
        <is>
          <t>ref</t>
        </is>
      </c>
      <c r="O2113" t="n">
        <v>90</v>
      </c>
      <c r="P2113" t="n">
        <v>0.0009959999999999999</v>
      </c>
      <c r="Q2113" t="n">
        <v>-85</v>
      </c>
      <c r="R2113" t="n">
        <v>0.0701</v>
      </c>
      <c r="S2113">
        <f>IMAGE("https://mitra.stanford.edu/kundaje/oak/projects/neuro-variants/variant_position/credible/roussos_2024/variant_figures/roussos_2024.childhood.GABA/rs67206190_count_position.png",4,220,900)</f>
        <v/>
      </c>
      <c r="T2113">
        <f>IMAGE("https://mitra.stanford.edu/kundaje/oak/projects/neuro-variants/variant_position/credible/roussos_2024/variant_figures/roussos_2024.childhood.GABA/rs67206190_profile_position.png",4,220,900)</f>
        <v/>
      </c>
    </row>
    <row r="2114">
      <c r="A2114" t="inlineStr">
        <is>
          <t>chr2</t>
        </is>
      </c>
      <c r="B2114" t="n">
        <v>50865455</v>
      </c>
      <c r="C2114" t="inlineStr">
        <is>
          <t>T</t>
        </is>
      </c>
      <c r="D2114" t="inlineStr">
        <is>
          <t>C</t>
        </is>
      </c>
      <c r="E2114" t="inlineStr">
        <is>
          <t>rs66848903</t>
        </is>
      </c>
      <c r="F2114" t="n">
        <v>-0.0440377683999999</v>
      </c>
      <c r="G2114" t="n">
        <v>0.1975154661156149</v>
      </c>
      <c r="H2114" t="n">
        <v>0.016060334342111</v>
      </c>
      <c r="I2114" t="n">
        <v>0.1818362242610957</v>
      </c>
      <c r="J2114" t="n">
        <v>0.0378892588636886</v>
      </c>
      <c r="K2114" t="n">
        <v>0.5358461530795866</v>
      </c>
      <c r="L2114" t="b">
        <v>0</v>
      </c>
      <c r="M2114" t="b">
        <v>0</v>
      </c>
      <c r="N2114" t="inlineStr">
        <is>
          <t>ref</t>
        </is>
      </c>
      <c r="O2114" t="n">
        <v>100</v>
      </c>
      <c r="P2114" t="n">
        <v>0.1113</v>
      </c>
      <c r="Q2114" t="n">
        <v>30</v>
      </c>
      <c r="R2114" t="n">
        <v>0.07654</v>
      </c>
      <c r="S2114">
        <f>IMAGE("https://mitra.stanford.edu/kundaje/oak/projects/neuro-variants/variant_position/credible/roussos_2024/variant_figures/roussos_2024.childhood.GABA/rs66848903_count_position.png",4,220,900)</f>
        <v/>
      </c>
      <c r="T2114">
        <f>IMAGE("https://mitra.stanford.edu/kundaje/oak/projects/neuro-variants/variant_position/credible/roussos_2024/variant_figures/roussos_2024.childhood.GABA/rs66848903_profile_position.png",4,220,900)</f>
        <v/>
      </c>
    </row>
    <row r="2115">
      <c r="A2115" t="inlineStr">
        <is>
          <t>chr2</t>
        </is>
      </c>
      <c r="B2115" t="n">
        <v>54640404</v>
      </c>
      <c r="C2115" t="inlineStr">
        <is>
          <t>C</t>
        </is>
      </c>
      <c r="D2115" t="inlineStr">
        <is>
          <t>A</t>
        </is>
      </c>
      <c r="E2115" t="inlineStr">
        <is>
          <t>rs2941582</t>
        </is>
      </c>
      <c r="F2115" t="n">
        <v>-0.0250138014</v>
      </c>
      <c r="G2115" t="n">
        <v>0.3565872097076218</v>
      </c>
      <c r="H2115" t="n">
        <v>0.0115043337306084</v>
      </c>
      <c r="I2115" t="n">
        <v>0.4787183809608831</v>
      </c>
      <c r="J2115" t="n">
        <v>0.0405666897028334</v>
      </c>
      <c r="K2115" t="n">
        <v>0.5599038879311324</v>
      </c>
      <c r="L2115" t="b">
        <v>0</v>
      </c>
      <c r="M2115" t="b">
        <v>0</v>
      </c>
      <c r="N2115" t="inlineStr">
        <is>
          <t>ref</t>
        </is>
      </c>
      <c r="O2115" t="n">
        <v>90</v>
      </c>
      <c r="P2115" t="n">
        <v>0.00407</v>
      </c>
      <c r="Q2115" t="n">
        <v>100</v>
      </c>
      <c r="R2115" t="n">
        <v>0.04456</v>
      </c>
      <c r="S2115">
        <f>IMAGE("https://mitra.stanford.edu/kundaje/oak/projects/neuro-variants/variant_position/credible/roussos_2024/variant_figures/roussos_2024.childhood.GABA/rs2941582_count_position.png",4,220,900)</f>
        <v/>
      </c>
      <c r="T2115">
        <f>IMAGE("https://mitra.stanford.edu/kundaje/oak/projects/neuro-variants/variant_position/credible/roussos_2024/variant_figures/roussos_2024.childhood.GABA/rs2941582_profile_position.png",4,220,900)</f>
        <v/>
      </c>
    </row>
    <row r="2116">
      <c r="A2116" t="inlineStr">
        <is>
          <t>chr2</t>
        </is>
      </c>
      <c r="B2116" t="n">
        <v>54699238</v>
      </c>
      <c r="C2116" t="inlineStr">
        <is>
          <t>A</t>
        </is>
      </c>
      <c r="D2116" t="inlineStr">
        <is>
          <t>G</t>
        </is>
      </c>
      <c r="E2116" t="inlineStr">
        <is>
          <t>rs354216</t>
        </is>
      </c>
      <c r="F2116" t="n">
        <v>0.00852766068</v>
      </c>
      <c r="G2116" t="n">
        <v>0.5932229258766932</v>
      </c>
      <c r="H2116" t="n">
        <v>0.0198984287983146</v>
      </c>
      <c r="I2116" t="n">
        <v>0.0774456520805407</v>
      </c>
      <c r="J2116" t="n">
        <v>0.3975089526920902</v>
      </c>
      <c r="K2116" t="n">
        <v>0.0846880888700446</v>
      </c>
      <c r="L2116" t="b">
        <v>0</v>
      </c>
      <c r="M2116" t="b">
        <v>0</v>
      </c>
      <c r="N2116" t="inlineStr">
        <is>
          <t>alt</t>
        </is>
      </c>
      <c r="O2116" t="n">
        <v>-100</v>
      </c>
      <c r="P2116" t="n">
        <v>0.07043000000000001</v>
      </c>
      <c r="Q2116" t="n">
        <v>-100</v>
      </c>
      <c r="R2116" t="n">
        <v>0.02234</v>
      </c>
      <c r="S2116">
        <f>IMAGE("https://mitra.stanford.edu/kundaje/oak/projects/neuro-variants/variant_position/credible/roussos_2024/variant_figures/roussos_2024.childhood.GABA/rs354216_count_position.png",4,220,900)</f>
        <v/>
      </c>
      <c r="T2116">
        <f>IMAGE("https://mitra.stanford.edu/kundaje/oak/projects/neuro-variants/variant_position/credible/roussos_2024/variant_figures/roussos_2024.childhood.GABA/rs354216_profile_position.png",4,220,900)</f>
        <v/>
      </c>
    </row>
    <row r="2117">
      <c r="A2117" t="inlineStr">
        <is>
          <t>chr2</t>
        </is>
      </c>
      <c r="B2117" t="n">
        <v>54719299</v>
      </c>
      <c r="C2117" t="inlineStr">
        <is>
          <t>C</t>
        </is>
      </c>
      <c r="D2117" t="inlineStr">
        <is>
          <t>A</t>
        </is>
      </c>
      <c r="E2117" t="inlineStr">
        <is>
          <t>rs73934803</t>
        </is>
      </c>
      <c r="F2117" t="n">
        <v>-0.122892778</v>
      </c>
      <c r="G2117" t="n">
        <v>0.0172820324801195</v>
      </c>
      <c r="H2117" t="n">
        <v>0.0175436372558686</v>
      </c>
      <c r="I2117" t="n">
        <v>0.1350255565284134</v>
      </c>
      <c r="J2117" t="n">
        <v>0.0201849175933487</v>
      </c>
      <c r="K2117" t="n">
        <v>0.6591959641629355</v>
      </c>
      <c r="L2117" t="b">
        <v>1</v>
      </c>
      <c r="M2117" t="b">
        <v>0</v>
      </c>
      <c r="N2117" t="inlineStr">
        <is>
          <t>ref</t>
        </is>
      </c>
      <c r="O2117" t="n">
        <v>-100</v>
      </c>
      <c r="P2117" t="n">
        <v>0.003418</v>
      </c>
      <c r="Q2117" t="n">
        <v>85</v>
      </c>
      <c r="R2117" t="n">
        <v>0.079</v>
      </c>
      <c r="S2117">
        <f>IMAGE("https://mitra.stanford.edu/kundaje/oak/projects/neuro-variants/variant_position/credible/roussos_2024/variant_figures/roussos_2024.childhood.GABA/rs73934803_count_position.png",4,220,900)</f>
        <v/>
      </c>
      <c r="T2117">
        <f>IMAGE("https://mitra.stanford.edu/kundaje/oak/projects/neuro-variants/variant_position/credible/roussos_2024/variant_figures/roussos_2024.childhood.GABA/rs73934803_profile_position.png",4,220,900)</f>
        <v/>
      </c>
    </row>
    <row r="2118">
      <c r="A2118" t="inlineStr">
        <is>
          <t>chr2</t>
        </is>
      </c>
      <c r="B2118" t="n">
        <v>54745089</v>
      </c>
      <c r="C2118" t="inlineStr">
        <is>
          <t>C</t>
        </is>
      </c>
      <c r="D2118" t="inlineStr">
        <is>
          <t>T</t>
        </is>
      </c>
      <c r="E2118" t="inlineStr">
        <is>
          <t>rs148661029</t>
        </is>
      </c>
      <c r="F2118" t="n">
        <v>-0.08678042</v>
      </c>
      <c r="G2118" t="n">
        <v>0.0413926137385636</v>
      </c>
      <c r="H2118" t="n">
        <v>0.0163986923370794</v>
      </c>
      <c r="I2118" t="n">
        <v>0.1663800546737816</v>
      </c>
      <c r="J2118" t="n">
        <v>0.1370568155640718</v>
      </c>
      <c r="K2118" t="n">
        <v>0.2985006921169996</v>
      </c>
      <c r="L2118" t="b">
        <v>0</v>
      </c>
      <c r="M2118" t="b">
        <v>0</v>
      </c>
      <c r="N2118" t="inlineStr">
        <is>
          <t>ref</t>
        </is>
      </c>
      <c r="O2118" t="n">
        <v>-85</v>
      </c>
      <c r="P2118" t="n">
        <v>0.03238</v>
      </c>
      <c r="Q2118" t="n">
        <v>-85</v>
      </c>
      <c r="R2118" t="n">
        <v>0.1782</v>
      </c>
      <c r="S2118">
        <f>IMAGE("https://mitra.stanford.edu/kundaje/oak/projects/neuro-variants/variant_position/credible/roussos_2024/variant_figures/roussos_2024.childhood.GABA/rs148661029_count_position.png",4,220,900)</f>
        <v/>
      </c>
      <c r="T2118">
        <f>IMAGE("https://mitra.stanford.edu/kundaje/oak/projects/neuro-variants/variant_position/credible/roussos_2024/variant_figures/roussos_2024.childhood.GABA/rs148661029_profile_position.png",4,220,900)</f>
        <v/>
      </c>
    </row>
    <row r="2119">
      <c r="A2119" t="inlineStr">
        <is>
          <t>chr2</t>
        </is>
      </c>
      <c r="B2119" t="n">
        <v>57722969</v>
      </c>
      <c r="C2119" t="inlineStr">
        <is>
          <t>G</t>
        </is>
      </c>
      <c r="D2119" t="inlineStr">
        <is>
          <t>A</t>
        </is>
      </c>
      <c r="E2119" t="inlineStr">
        <is>
          <t>rs10180540</t>
        </is>
      </c>
      <c r="F2119" t="n">
        <v>-0.0657687934</v>
      </c>
      <c r="G2119" t="n">
        <v>0.0834460957628303</v>
      </c>
      <c r="H2119" t="n">
        <v>0.0143363656383958</v>
      </c>
      <c r="I2119" t="n">
        <v>0.2663558515912957</v>
      </c>
      <c r="J2119" t="n">
        <v>0.096908965257272</v>
      </c>
      <c r="K2119" t="n">
        <v>0.353719574697812</v>
      </c>
      <c r="L2119" t="b">
        <v>0</v>
      </c>
      <c r="M2119" t="b">
        <v>0</v>
      </c>
      <c r="N2119" t="inlineStr">
        <is>
          <t>ref</t>
        </is>
      </c>
      <c r="O2119" t="n">
        <v>100</v>
      </c>
      <c r="P2119" t="n">
        <v>0.007202</v>
      </c>
      <c r="Q2119" t="n">
        <v>100</v>
      </c>
      <c r="R2119" t="n">
        <v>0.04895</v>
      </c>
      <c r="S2119">
        <f>IMAGE("https://mitra.stanford.edu/kundaje/oak/projects/neuro-variants/variant_position/credible/roussos_2024/variant_figures/roussos_2024.childhood.GABA/rs10180540_count_position.png",4,220,900)</f>
        <v/>
      </c>
      <c r="T2119">
        <f>IMAGE("https://mitra.stanford.edu/kundaje/oak/projects/neuro-variants/variant_position/credible/roussos_2024/variant_figures/roussos_2024.childhood.GABA/rs10180540_profile_position.png",4,220,900)</f>
        <v/>
      </c>
    </row>
    <row r="2120">
      <c r="A2120" t="inlineStr">
        <is>
          <t>chr2</t>
        </is>
      </c>
      <c r="B2120" t="n">
        <v>57734094</v>
      </c>
      <c r="C2120" t="inlineStr">
        <is>
          <t>C</t>
        </is>
      </c>
      <c r="D2120" t="inlineStr">
        <is>
          <t>T</t>
        </is>
      </c>
      <c r="E2120" t="inlineStr">
        <is>
          <t>rs41335055</t>
        </is>
      </c>
      <c r="F2120" t="n">
        <v>-0.004427656414</v>
      </c>
      <c r="G2120" t="n">
        <v>0.836684587168522</v>
      </c>
      <c r="H2120" t="n">
        <v>0.0085066492395007</v>
      </c>
      <c r="I2120" t="n">
        <v>0.7927660050972807</v>
      </c>
      <c r="J2120" t="n">
        <v>0.0345259785135389</v>
      </c>
      <c r="K2120" t="n">
        <v>0.5531069640290321</v>
      </c>
      <c r="L2120" t="b">
        <v>0</v>
      </c>
      <c r="M2120" t="b">
        <v>0</v>
      </c>
      <c r="N2120" t="inlineStr">
        <is>
          <t>ref</t>
        </is>
      </c>
      <c r="O2120" t="n">
        <v>-100</v>
      </c>
      <c r="P2120" t="n">
        <v>0.01066</v>
      </c>
      <c r="Q2120" t="n">
        <v>-100</v>
      </c>
      <c r="R2120" t="n">
        <v>0.1919</v>
      </c>
      <c r="S2120">
        <f>IMAGE("https://mitra.stanford.edu/kundaje/oak/projects/neuro-variants/variant_position/credible/roussos_2024/variant_figures/roussos_2024.childhood.GABA/rs41335055_count_position.png",4,220,900)</f>
        <v/>
      </c>
      <c r="T2120">
        <f>IMAGE("https://mitra.stanford.edu/kundaje/oak/projects/neuro-variants/variant_position/credible/roussos_2024/variant_figures/roussos_2024.childhood.GABA/rs41335055_profile_position.png",4,220,900)</f>
        <v/>
      </c>
    </row>
    <row r="2121">
      <c r="A2121" t="inlineStr">
        <is>
          <t>chr2</t>
        </is>
      </c>
      <c r="B2121" t="n">
        <v>57837206</v>
      </c>
      <c r="C2121" t="inlineStr">
        <is>
          <t>A</t>
        </is>
      </c>
      <c r="D2121" t="inlineStr">
        <is>
          <t>G</t>
        </is>
      </c>
      <c r="E2121" t="inlineStr">
        <is>
          <t>rs77011057</t>
        </is>
      </c>
      <c r="F2121" t="n">
        <v>-0.0205519077</v>
      </c>
      <c r="G2121" t="n">
        <v>0.4249680571920459</v>
      </c>
      <c r="H2121" t="n">
        <v>0.0139848080104011</v>
      </c>
      <c r="I2121" t="n">
        <v>0.2866488565074553</v>
      </c>
      <c r="J2121" t="n">
        <v>0.0069663462545286</v>
      </c>
      <c r="K2121" t="n">
        <v>0.7821683781985017</v>
      </c>
      <c r="L2121" t="b">
        <v>0</v>
      </c>
      <c r="M2121" t="b">
        <v>0</v>
      </c>
      <c r="N2121" t="inlineStr">
        <is>
          <t>ref</t>
        </is>
      </c>
      <c r="O2121" t="n">
        <v>-100</v>
      </c>
      <c r="P2121" t="n">
        <v>0.07367</v>
      </c>
      <c r="Q2121" t="n">
        <v>-80</v>
      </c>
      <c r="R2121" t="n">
        <v>0.1414</v>
      </c>
      <c r="S2121">
        <f>IMAGE("https://mitra.stanford.edu/kundaje/oak/projects/neuro-variants/variant_position/credible/roussos_2024/variant_figures/roussos_2024.childhood.GABA/rs77011057_count_position.png",4,220,900)</f>
        <v/>
      </c>
      <c r="T2121">
        <f>IMAGE("https://mitra.stanford.edu/kundaje/oak/projects/neuro-variants/variant_position/credible/roussos_2024/variant_figures/roussos_2024.childhood.GABA/rs77011057_profile_position.png",4,220,900)</f>
        <v/>
      </c>
    </row>
    <row r="2122">
      <c r="A2122" t="inlineStr">
        <is>
          <t>chr2</t>
        </is>
      </c>
      <c r="B2122" t="n">
        <v>57844611</v>
      </c>
      <c r="C2122" t="inlineStr">
        <is>
          <t>C</t>
        </is>
      </c>
      <c r="D2122" t="inlineStr">
        <is>
          <t>T</t>
        </is>
      </c>
      <c r="E2122" t="inlineStr">
        <is>
          <t>rs79017955</t>
        </is>
      </c>
      <c r="F2122" t="n">
        <v>-0.0066616901199999</v>
      </c>
      <c r="G2122" t="n">
        <v>0.7151639986080826</v>
      </c>
      <c r="H2122" t="n">
        <v>0.0284177984596702</v>
      </c>
      <c r="I2122" t="n">
        <v>0.0169770961622472</v>
      </c>
      <c r="J2122" t="n">
        <v>0.0018146216833154</v>
      </c>
      <c r="K2122" t="n">
        <v>0.8998818568953597</v>
      </c>
      <c r="L2122" t="b">
        <v>0</v>
      </c>
      <c r="M2122" t="b">
        <v>0</v>
      </c>
      <c r="N2122" t="inlineStr">
        <is>
          <t>ref</t>
        </is>
      </c>
      <c r="O2122" t="n">
        <v>-20</v>
      </c>
      <c r="P2122" t="n">
        <v>0.0008583</v>
      </c>
      <c r="Q2122" t="n">
        <v>-95</v>
      </c>
      <c r="R2122" t="n">
        <v>0.06354</v>
      </c>
      <c r="S2122">
        <f>IMAGE("https://mitra.stanford.edu/kundaje/oak/projects/neuro-variants/variant_position/credible/roussos_2024/variant_figures/roussos_2024.childhood.GABA/rs79017955_count_position.png",4,220,900)</f>
        <v/>
      </c>
      <c r="T2122">
        <f>IMAGE("https://mitra.stanford.edu/kundaje/oak/projects/neuro-variants/variant_position/credible/roussos_2024/variant_figures/roussos_2024.childhood.GABA/rs79017955_profile_position.png",4,220,900)</f>
        <v/>
      </c>
    </row>
    <row r="2123">
      <c r="A2123" t="inlineStr">
        <is>
          <t>chr2</t>
        </is>
      </c>
      <c r="B2123" t="n">
        <v>57874972</v>
      </c>
      <c r="C2123" t="inlineStr">
        <is>
          <t>T</t>
        </is>
      </c>
      <c r="D2123" t="inlineStr">
        <is>
          <t>A</t>
        </is>
      </c>
      <c r="E2123" t="inlineStr">
        <is>
          <t>rs59159185</t>
        </is>
      </c>
      <c r="F2123" t="n">
        <v>-0.000692418512</v>
      </c>
      <c r="G2123" t="n">
        <v>0.9263160625471636</v>
      </c>
      <c r="H2123" t="n">
        <v>0.0180400683027881</v>
      </c>
      <c r="I2123" t="n">
        <v>0.1155361716193678</v>
      </c>
      <c r="J2123" t="n">
        <v>0.0072197440891289</v>
      </c>
      <c r="K2123" t="n">
        <v>0.7747863449327504</v>
      </c>
      <c r="L2123" t="b">
        <v>0</v>
      </c>
      <c r="M2123" t="b">
        <v>0</v>
      </c>
      <c r="N2123" t="inlineStr">
        <is>
          <t>ref</t>
        </is>
      </c>
      <c r="O2123" t="n">
        <v>100</v>
      </c>
      <c r="P2123" t="n">
        <v>0.01958</v>
      </c>
      <c r="Q2123" t="n">
        <v>45</v>
      </c>
      <c r="R2123" t="n">
        <v>0.1031</v>
      </c>
      <c r="S2123">
        <f>IMAGE("https://mitra.stanford.edu/kundaje/oak/projects/neuro-variants/variant_position/credible/roussos_2024/variant_figures/roussos_2024.childhood.GABA/rs59159185_count_position.png",4,220,900)</f>
        <v/>
      </c>
      <c r="T2123">
        <f>IMAGE("https://mitra.stanford.edu/kundaje/oak/projects/neuro-variants/variant_position/credible/roussos_2024/variant_figures/roussos_2024.childhood.GABA/rs59159185_profile_position.png",4,220,900)</f>
        <v/>
      </c>
    </row>
    <row r="2124">
      <c r="A2124" t="inlineStr">
        <is>
          <t>chr2</t>
        </is>
      </c>
      <c r="B2124" t="n">
        <v>57883101</v>
      </c>
      <c r="C2124" t="inlineStr">
        <is>
          <t>G</t>
        </is>
      </c>
      <c r="D2124" t="inlineStr">
        <is>
          <t>A</t>
        </is>
      </c>
      <c r="E2124" t="inlineStr">
        <is>
          <t>rs17828225</t>
        </is>
      </c>
      <c r="F2124" t="n">
        <v>-0.116323704</v>
      </c>
      <c r="G2124" t="n">
        <v>0.0196498968590271</v>
      </c>
      <c r="H2124" t="n">
        <v>0.0167308685582614</v>
      </c>
      <c r="I2124" t="n">
        <v>0.1528336595923482</v>
      </c>
      <c r="J2124" t="n">
        <v>0.1266371384892462</v>
      </c>
      <c r="K2124" t="n">
        <v>0.30156021994688</v>
      </c>
      <c r="L2124" t="b">
        <v>1</v>
      </c>
      <c r="M2124" t="b">
        <v>0</v>
      </c>
      <c r="N2124" t="inlineStr">
        <is>
          <t>ref</t>
        </is>
      </c>
      <c r="O2124" t="n">
        <v>-70</v>
      </c>
      <c r="P2124" t="n">
        <v>0.006107</v>
      </c>
      <c r="Q2124" t="n">
        <v>80</v>
      </c>
      <c r="R2124" t="n">
        <v>0.2139</v>
      </c>
      <c r="S2124">
        <f>IMAGE("https://mitra.stanford.edu/kundaje/oak/projects/neuro-variants/variant_position/credible/roussos_2024/variant_figures/roussos_2024.childhood.GABA/rs17828225_count_position.png",4,220,900)</f>
        <v/>
      </c>
      <c r="T2124">
        <f>IMAGE("https://mitra.stanford.edu/kundaje/oak/projects/neuro-variants/variant_position/credible/roussos_2024/variant_figures/roussos_2024.childhood.GABA/rs17828225_profile_position.png",4,220,900)</f>
        <v/>
      </c>
    </row>
    <row r="2125">
      <c r="A2125" t="inlineStr">
        <is>
          <t>chr2</t>
        </is>
      </c>
      <c r="B2125" t="n">
        <v>57892439</v>
      </c>
      <c r="C2125" t="inlineStr">
        <is>
          <t>C</t>
        </is>
      </c>
      <c r="D2125" t="inlineStr">
        <is>
          <t>T</t>
        </is>
      </c>
      <c r="E2125" t="inlineStr">
        <is>
          <t>rs2678915</t>
        </is>
      </c>
      <c r="F2125" t="n">
        <v>0.0182790186</v>
      </c>
      <c r="G2125" t="n">
        <v>0.438851682218886</v>
      </c>
      <c r="H2125" t="n">
        <v>0.0108088570772608</v>
      </c>
      <c r="I2125" t="n">
        <v>0.5267982931059053</v>
      </c>
      <c r="J2125" t="n">
        <v>0.0646457665808045</v>
      </c>
      <c r="K2125" t="n">
        <v>0.4358788652629904</v>
      </c>
      <c r="L2125" t="b">
        <v>0</v>
      </c>
      <c r="M2125" t="b">
        <v>0</v>
      </c>
      <c r="N2125" t="inlineStr">
        <is>
          <t>alt</t>
        </is>
      </c>
      <c r="O2125" t="n">
        <v>90</v>
      </c>
      <c r="P2125" t="n">
        <v>0.00406</v>
      </c>
      <c r="Q2125" t="n">
        <v>-100</v>
      </c>
      <c r="R2125" t="n">
        <v>0.03986</v>
      </c>
      <c r="S2125">
        <f>IMAGE("https://mitra.stanford.edu/kundaje/oak/projects/neuro-variants/variant_position/credible/roussos_2024/variant_figures/roussos_2024.childhood.GABA/rs2678915_count_position.png",4,220,900)</f>
        <v/>
      </c>
      <c r="T2125">
        <f>IMAGE("https://mitra.stanford.edu/kundaje/oak/projects/neuro-variants/variant_position/credible/roussos_2024/variant_figures/roussos_2024.childhood.GABA/rs2678915_profile_position.png",4,220,900)</f>
        <v/>
      </c>
    </row>
    <row r="2126">
      <c r="A2126" t="inlineStr">
        <is>
          <t>chr2</t>
        </is>
      </c>
      <c r="B2126" t="n">
        <v>57892828</v>
      </c>
      <c r="C2126" t="inlineStr">
        <is>
          <t>G</t>
        </is>
      </c>
      <c r="D2126" t="inlineStr">
        <is>
          <t>A</t>
        </is>
      </c>
      <c r="E2126" t="inlineStr">
        <is>
          <t>rs77843640</t>
        </is>
      </c>
      <c r="F2126" t="n">
        <v>0.01623455546</v>
      </c>
      <c r="G2126" t="n">
        <v>0.4557070883021125</v>
      </c>
      <c r="H2126" t="n">
        <v>0.0122480199049909</v>
      </c>
      <c r="I2126" t="n">
        <v>0.3933309650172868</v>
      </c>
      <c r="J2126" t="n">
        <v>0.07643400138216989</v>
      </c>
      <c r="K2126" t="n">
        <v>0.4022277365335281</v>
      </c>
      <c r="L2126" t="b">
        <v>0</v>
      </c>
      <c r="M2126" t="b">
        <v>0</v>
      </c>
      <c r="N2126" t="inlineStr">
        <is>
          <t>alt</t>
        </is>
      </c>
      <c r="O2126" t="n">
        <v>55</v>
      </c>
      <c r="P2126" t="n">
        <v>0.003159</v>
      </c>
      <c r="Q2126" t="n">
        <v>20</v>
      </c>
      <c r="R2126" t="n">
        <v>0.02466</v>
      </c>
      <c r="S2126">
        <f>IMAGE("https://mitra.stanford.edu/kundaje/oak/projects/neuro-variants/variant_position/credible/roussos_2024/variant_figures/roussos_2024.childhood.GABA/rs77843640_count_position.png",4,220,900)</f>
        <v/>
      </c>
      <c r="T2126">
        <f>IMAGE("https://mitra.stanford.edu/kundaje/oak/projects/neuro-variants/variant_position/credible/roussos_2024/variant_figures/roussos_2024.childhood.GABA/rs77843640_profile_position.png",4,220,900)</f>
        <v/>
      </c>
    </row>
    <row r="2127">
      <c r="A2127" t="inlineStr">
        <is>
          <t>chr2</t>
        </is>
      </c>
      <c r="B2127" t="n">
        <v>57921981</v>
      </c>
      <c r="C2127" t="inlineStr">
        <is>
          <t>G</t>
        </is>
      </c>
      <c r="D2127" t="inlineStr">
        <is>
          <t>A</t>
        </is>
      </c>
      <c r="E2127" t="inlineStr">
        <is>
          <t>rs2717007</t>
        </is>
      </c>
      <c r="F2127" t="n">
        <v>-0.0245094574999999</v>
      </c>
      <c r="G2127" t="n">
        <v>0.3556604007027326</v>
      </c>
      <c r="H2127" t="n">
        <v>0.0126681911780454</v>
      </c>
      <c r="I2127" t="n">
        <v>0.3804472238626106</v>
      </c>
      <c r="J2127" t="n">
        <v>0.07480576323008931</v>
      </c>
      <c r="K2127" t="n">
        <v>0.4071472886398676</v>
      </c>
      <c r="L2127" t="b">
        <v>0</v>
      </c>
      <c r="M2127" t="b">
        <v>0</v>
      </c>
      <c r="N2127" t="inlineStr">
        <is>
          <t>ref</t>
        </is>
      </c>
      <c r="O2127" t="n">
        <v>-100</v>
      </c>
      <c r="P2127" t="n">
        <v>0.003273</v>
      </c>
      <c r="Q2127" t="n">
        <v>-100</v>
      </c>
      <c r="R2127" t="n">
        <v>0.1432</v>
      </c>
      <c r="S2127">
        <f>IMAGE("https://mitra.stanford.edu/kundaje/oak/projects/neuro-variants/variant_position/credible/roussos_2024/variant_figures/roussos_2024.childhood.GABA/rs2717007_count_position.png",4,220,900)</f>
        <v/>
      </c>
      <c r="T2127">
        <f>IMAGE("https://mitra.stanford.edu/kundaje/oak/projects/neuro-variants/variant_position/credible/roussos_2024/variant_figures/roussos_2024.childhood.GABA/rs2717007_profile_position.png",4,220,900)</f>
        <v/>
      </c>
    </row>
    <row r="2128">
      <c r="A2128" t="inlineStr">
        <is>
          <t>chr2</t>
        </is>
      </c>
      <c r="B2128" t="n">
        <v>57932338</v>
      </c>
      <c r="C2128" t="inlineStr">
        <is>
          <t>T</t>
        </is>
      </c>
      <c r="D2128" t="inlineStr">
        <is>
          <t>G</t>
        </is>
      </c>
      <c r="E2128" t="inlineStr">
        <is>
          <t>rs2717019</t>
        </is>
      </c>
      <c r="F2128" t="n">
        <v>-0.0320133832999999</v>
      </c>
      <c r="G2128" t="n">
        <v>0.2812556624778426</v>
      </c>
      <c r="H2128" t="n">
        <v>0.0255373496823094</v>
      </c>
      <c r="I2128" t="n">
        <v>0.0262145669565583</v>
      </c>
      <c r="J2128" t="n">
        <v>0.0020030994115306</v>
      </c>
      <c r="K2128" t="n">
        <v>0.8796287926874961</v>
      </c>
      <c r="L2128" t="b">
        <v>0</v>
      </c>
      <c r="M2128" t="b">
        <v>0</v>
      </c>
      <c r="N2128" t="inlineStr">
        <is>
          <t>ref</t>
        </is>
      </c>
      <c r="O2128" t="n">
        <v>-95</v>
      </c>
      <c r="P2128" t="n">
        <v>0.001526</v>
      </c>
      <c r="Q2128" t="n">
        <v>-80</v>
      </c>
      <c r="R2128" t="n">
        <v>0.1553</v>
      </c>
      <c r="S2128">
        <f>IMAGE("https://mitra.stanford.edu/kundaje/oak/projects/neuro-variants/variant_position/credible/roussos_2024/variant_figures/roussos_2024.childhood.GABA/rs2717019_count_position.png",4,220,900)</f>
        <v/>
      </c>
      <c r="T2128">
        <f>IMAGE("https://mitra.stanford.edu/kundaje/oak/projects/neuro-variants/variant_position/credible/roussos_2024/variant_figures/roussos_2024.childhood.GABA/rs2717019_profile_position.png",4,220,900)</f>
        <v/>
      </c>
    </row>
    <row r="2129">
      <c r="A2129" t="inlineStr">
        <is>
          <t>chr2</t>
        </is>
      </c>
      <c r="B2129" t="n">
        <v>57935056</v>
      </c>
      <c r="C2129" t="inlineStr">
        <is>
          <t>A</t>
        </is>
      </c>
      <c r="D2129" t="inlineStr">
        <is>
          <t>G</t>
        </is>
      </c>
      <c r="E2129" t="inlineStr">
        <is>
          <t>rs2678888</t>
        </is>
      </c>
      <c r="F2129" t="n">
        <v>0.0377989591999999</v>
      </c>
      <c r="G2129" t="n">
        <v>0.2165630363069525</v>
      </c>
      <c r="H2129" t="n">
        <v>0.0224995736675078</v>
      </c>
      <c r="I2129" t="n">
        <v>0.0459136799574159</v>
      </c>
      <c r="J2129" t="n">
        <v>0.0039611735879876</v>
      </c>
      <c r="K2129" t="n">
        <v>0.8321759705458404</v>
      </c>
      <c r="L2129" t="b">
        <v>0</v>
      </c>
      <c r="M2129" t="b">
        <v>0</v>
      </c>
      <c r="N2129" t="inlineStr">
        <is>
          <t>alt</t>
        </is>
      </c>
      <c r="O2129" t="n">
        <v>100</v>
      </c>
      <c r="P2129" t="n">
        <v>0.01309</v>
      </c>
      <c r="Q2129" t="n">
        <v>100</v>
      </c>
      <c r="R2129" t="n">
        <v>0.2391</v>
      </c>
      <c r="S2129">
        <f>IMAGE("https://mitra.stanford.edu/kundaje/oak/projects/neuro-variants/variant_position/credible/roussos_2024/variant_figures/roussos_2024.childhood.GABA/rs2678888_count_position.png",4,220,900)</f>
        <v/>
      </c>
      <c r="T2129">
        <f>IMAGE("https://mitra.stanford.edu/kundaje/oak/projects/neuro-variants/variant_position/credible/roussos_2024/variant_figures/roussos_2024.childhood.GABA/rs2678888_profile_position.png",4,220,900)</f>
        <v/>
      </c>
    </row>
    <row r="2130">
      <c r="A2130" t="inlineStr">
        <is>
          <t>chr2</t>
        </is>
      </c>
      <c r="B2130" t="n">
        <v>57939046</v>
      </c>
      <c r="C2130" t="inlineStr">
        <is>
          <t>G</t>
        </is>
      </c>
      <c r="D2130" t="inlineStr">
        <is>
          <t>A</t>
        </is>
      </c>
      <c r="E2130" t="inlineStr">
        <is>
          <t>rs970941</t>
        </is>
      </c>
      <c r="F2130" t="n">
        <v>0.07718534639999999</v>
      </c>
      <c r="G2130" t="n">
        <v>0.0624609425569215</v>
      </c>
      <c r="H2130" t="n">
        <v>0.0142720657837403</v>
      </c>
      <c r="I2130" t="n">
        <v>0.260937751068484</v>
      </c>
      <c r="J2130" t="n">
        <v>0.008032292517434101</v>
      </c>
      <c r="K2130" t="n">
        <v>0.7713405096420695</v>
      </c>
      <c r="L2130" t="b">
        <v>0</v>
      </c>
      <c r="M2130" t="b">
        <v>0</v>
      </c>
      <c r="N2130" t="inlineStr">
        <is>
          <t>alt</t>
        </is>
      </c>
      <c r="O2130" t="n">
        <v>-70</v>
      </c>
      <c r="P2130" t="n">
        <v>0.003271</v>
      </c>
      <c r="Q2130" t="n">
        <v>-75</v>
      </c>
      <c r="R2130" t="n">
        <v>0.08984</v>
      </c>
      <c r="S2130">
        <f>IMAGE("https://mitra.stanford.edu/kundaje/oak/projects/neuro-variants/variant_position/credible/roussos_2024/variant_figures/roussos_2024.childhood.GABA/rs970941_count_position.png",4,220,900)</f>
        <v/>
      </c>
      <c r="T2130">
        <f>IMAGE("https://mitra.stanford.edu/kundaje/oak/projects/neuro-variants/variant_position/credible/roussos_2024/variant_figures/roussos_2024.childhood.GABA/rs970941_profile_position.png",4,220,900)</f>
        <v/>
      </c>
    </row>
    <row r="2131">
      <c r="A2131" t="inlineStr">
        <is>
          <t>chr2</t>
        </is>
      </c>
      <c r="B2131" t="n">
        <v>57939508</v>
      </c>
      <c r="C2131" t="inlineStr">
        <is>
          <t>T</t>
        </is>
      </c>
      <c r="D2131" t="inlineStr">
        <is>
          <t>G</t>
        </is>
      </c>
      <c r="E2131" t="inlineStr">
        <is>
          <t>rs2678891</t>
        </is>
      </c>
      <c r="F2131" t="n">
        <v>0.000742084346</v>
      </c>
      <c r="G2131" t="n">
        <v>0.8402839253810184</v>
      </c>
      <c r="H2131" t="n">
        <v>0.0214884197532448</v>
      </c>
      <c r="I2131" t="n">
        <v>0.0549452649525482</v>
      </c>
      <c r="J2131" t="n">
        <v>0.0003937090322715</v>
      </c>
      <c r="K2131" t="n">
        <v>0.9470922724496864</v>
      </c>
      <c r="L2131" t="b">
        <v>0</v>
      </c>
      <c r="M2131" t="b">
        <v>0</v>
      </c>
      <c r="N2131" t="inlineStr">
        <is>
          <t>alt</t>
        </is>
      </c>
      <c r="O2131" t="n">
        <v>-100</v>
      </c>
      <c r="P2131" t="n">
        <v>0.003265</v>
      </c>
      <c r="Q2131" t="n">
        <v>-45</v>
      </c>
      <c r="R2131" t="n">
        <v>0.05957</v>
      </c>
      <c r="S2131">
        <f>IMAGE("https://mitra.stanford.edu/kundaje/oak/projects/neuro-variants/variant_position/credible/roussos_2024/variant_figures/roussos_2024.childhood.GABA/rs2678891_count_position.png",4,220,900)</f>
        <v/>
      </c>
      <c r="T2131">
        <f>IMAGE("https://mitra.stanford.edu/kundaje/oak/projects/neuro-variants/variant_position/credible/roussos_2024/variant_figures/roussos_2024.childhood.GABA/rs2678891_profile_position.png",4,220,900)</f>
        <v/>
      </c>
    </row>
    <row r="2132">
      <c r="A2132" t="inlineStr">
        <is>
          <t>chr2</t>
        </is>
      </c>
      <c r="B2132" t="n">
        <v>57943026</v>
      </c>
      <c r="C2132" t="inlineStr">
        <is>
          <t>C</t>
        </is>
      </c>
      <c r="D2132" t="inlineStr">
        <is>
          <t>A</t>
        </is>
      </c>
      <c r="E2132" t="inlineStr">
        <is>
          <t>rs1568254</t>
        </is>
      </c>
      <c r="F2132" t="n">
        <v>-0.0321380006</v>
      </c>
      <c r="G2132" t="n">
        <v>0.2892896268205011</v>
      </c>
      <c r="H2132" t="n">
        <v>0.0195524356397573</v>
      </c>
      <c r="I2132" t="n">
        <v>0.08186161692883689</v>
      </c>
      <c r="J2132" t="n">
        <v>0.0127473770182823</v>
      </c>
      <c r="K2132" t="n">
        <v>0.7058524617770887</v>
      </c>
      <c r="L2132" t="b">
        <v>0</v>
      </c>
      <c r="M2132" t="b">
        <v>0</v>
      </c>
      <c r="N2132" t="inlineStr">
        <is>
          <t>ref</t>
        </is>
      </c>
      <c r="O2132" t="n">
        <v>25</v>
      </c>
      <c r="P2132" t="n">
        <v>0.000801</v>
      </c>
      <c r="Q2132" t="n">
        <v>10</v>
      </c>
      <c r="R2132" t="n">
        <v>0.0155</v>
      </c>
      <c r="S2132">
        <f>IMAGE("https://mitra.stanford.edu/kundaje/oak/projects/neuro-variants/variant_position/credible/roussos_2024/variant_figures/roussos_2024.childhood.GABA/rs1568254_count_position.png",4,220,900)</f>
        <v/>
      </c>
      <c r="T2132">
        <f>IMAGE("https://mitra.stanford.edu/kundaje/oak/projects/neuro-variants/variant_position/credible/roussos_2024/variant_figures/roussos_2024.childhood.GABA/rs1568254_profile_position.png",4,220,900)</f>
        <v/>
      </c>
    </row>
    <row r="2133">
      <c r="A2133" t="inlineStr">
        <is>
          <t>chr2</t>
        </is>
      </c>
      <c r="B2133" t="n">
        <v>57944085</v>
      </c>
      <c r="C2133" t="inlineStr">
        <is>
          <t>A</t>
        </is>
      </c>
      <c r="D2133" t="inlineStr">
        <is>
          <t>C</t>
        </is>
      </c>
      <c r="E2133" t="inlineStr">
        <is>
          <t>rs1518393</t>
        </is>
      </c>
      <c r="F2133" t="n">
        <v>-0.01922172896</v>
      </c>
      <c r="G2133" t="n">
        <v>0.468933663077333</v>
      </c>
      <c r="H2133" t="n">
        <v>0.0308683776220301</v>
      </c>
      <c r="I2133" t="n">
        <v>0.0112826034002881</v>
      </c>
      <c r="J2133" t="n">
        <v>0.1044114259387237</v>
      </c>
      <c r="K2133" t="n">
        <v>0.341749443989793</v>
      </c>
      <c r="L2133" t="b">
        <v>1</v>
      </c>
      <c r="M2133" t="b">
        <v>0</v>
      </c>
      <c r="N2133" t="inlineStr">
        <is>
          <t>ref</t>
        </is>
      </c>
      <c r="O2133" t="n">
        <v>-100</v>
      </c>
      <c r="P2133" t="n">
        <v>0.004684</v>
      </c>
      <c r="Q2133" t="n">
        <v>-100</v>
      </c>
      <c r="R2133" t="n">
        <v>0.1503</v>
      </c>
      <c r="S2133">
        <f>IMAGE("https://mitra.stanford.edu/kundaje/oak/projects/neuro-variants/variant_position/credible/roussos_2024/variant_figures/roussos_2024.childhood.GABA/rs1518393_count_position.png",4,220,900)</f>
        <v/>
      </c>
      <c r="T2133">
        <f>IMAGE("https://mitra.stanford.edu/kundaje/oak/projects/neuro-variants/variant_position/credible/roussos_2024/variant_figures/roussos_2024.childhood.GABA/rs1518393_profile_position.png",4,220,900)</f>
        <v/>
      </c>
    </row>
    <row r="2134">
      <c r="A2134" t="inlineStr">
        <is>
          <t>chr2</t>
        </is>
      </c>
      <c r="B2134" t="n">
        <v>57946820</v>
      </c>
      <c r="C2134" t="inlineStr">
        <is>
          <t>G</t>
        </is>
      </c>
      <c r="D2134" t="inlineStr">
        <is>
          <t>C</t>
        </is>
      </c>
      <c r="E2134" t="inlineStr">
        <is>
          <t>rs59913344</t>
        </is>
      </c>
      <c r="F2134" t="n">
        <v>-0.0407236942</v>
      </c>
      <c r="G2134" t="n">
        <v>0.1983332486286474</v>
      </c>
      <c r="H2134" t="n">
        <v>0.0138949387942832</v>
      </c>
      <c r="I2134" t="n">
        <v>0.2957836043528459</v>
      </c>
      <c r="J2134" t="n">
        <v>0.0038103914054155</v>
      </c>
      <c r="K2134" t="n">
        <v>0.8316209253025525</v>
      </c>
      <c r="L2134" t="b">
        <v>0</v>
      </c>
      <c r="M2134" t="b">
        <v>0</v>
      </c>
      <c r="N2134" t="inlineStr">
        <is>
          <t>ref</t>
        </is>
      </c>
      <c r="O2134" t="n">
        <v>95</v>
      </c>
      <c r="P2134" t="n">
        <v>0.01291</v>
      </c>
      <c r="Q2134" t="n">
        <v>65</v>
      </c>
      <c r="R2134" t="n">
        <v>0.05383</v>
      </c>
      <c r="S2134">
        <f>IMAGE("https://mitra.stanford.edu/kundaje/oak/projects/neuro-variants/variant_position/credible/roussos_2024/variant_figures/roussos_2024.childhood.GABA/rs59913344_count_position.png",4,220,900)</f>
        <v/>
      </c>
      <c r="T2134">
        <f>IMAGE("https://mitra.stanford.edu/kundaje/oak/projects/neuro-variants/variant_position/credible/roussos_2024/variant_figures/roussos_2024.childhood.GABA/rs59913344_profile_position.png",4,220,900)</f>
        <v/>
      </c>
    </row>
    <row r="2135">
      <c r="A2135" t="inlineStr">
        <is>
          <t>chr2</t>
        </is>
      </c>
      <c r="B2135" t="n">
        <v>57983104</v>
      </c>
      <c r="C2135" t="inlineStr">
        <is>
          <t>T</t>
        </is>
      </c>
      <c r="D2135" t="inlineStr">
        <is>
          <t>C</t>
        </is>
      </c>
      <c r="E2135" t="inlineStr">
        <is>
          <t>rs6732310</t>
        </is>
      </c>
      <c r="F2135" t="n">
        <v>0.0289494649999999</v>
      </c>
      <c r="G2135" t="n">
        <v>0.2797196772205906</v>
      </c>
      <c r="H2135" t="n">
        <v>0.0110203143235264</v>
      </c>
      <c r="I2135" t="n">
        <v>0.5372883983567277</v>
      </c>
      <c r="J2135" t="n">
        <v>0.0935362610207115</v>
      </c>
      <c r="K2135" t="n">
        <v>0.3783478178876212</v>
      </c>
      <c r="L2135" t="b">
        <v>0</v>
      </c>
      <c r="M2135" t="b">
        <v>0</v>
      </c>
      <c r="N2135" t="inlineStr">
        <is>
          <t>alt</t>
        </is>
      </c>
      <c r="O2135" t="n">
        <v>-85</v>
      </c>
      <c r="P2135" t="n">
        <v>0.000862</v>
      </c>
      <c r="Q2135" t="n">
        <v>20</v>
      </c>
      <c r="R2135" t="n">
        <v>0.009889999999999999</v>
      </c>
      <c r="S2135">
        <f>IMAGE("https://mitra.stanford.edu/kundaje/oak/projects/neuro-variants/variant_position/credible/roussos_2024/variant_figures/roussos_2024.childhood.GABA/rs6732310_count_position.png",4,220,900)</f>
        <v/>
      </c>
      <c r="T2135">
        <f>IMAGE("https://mitra.stanford.edu/kundaje/oak/projects/neuro-variants/variant_position/credible/roussos_2024/variant_figures/roussos_2024.childhood.GABA/rs6732310_profile_position.png",4,220,900)</f>
        <v/>
      </c>
    </row>
    <row r="2136">
      <c r="A2136" t="inlineStr">
        <is>
          <t>chr2</t>
        </is>
      </c>
      <c r="B2136" t="n">
        <v>58011459</v>
      </c>
      <c r="C2136" t="inlineStr">
        <is>
          <t>T</t>
        </is>
      </c>
      <c r="D2136" t="inlineStr">
        <is>
          <t>C</t>
        </is>
      </c>
      <c r="E2136" t="inlineStr">
        <is>
          <t>rs17049298</t>
        </is>
      </c>
      <c r="F2136" t="n">
        <v>-0.09536559439999991</v>
      </c>
      <c r="G2136" t="n">
        <v>0.0391558999336667</v>
      </c>
      <c r="H2136" t="n">
        <v>0.0205183228827541</v>
      </c>
      <c r="I2136" t="n">
        <v>0.07050040948882839</v>
      </c>
      <c r="J2136" t="n">
        <v>0.0189692362463612</v>
      </c>
      <c r="K2136" t="n">
        <v>0.6503178073424919</v>
      </c>
      <c r="L2136" t="b">
        <v>0</v>
      </c>
      <c r="M2136" t="b">
        <v>0</v>
      </c>
      <c r="N2136" t="inlineStr">
        <is>
          <t>ref</t>
        </is>
      </c>
      <c r="O2136" t="n">
        <v>100</v>
      </c>
      <c r="P2136" t="n">
        <v>0.03372</v>
      </c>
      <c r="Q2136" t="n">
        <v>-70</v>
      </c>
      <c r="R2136" t="n">
        <v>0.07969999999999999</v>
      </c>
      <c r="S2136">
        <f>IMAGE("https://mitra.stanford.edu/kundaje/oak/projects/neuro-variants/variant_position/credible/roussos_2024/variant_figures/roussos_2024.childhood.GABA/rs17049298_count_position.png",4,220,900)</f>
        <v/>
      </c>
      <c r="T2136">
        <f>IMAGE("https://mitra.stanford.edu/kundaje/oak/projects/neuro-variants/variant_position/credible/roussos_2024/variant_figures/roussos_2024.childhood.GABA/rs17049298_profile_position.png",4,220,900)</f>
        <v/>
      </c>
    </row>
    <row r="2137">
      <c r="A2137" t="inlineStr">
        <is>
          <t>chr2</t>
        </is>
      </c>
      <c r="B2137" t="n">
        <v>58053663</v>
      </c>
      <c r="C2137" t="inlineStr">
        <is>
          <t>A</t>
        </is>
      </c>
      <c r="D2137" t="inlineStr">
        <is>
          <t>C</t>
        </is>
      </c>
      <c r="E2137" t="inlineStr">
        <is>
          <t>rs3771204</t>
        </is>
      </c>
      <c r="F2137" t="n">
        <v>0.039155688</v>
      </c>
      <c r="G2137" t="n">
        <v>0.2057262229087001</v>
      </c>
      <c r="H2137" t="n">
        <v>0.0139101627683472</v>
      </c>
      <c r="I2137" t="n">
        <v>0.2861543601701428</v>
      </c>
      <c r="J2137" t="n">
        <v>0.0086134321794307</v>
      </c>
      <c r="K2137" t="n">
        <v>0.7655230351837464</v>
      </c>
      <c r="L2137" t="b">
        <v>0</v>
      </c>
      <c r="M2137" t="b">
        <v>0</v>
      </c>
      <c r="N2137" t="inlineStr">
        <is>
          <t>alt</t>
        </is>
      </c>
      <c r="O2137" t="n">
        <v>-100</v>
      </c>
      <c r="P2137" t="n">
        <v>0.00844</v>
      </c>
      <c r="Q2137" t="n">
        <v>65</v>
      </c>
      <c r="R2137" t="n">
        <v>0.099</v>
      </c>
      <c r="S2137">
        <f>IMAGE("https://mitra.stanford.edu/kundaje/oak/projects/neuro-variants/variant_position/credible/roussos_2024/variant_figures/roussos_2024.childhood.GABA/rs3771204_count_position.png",4,220,900)</f>
        <v/>
      </c>
      <c r="T2137">
        <f>IMAGE("https://mitra.stanford.edu/kundaje/oak/projects/neuro-variants/variant_position/credible/roussos_2024/variant_figures/roussos_2024.childhood.GABA/rs3771204_profile_position.png",4,220,900)</f>
        <v/>
      </c>
    </row>
    <row r="2138">
      <c r="A2138" t="inlineStr">
        <is>
          <t>chr2</t>
        </is>
      </c>
      <c r="B2138" t="n">
        <v>58084549</v>
      </c>
      <c r="C2138" t="inlineStr">
        <is>
          <t>T</t>
        </is>
      </c>
      <c r="D2138" t="inlineStr">
        <is>
          <t>C</t>
        </is>
      </c>
      <c r="E2138" t="inlineStr">
        <is>
          <t>rs12620940</t>
        </is>
      </c>
      <c r="F2138" t="n">
        <v>0.1511617348</v>
      </c>
      <c r="G2138" t="n">
        <v>0.0129836312919444</v>
      </c>
      <c r="H2138" t="n">
        <v>0.0218591148141388</v>
      </c>
      <c r="I2138" t="n">
        <v>0.0536407933743742</v>
      </c>
      <c r="J2138" t="n">
        <v>0.0057108751649179</v>
      </c>
      <c r="K2138" t="n">
        <v>0.8065331507679673</v>
      </c>
      <c r="L2138" t="b">
        <v>1</v>
      </c>
      <c r="M2138" t="b">
        <v>0</v>
      </c>
      <c r="N2138" t="inlineStr">
        <is>
          <t>alt</t>
        </is>
      </c>
      <c r="O2138" t="n">
        <v>80</v>
      </c>
      <c r="P2138" t="n">
        <v>0.004433</v>
      </c>
      <c r="Q2138" t="n">
        <v>-55</v>
      </c>
      <c r="R2138" t="n">
        <v>0.00928</v>
      </c>
      <c r="S2138">
        <f>IMAGE("https://mitra.stanford.edu/kundaje/oak/projects/neuro-variants/variant_position/credible/roussos_2024/variant_figures/roussos_2024.childhood.GABA/rs12620940_count_position.png",4,220,900)</f>
        <v/>
      </c>
      <c r="T2138">
        <f>IMAGE("https://mitra.stanford.edu/kundaje/oak/projects/neuro-variants/variant_position/credible/roussos_2024/variant_figures/roussos_2024.childhood.GABA/rs12620940_profile_position.png",4,220,900)</f>
        <v/>
      </c>
    </row>
    <row r="2139">
      <c r="A2139" t="inlineStr">
        <is>
          <t>chr2</t>
        </is>
      </c>
      <c r="B2139" t="n">
        <v>58095091</v>
      </c>
      <c r="C2139" t="inlineStr">
        <is>
          <t>A</t>
        </is>
      </c>
      <c r="D2139" t="inlineStr">
        <is>
          <t>C</t>
        </is>
      </c>
      <c r="E2139" t="inlineStr">
        <is>
          <t>rs2118899</t>
        </is>
      </c>
      <c r="F2139" t="n">
        <v>0.00727438118</v>
      </c>
      <c r="G2139" t="n">
        <v>0.6876001640517841</v>
      </c>
      <c r="H2139" t="n">
        <v>0.0277139410687942</v>
      </c>
      <c r="I2139" t="n">
        <v>0.0179893437690633</v>
      </c>
      <c r="J2139" t="n">
        <v>0.0078113547360264</v>
      </c>
      <c r="K2139" t="n">
        <v>0.7742842083121921</v>
      </c>
      <c r="L2139" t="b">
        <v>0</v>
      </c>
      <c r="M2139" t="b">
        <v>0</v>
      </c>
      <c r="N2139" t="inlineStr">
        <is>
          <t>alt</t>
        </is>
      </c>
      <c r="O2139" t="n">
        <v>100</v>
      </c>
      <c r="P2139" t="n">
        <v>0.068</v>
      </c>
      <c r="Q2139" t="n">
        <v>65</v>
      </c>
      <c r="R2139" t="n">
        <v>0.0818</v>
      </c>
      <c r="S2139">
        <f>IMAGE("https://mitra.stanford.edu/kundaje/oak/projects/neuro-variants/variant_position/credible/roussos_2024/variant_figures/roussos_2024.childhood.GABA/rs2118899_count_position.png",4,220,900)</f>
        <v/>
      </c>
      <c r="T2139">
        <f>IMAGE("https://mitra.stanford.edu/kundaje/oak/projects/neuro-variants/variant_position/credible/roussos_2024/variant_figures/roussos_2024.childhood.GABA/rs2118899_profile_position.png",4,220,900)</f>
        <v/>
      </c>
    </row>
    <row r="2140">
      <c r="A2140" t="inlineStr">
        <is>
          <t>chr2</t>
        </is>
      </c>
      <c r="B2140" t="n">
        <v>58136314</v>
      </c>
      <c r="C2140" t="inlineStr">
        <is>
          <t>A</t>
        </is>
      </c>
      <c r="D2140" t="inlineStr">
        <is>
          <t>C</t>
        </is>
      </c>
      <c r="E2140" t="inlineStr">
        <is>
          <t>rs17049366</t>
        </is>
      </c>
      <c r="F2140" t="n">
        <v>-0.0066101326399999</v>
      </c>
      <c r="G2140" t="n">
        <v>0.6863288340261013</v>
      </c>
      <c r="H2140" t="n">
        <v>0.0323535590588206</v>
      </c>
      <c r="I2140" t="n">
        <v>0.009096533201358</v>
      </c>
      <c r="J2140" t="n">
        <v>0.0232738581390965</v>
      </c>
      <c r="K2140" t="n">
        <v>0.6255131219183634</v>
      </c>
      <c r="L2140" t="b">
        <v>1</v>
      </c>
      <c r="M2140" t="b">
        <v>0</v>
      </c>
      <c r="N2140" t="inlineStr">
        <is>
          <t>ref</t>
        </is>
      </c>
      <c r="O2140" t="n">
        <v>-45</v>
      </c>
      <c r="P2140" t="n">
        <v>0.011475</v>
      </c>
      <c r="Q2140" t="n">
        <v>75</v>
      </c>
      <c r="R2140" t="n">
        <v>0.04993</v>
      </c>
      <c r="S2140">
        <f>IMAGE("https://mitra.stanford.edu/kundaje/oak/projects/neuro-variants/variant_position/credible/roussos_2024/variant_figures/roussos_2024.childhood.GABA/rs17049366_count_position.png",4,220,900)</f>
        <v/>
      </c>
      <c r="T2140">
        <f>IMAGE("https://mitra.stanford.edu/kundaje/oak/projects/neuro-variants/variant_position/credible/roussos_2024/variant_figures/roussos_2024.childhood.GABA/rs17049366_profile_position.png",4,220,900)</f>
        <v/>
      </c>
    </row>
    <row r="2141">
      <c r="A2141" t="inlineStr">
        <is>
          <t>chr2</t>
        </is>
      </c>
      <c r="B2141" t="n">
        <v>58155355</v>
      </c>
      <c r="C2141" t="inlineStr">
        <is>
          <t>G</t>
        </is>
      </c>
      <c r="D2141" t="inlineStr">
        <is>
          <t>A</t>
        </is>
      </c>
      <c r="E2141" t="inlineStr">
        <is>
          <t>rs848293</t>
        </is>
      </c>
      <c r="F2141" t="n">
        <v>-0.0146839706</v>
      </c>
      <c r="G2141" t="n">
        <v>0.522691487353299</v>
      </c>
      <c r="H2141" t="n">
        <v>0.0122937896553103</v>
      </c>
      <c r="I2141" t="n">
        <v>0.4122760479272732</v>
      </c>
      <c r="J2141" t="n">
        <v>0.167507486754204</v>
      </c>
      <c r="K2141" t="n">
        <v>0.2508477476144685</v>
      </c>
      <c r="L2141" t="b">
        <v>0</v>
      </c>
      <c r="M2141" t="b">
        <v>0</v>
      </c>
      <c r="N2141" t="inlineStr">
        <is>
          <t>ref</t>
        </is>
      </c>
      <c r="O2141" t="n">
        <v>-100</v>
      </c>
      <c r="P2141" t="n">
        <v>0.02252</v>
      </c>
      <c r="Q2141" t="n">
        <v>-100</v>
      </c>
      <c r="R2141" t="n">
        <v>0.1228</v>
      </c>
      <c r="S2141">
        <f>IMAGE("https://mitra.stanford.edu/kundaje/oak/projects/neuro-variants/variant_position/credible/roussos_2024/variant_figures/roussos_2024.childhood.GABA/rs848293_count_position.png",4,220,900)</f>
        <v/>
      </c>
      <c r="T2141">
        <f>IMAGE("https://mitra.stanford.edu/kundaje/oak/projects/neuro-variants/variant_position/credible/roussos_2024/variant_figures/roussos_2024.childhood.GABA/rs848293_profile_position.png",4,220,900)</f>
        <v/>
      </c>
    </row>
    <row r="2142">
      <c r="A2142" t="inlineStr">
        <is>
          <t>chr2</t>
        </is>
      </c>
      <c r="B2142" t="n">
        <v>58211263</v>
      </c>
      <c r="C2142" t="inlineStr">
        <is>
          <t>T</t>
        </is>
      </c>
      <c r="D2142" t="inlineStr">
        <is>
          <t>C</t>
        </is>
      </c>
      <c r="E2142" t="inlineStr">
        <is>
          <t>rs113506287</t>
        </is>
      </c>
      <c r="F2142" t="n">
        <v>0.06406166200000001</v>
      </c>
      <c r="G2142" t="n">
        <v>0.08242741430443271</v>
      </c>
      <c r="H2142" t="n">
        <v>0.0128193107912857</v>
      </c>
      <c r="I2142" t="n">
        <v>0.3706355483950366</v>
      </c>
      <c r="J2142" t="n">
        <v>0.2131578396263952</v>
      </c>
      <c r="K2142" t="n">
        <v>0.2063712983641398</v>
      </c>
      <c r="L2142" t="b">
        <v>0</v>
      </c>
      <c r="M2142" t="b">
        <v>0</v>
      </c>
      <c r="N2142" t="inlineStr">
        <is>
          <t>alt</t>
        </is>
      </c>
      <c r="O2142" t="n">
        <v>50</v>
      </c>
      <c r="P2142" t="n">
        <v>0.001004</v>
      </c>
      <c r="Q2142" t="n">
        <v>10</v>
      </c>
      <c r="R2142" t="n">
        <v>0.008545000000000001</v>
      </c>
      <c r="S2142">
        <f>IMAGE("https://mitra.stanford.edu/kundaje/oak/projects/neuro-variants/variant_position/credible/roussos_2024/variant_figures/roussos_2024.childhood.GABA/rs113506287_count_position.png",4,220,900)</f>
        <v/>
      </c>
      <c r="T2142">
        <f>IMAGE("https://mitra.stanford.edu/kundaje/oak/projects/neuro-variants/variant_position/credible/roussos_2024/variant_figures/roussos_2024.childhood.GABA/rs113506287_profile_position.png",4,220,900)</f>
        <v/>
      </c>
    </row>
    <row r="2143">
      <c r="A2143" t="inlineStr">
        <is>
          <t>chr2</t>
        </is>
      </c>
      <c r="B2143" t="n">
        <v>58225396</v>
      </c>
      <c r="C2143" t="inlineStr">
        <is>
          <t>G</t>
        </is>
      </c>
      <c r="D2143" t="inlineStr">
        <is>
          <t>A</t>
        </is>
      </c>
      <c r="E2143" t="inlineStr">
        <is>
          <t>rs79064653</t>
        </is>
      </c>
      <c r="F2143" t="n">
        <v>-0.0170701472</v>
      </c>
      <c r="G2143" t="n">
        <v>0.4083166050036143</v>
      </c>
      <c r="H2143" t="n">
        <v>0.0255860578557706</v>
      </c>
      <c r="I2143" t="n">
        <v>0.0254591696183696</v>
      </c>
      <c r="J2143" t="n">
        <v>0.0059642729995182</v>
      </c>
      <c r="K2143" t="n">
        <v>0.8342139904426815</v>
      </c>
      <c r="L2143" t="b">
        <v>0</v>
      </c>
      <c r="M2143" t="b">
        <v>0</v>
      </c>
      <c r="N2143" t="inlineStr">
        <is>
          <t>ref</t>
        </is>
      </c>
      <c r="O2143" t="n">
        <v>-100</v>
      </c>
      <c r="P2143" t="n">
        <v>0.0504</v>
      </c>
      <c r="Q2143" t="n">
        <v>-30</v>
      </c>
      <c r="R2143" t="n">
        <v>0.0426</v>
      </c>
      <c r="S2143">
        <f>IMAGE("https://mitra.stanford.edu/kundaje/oak/projects/neuro-variants/variant_position/credible/roussos_2024/variant_figures/roussos_2024.childhood.GABA/rs79064653_count_position.png",4,220,900)</f>
        <v/>
      </c>
      <c r="T2143">
        <f>IMAGE("https://mitra.stanford.edu/kundaje/oak/projects/neuro-variants/variant_position/credible/roussos_2024/variant_figures/roussos_2024.childhood.GABA/rs79064653_profile_position.png",4,220,900)</f>
        <v/>
      </c>
    </row>
    <row r="2144">
      <c r="A2144" t="inlineStr">
        <is>
          <t>chr2</t>
        </is>
      </c>
      <c r="B2144" t="n">
        <v>58226795</v>
      </c>
      <c r="C2144" t="inlineStr">
        <is>
          <t>A</t>
        </is>
      </c>
      <c r="D2144" t="inlineStr">
        <is>
          <t>G</t>
        </is>
      </c>
      <c r="E2144" t="inlineStr">
        <is>
          <t>rs79588315</t>
        </is>
      </c>
      <c r="F2144" t="n">
        <v>-0.0373071589</v>
      </c>
      <c r="G2144" t="n">
        <v>0.2548913862525144</v>
      </c>
      <c r="H2144" t="n">
        <v>0.0279437822473098</v>
      </c>
      <c r="I2144" t="n">
        <v>0.0179569594852985</v>
      </c>
      <c r="J2144" t="n">
        <v>0.0147452409373625</v>
      </c>
      <c r="K2144" t="n">
        <v>0.6972502988581154</v>
      </c>
      <c r="L2144" t="b">
        <v>1</v>
      </c>
      <c r="M2144" t="b">
        <v>0</v>
      </c>
      <c r="N2144" t="inlineStr">
        <is>
          <t>ref</t>
        </is>
      </c>
      <c r="O2144" t="n">
        <v>-45</v>
      </c>
      <c r="P2144" t="n">
        <v>0.00482</v>
      </c>
      <c r="Q2144" t="n">
        <v>-100</v>
      </c>
      <c r="R2144" t="n">
        <v>0.1296</v>
      </c>
      <c r="S2144">
        <f>IMAGE("https://mitra.stanford.edu/kundaje/oak/projects/neuro-variants/variant_position/credible/roussos_2024/variant_figures/roussos_2024.childhood.GABA/rs79588315_count_position.png",4,220,900)</f>
        <v/>
      </c>
      <c r="T2144">
        <f>IMAGE("https://mitra.stanford.edu/kundaje/oak/projects/neuro-variants/variant_position/credible/roussos_2024/variant_figures/roussos_2024.childhood.GABA/rs79588315_profile_position.png",4,220,900)</f>
        <v/>
      </c>
    </row>
    <row r="2145">
      <c r="A2145" t="inlineStr">
        <is>
          <t>chr2</t>
        </is>
      </c>
      <c r="B2145" t="n">
        <v>58235134</v>
      </c>
      <c r="C2145" t="inlineStr">
        <is>
          <t>G</t>
        </is>
      </c>
      <c r="D2145" t="inlineStr">
        <is>
          <t>A</t>
        </is>
      </c>
      <c r="E2145" t="inlineStr">
        <is>
          <t>rs80099621</t>
        </is>
      </c>
      <c r="F2145" t="n">
        <v>-0.0902222709999999</v>
      </c>
      <c r="G2145" t="n">
        <v>0.0395072624536395</v>
      </c>
      <c r="H2145" t="n">
        <v>0.0163379176034945</v>
      </c>
      <c r="I2145" t="n">
        <v>0.1678972530486773</v>
      </c>
      <c r="J2145" t="n">
        <v>0.011397667064564</v>
      </c>
      <c r="K2145" t="n">
        <v>0.7248213167239367</v>
      </c>
      <c r="L2145" t="b">
        <v>0</v>
      </c>
      <c r="M2145" t="b">
        <v>0</v>
      </c>
      <c r="N2145" t="inlineStr">
        <is>
          <t>ref</t>
        </is>
      </c>
      <c r="O2145" t="n">
        <v>-30</v>
      </c>
      <c r="P2145" t="n">
        <v>0.001526</v>
      </c>
      <c r="Q2145" t="n">
        <v>-10</v>
      </c>
      <c r="R2145" t="n">
        <v>0.00757</v>
      </c>
      <c r="S2145">
        <f>IMAGE("https://mitra.stanford.edu/kundaje/oak/projects/neuro-variants/variant_position/credible/roussos_2024/variant_figures/roussos_2024.childhood.GABA/rs80099621_count_position.png",4,220,900)</f>
        <v/>
      </c>
      <c r="T2145">
        <f>IMAGE("https://mitra.stanford.edu/kundaje/oak/projects/neuro-variants/variant_position/credible/roussos_2024/variant_figures/roussos_2024.childhood.GABA/rs80099621_profile_position.png",4,220,900)</f>
        <v/>
      </c>
    </row>
    <row r="2146">
      <c r="A2146" t="inlineStr">
        <is>
          <t>chr2</t>
        </is>
      </c>
      <c r="B2146" t="n">
        <v>58275544</v>
      </c>
      <c r="C2146" t="inlineStr">
        <is>
          <t>T</t>
        </is>
      </c>
      <c r="D2146" t="inlineStr">
        <is>
          <t>C</t>
        </is>
      </c>
      <c r="E2146" t="inlineStr">
        <is>
          <t>rs112144830</t>
        </is>
      </c>
      <c r="F2146" t="n">
        <v>0.109591585</v>
      </c>
      <c r="G2146" t="n">
        <v>0.024168051010474</v>
      </c>
      <c r="H2146" t="n">
        <v>0.0279108846728276</v>
      </c>
      <c r="I2146" t="n">
        <v>0.018666303928476</v>
      </c>
      <c r="J2146" t="n">
        <v>0.5057663713848924</v>
      </c>
      <c r="K2146" t="n">
        <v>0.0508069377090674</v>
      </c>
      <c r="L2146" t="b">
        <v>1</v>
      </c>
      <c r="M2146" t="b">
        <v>0</v>
      </c>
      <c r="N2146" t="inlineStr">
        <is>
          <t>alt</t>
        </is>
      </c>
      <c r="O2146" t="n">
        <v>75</v>
      </c>
      <c r="P2146" t="n">
        <v>0.01942</v>
      </c>
      <c r="Q2146" t="n">
        <v>75</v>
      </c>
      <c r="R2146" t="n">
        <v>0.2024</v>
      </c>
      <c r="S2146">
        <f>IMAGE("https://mitra.stanford.edu/kundaje/oak/projects/neuro-variants/variant_position/credible/roussos_2024/variant_figures/roussos_2024.childhood.GABA/rs112144830_count_position.png",4,220,900)</f>
        <v/>
      </c>
      <c r="T2146">
        <f>IMAGE("https://mitra.stanford.edu/kundaje/oak/projects/neuro-variants/variant_position/credible/roussos_2024/variant_figures/roussos_2024.childhood.GABA/rs112144830_profile_position.png",4,220,900)</f>
        <v/>
      </c>
    </row>
    <row r="2147">
      <c r="A2147" t="inlineStr">
        <is>
          <t>chr2</t>
        </is>
      </c>
      <c r="B2147" t="n">
        <v>58316524</v>
      </c>
      <c r="C2147" t="inlineStr">
        <is>
          <t>G</t>
        </is>
      </c>
      <c r="D2147" t="inlineStr">
        <is>
          <t>A</t>
        </is>
      </c>
      <c r="E2147" t="inlineStr">
        <is>
          <t>rs184071680</t>
        </is>
      </c>
      <c r="F2147" t="n">
        <v>-0.1041900328</v>
      </c>
      <c r="G2147" t="n">
        <v>0.0280102525118848</v>
      </c>
      <c r="H2147" t="n">
        <v>0.0134002230622525</v>
      </c>
      <c r="I2147" t="n">
        <v>0.3205269079592435</v>
      </c>
      <c r="J2147" t="n">
        <v>0.254065883436996</v>
      </c>
      <c r="K2147" t="n">
        <v>0.1721105956597978</v>
      </c>
      <c r="L2147" t="b">
        <v>0</v>
      </c>
      <c r="M2147" t="b">
        <v>0</v>
      </c>
      <c r="N2147" t="inlineStr">
        <is>
          <t>ref</t>
        </is>
      </c>
      <c r="O2147" t="n">
        <v>-5</v>
      </c>
      <c r="P2147" t="n">
        <v>1.91e-05</v>
      </c>
      <c r="Q2147" t="n">
        <v>90</v>
      </c>
      <c r="R2147" t="n">
        <v>0.03088</v>
      </c>
      <c r="S2147">
        <f>IMAGE("https://mitra.stanford.edu/kundaje/oak/projects/neuro-variants/variant_position/credible/roussos_2024/variant_figures/roussos_2024.childhood.GABA/rs184071680_count_position.png",4,220,900)</f>
        <v/>
      </c>
      <c r="T2147">
        <f>IMAGE("https://mitra.stanford.edu/kundaje/oak/projects/neuro-variants/variant_position/credible/roussos_2024/variant_figures/roussos_2024.childhood.GABA/rs184071680_profile_position.png",4,220,900)</f>
        <v/>
      </c>
    </row>
    <row r="2148">
      <c r="A2148" t="inlineStr">
        <is>
          <t>chr2</t>
        </is>
      </c>
      <c r="B2148" t="n">
        <v>60075401</v>
      </c>
      <c r="C2148" t="inlineStr">
        <is>
          <t>G</t>
        </is>
      </c>
      <c r="D2148" t="inlineStr">
        <is>
          <t>A</t>
        </is>
      </c>
      <c r="E2148" t="inlineStr">
        <is>
          <t>rs10199158</t>
        </is>
      </c>
      <c r="F2148" t="n">
        <v>0.08382823319999989</v>
      </c>
      <c r="G2148" t="n">
        <v>0.0564558777146107</v>
      </c>
      <c r="H2148" t="n">
        <v>0.0269818794770994</v>
      </c>
      <c r="I2148" t="n">
        <v>0.0226486032167656</v>
      </c>
      <c r="J2148" t="n">
        <v>0.1149106824987958</v>
      </c>
      <c r="K2148" t="n">
        <v>0.3314663754262383</v>
      </c>
      <c r="L2148" t="b">
        <v>0</v>
      </c>
      <c r="M2148" t="b">
        <v>0</v>
      </c>
      <c r="N2148" t="inlineStr">
        <is>
          <t>alt</t>
        </is>
      </c>
      <c r="O2148" t="n">
        <v>55</v>
      </c>
      <c r="P2148" t="n">
        <v>0.007675</v>
      </c>
      <c r="Q2148" t="n">
        <v>60</v>
      </c>
      <c r="R2148" t="n">
        <v>0.09204</v>
      </c>
      <c r="S2148">
        <f>IMAGE("https://mitra.stanford.edu/kundaje/oak/projects/neuro-variants/variant_position/credible/roussos_2024/variant_figures/roussos_2024.childhood.GABA/rs10199158_count_position.png",4,220,900)</f>
        <v/>
      </c>
      <c r="T2148">
        <f>IMAGE("https://mitra.stanford.edu/kundaje/oak/projects/neuro-variants/variant_position/credible/roussos_2024/variant_figures/roussos_2024.childhood.GABA/rs10199158_profile_position.png",4,220,900)</f>
        <v/>
      </c>
    </row>
    <row r="2149">
      <c r="A2149" t="inlineStr">
        <is>
          <t>chr2</t>
        </is>
      </c>
      <c r="B2149" t="n">
        <v>60076419</v>
      </c>
      <c r="C2149" t="inlineStr">
        <is>
          <t>C</t>
        </is>
      </c>
      <c r="D2149" t="inlineStr">
        <is>
          <t>A</t>
        </is>
      </c>
      <c r="E2149" t="inlineStr">
        <is>
          <t>rs11691553</t>
        </is>
      </c>
      <c r="F2149" t="n">
        <v>0.011616567736</v>
      </c>
      <c r="G2149" t="n">
        <v>0.5890912651061316</v>
      </c>
      <c r="H2149" t="n">
        <v>0.0351729800074382</v>
      </c>
      <c r="I2149" t="n">
        <v>0.0064114612458594</v>
      </c>
      <c r="J2149" t="n">
        <v>0.0705932860044815</v>
      </c>
      <c r="K2149" t="n">
        <v>0.4439279285950264</v>
      </c>
      <c r="L2149" t="b">
        <v>1</v>
      </c>
      <c r="M2149" t="b">
        <v>1</v>
      </c>
      <c r="N2149" t="inlineStr">
        <is>
          <t>alt</t>
        </is>
      </c>
      <c r="O2149" t="n">
        <v>20</v>
      </c>
      <c r="P2149" t="n">
        <v>0.0007324</v>
      </c>
      <c r="Q2149" t="n">
        <v>85</v>
      </c>
      <c r="R2149" t="n">
        <v>0.04172</v>
      </c>
      <c r="S2149">
        <f>IMAGE("https://mitra.stanford.edu/kundaje/oak/projects/neuro-variants/variant_position/credible/roussos_2024/variant_figures/roussos_2024.childhood.GABA/rs11691553_count_position.png",4,220,900)</f>
        <v/>
      </c>
      <c r="T2149">
        <f>IMAGE("https://mitra.stanford.edu/kundaje/oak/projects/neuro-variants/variant_position/credible/roussos_2024/variant_figures/roussos_2024.childhood.GABA/rs11691553_profile_position.png",4,220,900)</f>
        <v/>
      </c>
    </row>
    <row r="2150">
      <c r="A2150" t="inlineStr">
        <is>
          <t>chr2</t>
        </is>
      </c>
      <c r="B2150" t="n">
        <v>60096992</v>
      </c>
      <c r="C2150" t="inlineStr">
        <is>
          <t>A</t>
        </is>
      </c>
      <c r="D2150" t="inlineStr">
        <is>
          <t>G</t>
        </is>
      </c>
      <c r="E2150" t="inlineStr">
        <is>
          <t>rs13415334</t>
        </is>
      </c>
      <c r="F2150" t="n">
        <v>-0.0238788796</v>
      </c>
      <c r="G2150" t="n">
        <v>0.3877152795240322</v>
      </c>
      <c r="H2150" t="n">
        <v>0.0124949125972356</v>
      </c>
      <c r="I2150" t="n">
        <v>0.3839531935227792</v>
      </c>
      <c r="J2150" t="n">
        <v>0.1597285920713702</v>
      </c>
      <c r="K2150" t="n">
        <v>0.2696775989165654</v>
      </c>
      <c r="L2150" t="b">
        <v>0</v>
      </c>
      <c r="M2150" t="b">
        <v>0</v>
      </c>
      <c r="N2150" t="inlineStr">
        <is>
          <t>ref</t>
        </is>
      </c>
      <c r="O2150" t="n">
        <v>5</v>
      </c>
      <c r="P2150" t="n">
        <v>0.001831</v>
      </c>
      <c r="Q2150" t="n">
        <v>-100</v>
      </c>
      <c r="R2150" t="n">
        <v>0.1102</v>
      </c>
      <c r="S2150">
        <f>IMAGE("https://mitra.stanford.edu/kundaje/oak/projects/neuro-variants/variant_position/credible/roussos_2024/variant_figures/roussos_2024.childhood.GABA/rs13415334_count_position.png",4,220,900)</f>
        <v/>
      </c>
      <c r="T2150">
        <f>IMAGE("https://mitra.stanford.edu/kundaje/oak/projects/neuro-variants/variant_position/credible/roussos_2024/variant_figures/roussos_2024.childhood.GABA/rs13415334_profile_position.png",4,220,900)</f>
        <v/>
      </c>
    </row>
    <row r="2151">
      <c r="A2151" t="inlineStr">
        <is>
          <t>chr2</t>
        </is>
      </c>
      <c r="B2151" t="n">
        <v>60105895</v>
      </c>
      <c r="C2151" t="inlineStr">
        <is>
          <t>C</t>
        </is>
      </c>
      <c r="D2151" t="inlineStr">
        <is>
          <t>T</t>
        </is>
      </c>
      <c r="E2151" t="inlineStr">
        <is>
          <t>rs974135</t>
        </is>
      </c>
      <c r="F2151" t="n">
        <v>0.009250094800000001</v>
      </c>
      <c r="G2151" t="n">
        <v>0.497673307635205</v>
      </c>
      <c r="H2151" t="n">
        <v>0.0161990365414099</v>
      </c>
      <c r="I2151" t="n">
        <v>0.1734250755595267</v>
      </c>
      <c r="J2151" t="n">
        <v>0.3462922242466126</v>
      </c>
      <c r="K2151" t="n">
        <v>0.1106314256409008</v>
      </c>
      <c r="L2151" t="b">
        <v>0</v>
      </c>
      <c r="M2151" t="b">
        <v>0</v>
      </c>
      <c r="N2151" t="inlineStr">
        <is>
          <t>alt</t>
        </is>
      </c>
      <c r="O2151" t="n">
        <v>-100</v>
      </c>
      <c r="P2151" t="n">
        <v>0.003056</v>
      </c>
      <c r="Q2151" t="n">
        <v>100</v>
      </c>
      <c r="R2151" t="n">
        <v>0.1167</v>
      </c>
      <c r="S2151">
        <f>IMAGE("https://mitra.stanford.edu/kundaje/oak/projects/neuro-variants/variant_position/credible/roussos_2024/variant_figures/roussos_2024.childhood.GABA/rs974135_count_position.png",4,220,900)</f>
        <v/>
      </c>
      <c r="T2151">
        <f>IMAGE("https://mitra.stanford.edu/kundaje/oak/projects/neuro-variants/variant_position/credible/roussos_2024/variant_figures/roussos_2024.childhood.GABA/rs974135_profile_position.png",4,220,900)</f>
        <v/>
      </c>
    </row>
    <row r="2152">
      <c r="A2152" t="inlineStr">
        <is>
          <t>chr2</t>
        </is>
      </c>
      <c r="B2152" t="n">
        <v>60455312</v>
      </c>
      <c r="C2152" t="inlineStr">
        <is>
          <t>A</t>
        </is>
      </c>
      <c r="D2152" t="inlineStr">
        <is>
          <t>G</t>
        </is>
      </c>
      <c r="E2152" t="inlineStr">
        <is>
          <t>rs12621957</t>
        </is>
      </c>
      <c r="F2152" t="n">
        <v>-0.008376206000000001</v>
      </c>
      <c r="G2152" t="n">
        <v>0.6799321032742249</v>
      </c>
      <c r="H2152" t="n">
        <v>0.0148912925942065</v>
      </c>
      <c r="I2152" t="n">
        <v>0.2288880656875776</v>
      </c>
      <c r="J2152" t="n">
        <v>0.0049171745094342</v>
      </c>
      <c r="K2152" t="n">
        <v>0.8159807917130704</v>
      </c>
      <c r="L2152" t="b">
        <v>0</v>
      </c>
      <c r="M2152" t="b">
        <v>0</v>
      </c>
      <c r="N2152" t="inlineStr">
        <is>
          <t>ref</t>
        </is>
      </c>
      <c r="O2152" t="n">
        <v>-80</v>
      </c>
      <c r="P2152" t="n">
        <v>0.00435</v>
      </c>
      <c r="Q2152" t="n">
        <v>-95</v>
      </c>
      <c r="R2152" t="n">
        <v>0.07275</v>
      </c>
      <c r="S2152">
        <f>IMAGE("https://mitra.stanford.edu/kundaje/oak/projects/neuro-variants/variant_position/credible/roussos_2024/variant_figures/roussos_2024.childhood.GABA/rs12621957_count_position.png",4,220,900)</f>
        <v/>
      </c>
      <c r="T2152">
        <f>IMAGE("https://mitra.stanford.edu/kundaje/oak/projects/neuro-variants/variant_position/credible/roussos_2024/variant_figures/roussos_2024.childhood.GABA/rs12621957_profile_position.png",4,220,900)</f>
        <v/>
      </c>
    </row>
    <row r="2153">
      <c r="A2153" t="inlineStr">
        <is>
          <t>chr2</t>
        </is>
      </c>
      <c r="B2153" t="n">
        <v>60456238</v>
      </c>
      <c r="C2153" t="inlineStr">
        <is>
          <t>A</t>
        </is>
      </c>
      <c r="D2153" t="inlineStr">
        <is>
          <t>G</t>
        </is>
      </c>
      <c r="E2153" t="inlineStr">
        <is>
          <t>rs17028290</t>
        </is>
      </c>
      <c r="F2153" t="n">
        <v>-0.0286820752</v>
      </c>
      <c r="G2153" t="n">
        <v>0.3222293269175146</v>
      </c>
      <c r="H2153" t="n">
        <v>0.0299781590795484</v>
      </c>
      <c r="I2153" t="n">
        <v>0.0130572106669312</v>
      </c>
      <c r="J2153" t="n">
        <v>0.0549098448200037</v>
      </c>
      <c r="K2153" t="n">
        <v>0.476936534767627</v>
      </c>
      <c r="L2153" t="b">
        <v>1</v>
      </c>
      <c r="M2153" t="b">
        <v>0</v>
      </c>
      <c r="N2153" t="inlineStr">
        <is>
          <t>ref</t>
        </is>
      </c>
      <c r="O2153" t="n">
        <v>-95</v>
      </c>
      <c r="P2153" t="n">
        <v>0.005085</v>
      </c>
      <c r="Q2153" t="n">
        <v>65</v>
      </c>
      <c r="R2153" t="n">
        <v>0.076</v>
      </c>
      <c r="S2153">
        <f>IMAGE("https://mitra.stanford.edu/kundaje/oak/projects/neuro-variants/variant_position/credible/roussos_2024/variant_figures/roussos_2024.childhood.GABA/rs17028290_count_position.png",4,220,900)</f>
        <v/>
      </c>
      <c r="T2153">
        <f>IMAGE("https://mitra.stanford.edu/kundaje/oak/projects/neuro-variants/variant_position/credible/roussos_2024/variant_figures/roussos_2024.childhood.GABA/rs17028290_profile_position.png",4,220,900)</f>
        <v/>
      </c>
    </row>
    <row r="2154">
      <c r="A2154" t="inlineStr">
        <is>
          <t>chr2</t>
        </is>
      </c>
      <c r="B2154" t="n">
        <v>60474200</v>
      </c>
      <c r="C2154" t="inlineStr">
        <is>
          <t>T</t>
        </is>
      </c>
      <c r="D2154" t="inlineStr">
        <is>
          <t>C</t>
        </is>
      </c>
      <c r="E2154" t="inlineStr">
        <is>
          <t>rs58469620</t>
        </is>
      </c>
      <c r="F2154" t="n">
        <v>0.0971780499999999</v>
      </c>
      <c r="G2154" t="n">
        <v>0.0304185908396238</v>
      </c>
      <c r="H2154" t="n">
        <v>0.0144730296575749</v>
      </c>
      <c r="I2154" t="n">
        <v>0.2478147871298984</v>
      </c>
      <c r="J2154" t="n">
        <v>0.2485026491591799</v>
      </c>
      <c r="K2154" t="n">
        <v>0.1671545228982423</v>
      </c>
      <c r="L2154" t="b">
        <v>0</v>
      </c>
      <c r="M2154" t="b">
        <v>0</v>
      </c>
      <c r="N2154" t="inlineStr">
        <is>
          <t>alt</t>
        </is>
      </c>
      <c r="O2154" t="n">
        <v>85</v>
      </c>
      <c r="P2154" t="n">
        <v>0.01633</v>
      </c>
      <c r="Q2154" t="n">
        <v>85</v>
      </c>
      <c r="R2154" t="n">
        <v>0.10156</v>
      </c>
      <c r="S2154">
        <f>IMAGE("https://mitra.stanford.edu/kundaje/oak/projects/neuro-variants/variant_position/credible/roussos_2024/variant_figures/roussos_2024.childhood.GABA/rs58469620_count_position.png",4,220,900)</f>
        <v/>
      </c>
      <c r="T2154">
        <f>IMAGE("https://mitra.stanford.edu/kundaje/oak/projects/neuro-variants/variant_position/credible/roussos_2024/variant_figures/roussos_2024.childhood.GABA/rs58469620_profile_position.png",4,220,900)</f>
        <v/>
      </c>
    </row>
    <row r="2155">
      <c r="A2155" t="inlineStr">
        <is>
          <t>chr2</t>
        </is>
      </c>
      <c r="B2155" t="n">
        <v>60491212</v>
      </c>
      <c r="C2155" t="inlineStr">
        <is>
          <t>C</t>
        </is>
      </c>
      <c r="D2155" t="inlineStr">
        <is>
          <t>T</t>
        </is>
      </c>
      <c r="E2155" t="inlineStr">
        <is>
          <t>rs7599488</t>
        </is>
      </c>
      <c r="F2155" t="n">
        <v>-0.127144886</v>
      </c>
      <c r="G2155" t="n">
        <v>0.0159030415983457</v>
      </c>
      <c r="H2155" t="n">
        <v>0.0189596556627988</v>
      </c>
      <c r="I2155" t="n">
        <v>0.0946289733214473</v>
      </c>
      <c r="J2155" t="n">
        <v>0.0563202864861468</v>
      </c>
      <c r="K2155" t="n">
        <v>0.4719123878432844</v>
      </c>
      <c r="L2155" t="b">
        <v>1</v>
      </c>
      <c r="M2155" t="b">
        <v>0</v>
      </c>
      <c r="N2155" t="inlineStr">
        <is>
          <t>ref</t>
        </is>
      </c>
      <c r="O2155" t="n">
        <v>45</v>
      </c>
      <c r="P2155" t="n">
        <v>0.001419</v>
      </c>
      <c r="Q2155" t="n">
        <v>100</v>
      </c>
      <c r="R2155" t="n">
        <v>0.0843</v>
      </c>
      <c r="S2155">
        <f>IMAGE("https://mitra.stanford.edu/kundaje/oak/projects/neuro-variants/variant_position/credible/roussos_2024/variant_figures/roussos_2024.childhood.GABA/rs7599488_count_position.png",4,220,900)</f>
        <v/>
      </c>
      <c r="T2155">
        <f>IMAGE("https://mitra.stanford.edu/kundaje/oak/projects/neuro-variants/variant_position/credible/roussos_2024/variant_figures/roussos_2024.childhood.GABA/rs7599488_profile_position.png",4,220,900)</f>
        <v/>
      </c>
    </row>
    <row r="2156">
      <c r="A2156" t="inlineStr">
        <is>
          <t>chr2</t>
        </is>
      </c>
      <c r="B2156" t="n">
        <v>60492835</v>
      </c>
      <c r="C2156" t="inlineStr">
        <is>
          <t>C</t>
        </is>
      </c>
      <c r="D2156" t="inlineStr">
        <is>
          <t>A</t>
        </is>
      </c>
      <c r="E2156" t="inlineStr">
        <is>
          <t>rs766432</t>
        </is>
      </c>
      <c r="F2156" t="n">
        <v>3.120363800000019e-05</v>
      </c>
      <c r="G2156" t="n">
        <v>0.8287461305943222</v>
      </c>
      <c r="H2156" t="n">
        <v>0.0199122581820136</v>
      </c>
      <c r="I2156" t="n">
        <v>0.0755278325240548</v>
      </c>
      <c r="J2156" t="n">
        <v>0.07392515339992869</v>
      </c>
      <c r="K2156" t="n">
        <v>0.4149266112292681</v>
      </c>
      <c r="L2156" t="b">
        <v>0</v>
      </c>
      <c r="M2156" t="b">
        <v>0</v>
      </c>
      <c r="N2156" t="inlineStr">
        <is>
          <t>alt</t>
        </is>
      </c>
      <c r="O2156" t="n">
        <v>-80</v>
      </c>
      <c r="P2156" t="n">
        <v>0.00448</v>
      </c>
      <c r="Q2156" t="n">
        <v>60</v>
      </c>
      <c r="R2156" t="n">
        <v>0.0239</v>
      </c>
      <c r="S2156">
        <f>IMAGE("https://mitra.stanford.edu/kundaje/oak/projects/neuro-variants/variant_position/credible/roussos_2024/variant_figures/roussos_2024.childhood.GABA/rs766432_count_position.png",4,220,900)</f>
        <v/>
      </c>
      <c r="T2156">
        <f>IMAGE("https://mitra.stanford.edu/kundaje/oak/projects/neuro-variants/variant_position/credible/roussos_2024/variant_figures/roussos_2024.childhood.GABA/rs766432_profile_position.png",4,220,900)</f>
        <v/>
      </c>
    </row>
    <row r="2157">
      <c r="A2157" t="inlineStr">
        <is>
          <t>chr2</t>
        </is>
      </c>
      <c r="B2157" t="n">
        <v>60558802</v>
      </c>
      <c r="C2157" t="inlineStr">
        <is>
          <t>A</t>
        </is>
      </c>
      <c r="D2157" t="inlineStr">
        <is>
          <t>G</t>
        </is>
      </c>
      <c r="E2157" t="inlineStr">
        <is>
          <t>rs12328348</t>
        </is>
      </c>
      <c r="F2157" t="n">
        <v>0.108570973</v>
      </c>
      <c r="G2157" t="n">
        <v>0.0249009403528478</v>
      </c>
      <c r="H2157" t="n">
        <v>0.0173945971742313</v>
      </c>
      <c r="I2157" t="n">
        <v>0.1322376243360286</v>
      </c>
      <c r="J2157" t="n">
        <v>0.0525622500052354</v>
      </c>
      <c r="K2157" t="n">
        <v>0.5080700215171529</v>
      </c>
      <c r="L2157" t="b">
        <v>0</v>
      </c>
      <c r="M2157" t="b">
        <v>0</v>
      </c>
      <c r="N2157" t="inlineStr">
        <is>
          <t>alt</t>
        </is>
      </c>
      <c r="O2157" t="n">
        <v>-20</v>
      </c>
      <c r="P2157" t="n">
        <v>0.001623</v>
      </c>
      <c r="Q2157" t="n">
        <v>95</v>
      </c>
      <c r="R2157" t="n">
        <v>0.1267</v>
      </c>
      <c r="S2157">
        <f>IMAGE("https://mitra.stanford.edu/kundaje/oak/projects/neuro-variants/variant_position/credible/roussos_2024/variant_figures/roussos_2024.childhood.GABA/rs12328348_count_position.png",4,220,900)</f>
        <v/>
      </c>
      <c r="T2157">
        <f>IMAGE("https://mitra.stanford.edu/kundaje/oak/projects/neuro-variants/variant_position/credible/roussos_2024/variant_figures/roussos_2024.childhood.GABA/rs12328348_profile_position.png",4,220,900)</f>
        <v/>
      </c>
    </row>
    <row r="2158">
      <c r="A2158" t="inlineStr">
        <is>
          <t>chr2</t>
        </is>
      </c>
      <c r="B2158" t="n">
        <v>60584584</v>
      </c>
      <c r="C2158" t="inlineStr">
        <is>
          <t>G</t>
        </is>
      </c>
      <c r="D2158" t="inlineStr">
        <is>
          <t>A</t>
        </is>
      </c>
      <c r="E2158" t="inlineStr">
        <is>
          <t>rs356998</t>
        </is>
      </c>
      <c r="F2158" t="n">
        <v>-0.0230654153999999</v>
      </c>
      <c r="G2158" t="n">
        <v>0.3801911501066137</v>
      </c>
      <c r="H2158" t="n">
        <v>0.0106116810305972</v>
      </c>
      <c r="I2158" t="n">
        <v>0.577597553542461</v>
      </c>
      <c r="J2158" t="n">
        <v>0.2581705095181252</v>
      </c>
      <c r="K2158" t="n">
        <v>0.1681020141622708</v>
      </c>
      <c r="L2158" t="b">
        <v>0</v>
      </c>
      <c r="M2158" t="b">
        <v>0</v>
      </c>
      <c r="N2158" t="inlineStr">
        <is>
          <t>ref</t>
        </is>
      </c>
      <c r="O2158" t="n">
        <v>-100</v>
      </c>
      <c r="P2158" t="n">
        <v>0.0065</v>
      </c>
      <c r="Q2158" t="n">
        <v>75</v>
      </c>
      <c r="R2158" t="n">
        <v>0.02756</v>
      </c>
      <c r="S2158">
        <f>IMAGE("https://mitra.stanford.edu/kundaje/oak/projects/neuro-variants/variant_position/credible/roussos_2024/variant_figures/roussos_2024.childhood.GABA/rs356998_count_position.png",4,220,900)</f>
        <v/>
      </c>
      <c r="T2158">
        <f>IMAGE("https://mitra.stanford.edu/kundaje/oak/projects/neuro-variants/variant_position/credible/roussos_2024/variant_figures/roussos_2024.childhood.GABA/rs356998_profile_position.png",4,220,900)</f>
        <v/>
      </c>
    </row>
    <row r="2159">
      <c r="A2159" t="inlineStr">
        <is>
          <t>chr2</t>
        </is>
      </c>
      <c r="B2159" t="n">
        <v>60712744</v>
      </c>
      <c r="C2159" t="inlineStr">
        <is>
          <t>C</t>
        </is>
      </c>
      <c r="D2159" t="inlineStr">
        <is>
          <t>T</t>
        </is>
      </c>
      <c r="E2159" t="inlineStr">
        <is>
          <t>rs55710238</t>
        </is>
      </c>
      <c r="F2159" t="n">
        <v>-0.06314088499999999</v>
      </c>
      <c r="G2159" t="n">
        <v>0.0902200438150292</v>
      </c>
      <c r="H2159" t="n">
        <v>0.0195549582958185</v>
      </c>
      <c r="I2159" t="n">
        <v>0.0864597389888891</v>
      </c>
      <c r="J2159" t="n">
        <v>0.1121526250759146</v>
      </c>
      <c r="K2159" t="n">
        <v>0.365778770588773</v>
      </c>
      <c r="L2159" t="b">
        <v>0</v>
      </c>
      <c r="M2159" t="b">
        <v>0</v>
      </c>
      <c r="N2159" t="inlineStr">
        <is>
          <t>ref</t>
        </is>
      </c>
      <c r="O2159" t="n">
        <v>-100</v>
      </c>
      <c r="P2159" t="n">
        <v>0.02997</v>
      </c>
      <c r="Q2159" t="n">
        <v>-25</v>
      </c>
      <c r="R2159" t="n">
        <v>0.0292</v>
      </c>
      <c r="S2159">
        <f>IMAGE("https://mitra.stanford.edu/kundaje/oak/projects/neuro-variants/variant_position/credible/roussos_2024/variant_figures/roussos_2024.childhood.GABA/rs55710238_count_position.png",4,220,900)</f>
        <v/>
      </c>
      <c r="T2159">
        <f>IMAGE("https://mitra.stanford.edu/kundaje/oak/projects/neuro-variants/variant_position/credible/roussos_2024/variant_figures/roussos_2024.childhood.GABA/rs55710238_profile_position.png",4,220,900)</f>
        <v/>
      </c>
    </row>
    <row r="2160">
      <c r="A2160" t="inlineStr">
        <is>
          <t>chr2</t>
        </is>
      </c>
      <c r="B2160" t="n">
        <v>72913722</v>
      </c>
      <c r="C2160" t="inlineStr">
        <is>
          <t>C</t>
        </is>
      </c>
      <c r="D2160" t="inlineStr">
        <is>
          <t>T</t>
        </is>
      </c>
      <c r="E2160" t="inlineStr">
        <is>
          <t>rs34419497</t>
        </is>
      </c>
      <c r="F2160" t="n">
        <v>0.0494662058</v>
      </c>
      <c r="G2160" t="n">
        <v>0.1456060044214341</v>
      </c>
      <c r="H2160" t="n">
        <v>0.0155441882367252</v>
      </c>
      <c r="I2160" t="n">
        <v>0.2158588262521819</v>
      </c>
      <c r="J2160" t="n">
        <v>0.1640227429792045</v>
      </c>
      <c r="K2160" t="n">
        <v>0.2708583039274059</v>
      </c>
      <c r="L2160" t="b">
        <v>0</v>
      </c>
      <c r="M2160" t="b">
        <v>0</v>
      </c>
      <c r="N2160" t="inlineStr">
        <is>
          <t>alt</t>
        </is>
      </c>
      <c r="O2160" t="n">
        <v>85</v>
      </c>
      <c r="P2160" t="n">
        <v>0.01997</v>
      </c>
      <c r="Q2160" t="n">
        <v>95</v>
      </c>
      <c r="R2160" t="n">
        <v>0.214</v>
      </c>
      <c r="S2160">
        <f>IMAGE("https://mitra.stanford.edu/kundaje/oak/projects/neuro-variants/variant_position/credible/roussos_2024/variant_figures/roussos_2024.childhood.GABA/rs34419497_count_position.png",4,220,900)</f>
        <v/>
      </c>
      <c r="T2160">
        <f>IMAGE("https://mitra.stanford.edu/kundaje/oak/projects/neuro-variants/variant_position/credible/roussos_2024/variant_figures/roussos_2024.childhood.GABA/rs34419497_profile_position.png",4,220,900)</f>
        <v/>
      </c>
    </row>
    <row r="2161">
      <c r="A2161" t="inlineStr">
        <is>
          <t>chr2</t>
        </is>
      </c>
      <c r="B2161" t="n">
        <v>73140117</v>
      </c>
      <c r="C2161" t="inlineStr">
        <is>
          <t>T</t>
        </is>
      </c>
      <c r="D2161" t="inlineStr">
        <is>
          <t>C</t>
        </is>
      </c>
      <c r="E2161" t="inlineStr">
        <is>
          <t>rs1430346</t>
        </is>
      </c>
      <c r="F2161" t="n">
        <v>-0.0028787579399999</v>
      </c>
      <c r="G2161" t="n">
        <v>0.7027051416838762</v>
      </c>
      <c r="H2161" t="n">
        <v>0.0241175509082649</v>
      </c>
      <c r="I2161" t="n">
        <v>0.0330903504849619</v>
      </c>
      <c r="J2161" t="n">
        <v>0.004228183702959</v>
      </c>
      <c r="K2161" t="n">
        <v>0.8255675482314927</v>
      </c>
      <c r="L2161" t="b">
        <v>0</v>
      </c>
      <c r="M2161" t="b">
        <v>0</v>
      </c>
      <c r="N2161" t="inlineStr">
        <is>
          <t>ref</t>
        </is>
      </c>
      <c r="O2161" t="n">
        <v>70</v>
      </c>
      <c r="P2161" t="n">
        <v>0.002811</v>
      </c>
      <c r="Q2161" t="n">
        <v>-55</v>
      </c>
      <c r="R2161" t="n">
        <v>0.0888</v>
      </c>
      <c r="S2161">
        <f>IMAGE("https://mitra.stanford.edu/kundaje/oak/projects/neuro-variants/variant_position/credible/roussos_2024/variant_figures/roussos_2024.childhood.GABA/rs1430346_count_position.png",4,220,900)</f>
        <v/>
      </c>
      <c r="T2161">
        <f>IMAGE("https://mitra.stanford.edu/kundaje/oak/projects/neuro-variants/variant_position/credible/roussos_2024/variant_figures/roussos_2024.childhood.GABA/rs1430346_profile_position.png",4,220,900)</f>
        <v/>
      </c>
    </row>
    <row r="2162">
      <c r="A2162" t="inlineStr">
        <is>
          <t>chr2</t>
        </is>
      </c>
      <c r="B2162" t="n">
        <v>73155786</v>
      </c>
      <c r="C2162" t="inlineStr">
        <is>
          <t>C</t>
        </is>
      </c>
      <c r="D2162" t="inlineStr">
        <is>
          <t>T</t>
        </is>
      </c>
      <c r="E2162" t="inlineStr">
        <is>
          <t>rs60796597</t>
        </is>
      </c>
      <c r="F2162" t="n">
        <v>-0.0822937598</v>
      </c>
      <c r="G2162" t="n">
        <v>0.0497722756963952</v>
      </c>
      <c r="H2162" t="n">
        <v>0.0159047000384018</v>
      </c>
      <c r="I2162" t="n">
        <v>0.1826170233991233</v>
      </c>
      <c r="J2162" t="n">
        <v>0.0555579987853657</v>
      </c>
      <c r="K2162" t="n">
        <v>0.4809904398718646</v>
      </c>
      <c r="L2162" t="b">
        <v>0</v>
      </c>
      <c r="M2162" t="b">
        <v>0</v>
      </c>
      <c r="N2162" t="inlineStr">
        <is>
          <t>ref</t>
        </is>
      </c>
      <c r="O2162" t="n">
        <v>100</v>
      </c>
      <c r="P2162" t="n">
        <v>0.01547</v>
      </c>
      <c r="Q2162" t="n">
        <v>-80</v>
      </c>
      <c r="R2162" t="n">
        <v>0.0618</v>
      </c>
      <c r="S2162">
        <f>IMAGE("https://mitra.stanford.edu/kundaje/oak/projects/neuro-variants/variant_position/credible/roussos_2024/variant_figures/roussos_2024.childhood.GABA/rs60796597_count_position.png",4,220,900)</f>
        <v/>
      </c>
      <c r="T2162">
        <f>IMAGE("https://mitra.stanford.edu/kundaje/oak/projects/neuro-variants/variant_position/credible/roussos_2024/variant_figures/roussos_2024.childhood.GABA/rs60796597_profile_position.png",4,220,900)</f>
        <v/>
      </c>
    </row>
    <row r="2163">
      <c r="A2163" t="inlineStr">
        <is>
          <t>chr2</t>
        </is>
      </c>
      <c r="B2163" t="n">
        <v>73344289</v>
      </c>
      <c r="C2163" t="inlineStr">
        <is>
          <t>G</t>
        </is>
      </c>
      <c r="D2163" t="inlineStr">
        <is>
          <t>A</t>
        </is>
      </c>
      <c r="E2163" t="inlineStr">
        <is>
          <t>rs7604588</t>
        </is>
      </c>
      <c r="F2163" t="n">
        <v>-0.061199462</v>
      </c>
      <c r="G2163" t="n">
        <v>0.095165551033436</v>
      </c>
      <c r="H2163" t="n">
        <v>0.0123016413889959</v>
      </c>
      <c r="I2163" t="n">
        <v>0.3927544531939861</v>
      </c>
      <c r="J2163" t="n">
        <v>0.1474471738811752</v>
      </c>
      <c r="K2163" t="n">
        <v>0.2793103876600261</v>
      </c>
      <c r="L2163" t="b">
        <v>0</v>
      </c>
      <c r="M2163" t="b">
        <v>0</v>
      </c>
      <c r="N2163" t="inlineStr">
        <is>
          <t>ref</t>
        </is>
      </c>
      <c r="O2163" t="n">
        <v>-100</v>
      </c>
      <c r="P2163" t="n">
        <v>0.004307</v>
      </c>
      <c r="Q2163" t="n">
        <v>-100</v>
      </c>
      <c r="R2163" t="n">
        <v>0.0919</v>
      </c>
      <c r="S2163">
        <f>IMAGE("https://mitra.stanford.edu/kundaje/oak/projects/neuro-variants/variant_position/credible/roussos_2024/variant_figures/roussos_2024.childhood.GABA/rs7604588_count_position.png",4,220,900)</f>
        <v/>
      </c>
      <c r="T2163">
        <f>IMAGE("https://mitra.stanford.edu/kundaje/oak/projects/neuro-variants/variant_position/credible/roussos_2024/variant_figures/roussos_2024.childhood.GABA/rs7604588_profile_position.png",4,220,900)</f>
        <v/>
      </c>
    </row>
    <row r="2164">
      <c r="A2164" t="inlineStr">
        <is>
          <t>chr2</t>
        </is>
      </c>
      <c r="B2164" t="n">
        <v>73347970</v>
      </c>
      <c r="C2164" t="inlineStr">
        <is>
          <t>G</t>
        </is>
      </c>
      <c r="D2164" t="inlineStr">
        <is>
          <t>A</t>
        </is>
      </c>
      <c r="E2164" t="inlineStr">
        <is>
          <t>rs6546822</t>
        </is>
      </c>
      <c r="F2164" t="n">
        <v>-0.0463390842</v>
      </c>
      <c r="G2164" t="n">
        <v>0.1727336155476417</v>
      </c>
      <c r="H2164" t="n">
        <v>0.0181660427813086</v>
      </c>
      <c r="I2164" t="n">
        <v>0.109816702025042</v>
      </c>
      <c r="J2164" t="n">
        <v>0.0617620573391132</v>
      </c>
      <c r="K2164" t="n">
        <v>0.4433759013013158</v>
      </c>
      <c r="L2164" t="b">
        <v>0</v>
      </c>
      <c r="M2164" t="b">
        <v>0</v>
      </c>
      <c r="N2164" t="inlineStr">
        <is>
          <t>ref</t>
        </is>
      </c>
      <c r="O2164" t="n">
        <v>-100</v>
      </c>
      <c r="P2164" t="n">
        <v>0.01465</v>
      </c>
      <c r="Q2164" t="n">
        <v>-100</v>
      </c>
      <c r="R2164" t="n">
        <v>0.298</v>
      </c>
      <c r="S2164">
        <f>IMAGE("https://mitra.stanford.edu/kundaje/oak/projects/neuro-variants/variant_position/credible/roussos_2024/variant_figures/roussos_2024.childhood.GABA/rs6546822_count_position.png",4,220,900)</f>
        <v/>
      </c>
      <c r="T2164">
        <f>IMAGE("https://mitra.stanford.edu/kundaje/oak/projects/neuro-variants/variant_position/credible/roussos_2024/variant_figures/roussos_2024.childhood.GABA/rs6546822_profile_position.png",4,220,900)</f>
        <v/>
      </c>
    </row>
    <row r="2165">
      <c r="A2165" t="inlineStr">
        <is>
          <t>chr2</t>
        </is>
      </c>
      <c r="B2165" t="n">
        <v>73364113</v>
      </c>
      <c r="C2165" t="inlineStr">
        <is>
          <t>T</t>
        </is>
      </c>
      <c r="D2165" t="inlineStr">
        <is>
          <t>C</t>
        </is>
      </c>
      <c r="E2165" t="inlineStr">
        <is>
          <t>rs1522926</t>
        </is>
      </c>
      <c r="F2165" t="n">
        <v>-0.0229275294</v>
      </c>
      <c r="G2165" t="n">
        <v>0.4081228100207271</v>
      </c>
      <c r="H2165" t="n">
        <v>0.009509002230786099</v>
      </c>
      <c r="I2165" t="n">
        <v>0.6898336688866882</v>
      </c>
      <c r="J2165" t="n">
        <v>0.0240309103474272</v>
      </c>
      <c r="K2165" t="n">
        <v>0.642208938993693</v>
      </c>
      <c r="L2165" t="b">
        <v>0</v>
      </c>
      <c r="M2165" t="b">
        <v>0</v>
      </c>
      <c r="N2165" t="inlineStr">
        <is>
          <t>ref</t>
        </is>
      </c>
      <c r="O2165" t="n">
        <v>50</v>
      </c>
      <c r="P2165" t="n">
        <v>0.00209</v>
      </c>
      <c r="Q2165" t="n">
        <v>50</v>
      </c>
      <c r="R2165" t="n">
        <v>0.01929</v>
      </c>
      <c r="S2165">
        <f>IMAGE("https://mitra.stanford.edu/kundaje/oak/projects/neuro-variants/variant_position/credible/roussos_2024/variant_figures/roussos_2024.childhood.GABA/rs1522926_count_position.png",4,220,900)</f>
        <v/>
      </c>
      <c r="T2165">
        <f>IMAGE("https://mitra.stanford.edu/kundaje/oak/projects/neuro-variants/variant_position/credible/roussos_2024/variant_figures/roussos_2024.childhood.GABA/rs1522926_profile_position.png",4,220,900)</f>
        <v/>
      </c>
    </row>
    <row r="2166">
      <c r="A2166" t="inlineStr">
        <is>
          <t>chr2</t>
        </is>
      </c>
      <c r="B2166" t="n">
        <v>73379365</v>
      </c>
      <c r="C2166" t="inlineStr">
        <is>
          <t>C</t>
        </is>
      </c>
      <c r="D2166" t="inlineStr">
        <is>
          <t>T</t>
        </is>
      </c>
      <c r="E2166" t="inlineStr">
        <is>
          <t>rs6546827</t>
        </is>
      </c>
      <c r="F2166" t="n">
        <v>0.03585296856</v>
      </c>
      <c r="G2166" t="n">
        <v>0.1761792784487592</v>
      </c>
      <c r="H2166" t="n">
        <v>0.0302604143461684</v>
      </c>
      <c r="I2166" t="n">
        <v>0.0140823142813145</v>
      </c>
      <c r="J2166" t="n">
        <v>0.0141305941236832</v>
      </c>
      <c r="K2166" t="n">
        <v>0.7043893783325818</v>
      </c>
      <c r="L2166" t="b">
        <v>1</v>
      </c>
      <c r="M2166" t="b">
        <v>0</v>
      </c>
      <c r="N2166" t="inlineStr">
        <is>
          <t>alt</t>
        </is>
      </c>
      <c r="O2166" t="n">
        <v>-100</v>
      </c>
      <c r="P2166" t="n">
        <v>0.007523</v>
      </c>
      <c r="Q2166" t="n">
        <v>90</v>
      </c>
      <c r="R2166" t="n">
        <v>0.04108</v>
      </c>
      <c r="S2166">
        <f>IMAGE("https://mitra.stanford.edu/kundaje/oak/projects/neuro-variants/variant_position/credible/roussos_2024/variant_figures/roussos_2024.childhood.GABA/rs6546827_count_position.png",4,220,900)</f>
        <v/>
      </c>
      <c r="T2166">
        <f>IMAGE("https://mitra.stanford.edu/kundaje/oak/projects/neuro-variants/variant_position/credible/roussos_2024/variant_figures/roussos_2024.childhood.GABA/rs6546827_profile_position.png",4,220,900)</f>
        <v/>
      </c>
    </row>
    <row r="2167">
      <c r="A2167" t="inlineStr">
        <is>
          <t>chr2</t>
        </is>
      </c>
      <c r="B2167" t="n">
        <v>73395535</v>
      </c>
      <c r="C2167" t="inlineStr">
        <is>
          <t>C</t>
        </is>
      </c>
      <c r="D2167" t="inlineStr">
        <is>
          <t>T</t>
        </is>
      </c>
      <c r="E2167" t="inlineStr">
        <is>
          <t>rs56672945</t>
        </is>
      </c>
      <c r="F2167" t="n">
        <v>-0.0168681794</v>
      </c>
      <c r="G2167" t="n">
        <v>0.4783293237685597</v>
      </c>
      <c r="H2167" t="n">
        <v>0.0239516807493205</v>
      </c>
      <c r="I2167" t="n">
        <v>0.0354225795506414</v>
      </c>
      <c r="J2167" t="n">
        <v>0.0023591128981591</v>
      </c>
      <c r="K2167" t="n">
        <v>0.8702625360177141</v>
      </c>
      <c r="L2167" t="b">
        <v>0</v>
      </c>
      <c r="M2167" t="b">
        <v>0</v>
      </c>
      <c r="N2167" t="inlineStr">
        <is>
          <t>ref</t>
        </is>
      </c>
      <c r="O2167" t="n">
        <v>-10</v>
      </c>
      <c r="P2167" t="n">
        <v>0.001373</v>
      </c>
      <c r="Q2167" t="n">
        <v>-55</v>
      </c>
      <c r="R2167" t="n">
        <v>0.03864</v>
      </c>
      <c r="S2167">
        <f>IMAGE("https://mitra.stanford.edu/kundaje/oak/projects/neuro-variants/variant_position/credible/roussos_2024/variant_figures/roussos_2024.childhood.GABA/rs56672945_count_position.png",4,220,900)</f>
        <v/>
      </c>
      <c r="T2167">
        <f>IMAGE("https://mitra.stanford.edu/kundaje/oak/projects/neuro-variants/variant_position/credible/roussos_2024/variant_figures/roussos_2024.childhood.GABA/rs56672945_profile_position.png",4,220,900)</f>
        <v/>
      </c>
    </row>
    <row r="2168">
      <c r="A2168" t="inlineStr">
        <is>
          <t>chr2</t>
        </is>
      </c>
      <c r="B2168" t="n">
        <v>73410391</v>
      </c>
      <c r="C2168" t="inlineStr">
        <is>
          <t>A</t>
        </is>
      </c>
      <c r="D2168" t="inlineStr">
        <is>
          <t>G</t>
        </is>
      </c>
      <c r="E2168" t="inlineStr">
        <is>
          <t>rs10179134</t>
        </is>
      </c>
      <c r="F2168" t="n">
        <v>-0.00634642598</v>
      </c>
      <c r="G2168" t="n">
        <v>0.6498319159875535</v>
      </c>
      <c r="H2168" t="n">
        <v>0.0236400687516708</v>
      </c>
      <c r="I2168" t="n">
        <v>0.0371023461072156</v>
      </c>
      <c r="J2168" t="n">
        <v>0.0029381583631755</v>
      </c>
      <c r="K2168" t="n">
        <v>0.8604164820860015</v>
      </c>
      <c r="L2168" t="b">
        <v>0</v>
      </c>
      <c r="M2168" t="b">
        <v>0</v>
      </c>
      <c r="N2168" t="inlineStr">
        <is>
          <t>ref</t>
        </is>
      </c>
      <c r="O2168" t="n">
        <v>-95</v>
      </c>
      <c r="P2168" t="n">
        <v>0.01393</v>
      </c>
      <c r="Q2168" t="n">
        <v>-65</v>
      </c>
      <c r="R2168" t="n">
        <v>0.0542</v>
      </c>
      <c r="S2168">
        <f>IMAGE("https://mitra.stanford.edu/kundaje/oak/projects/neuro-variants/variant_position/credible/roussos_2024/variant_figures/roussos_2024.childhood.GABA/rs10179134_count_position.png",4,220,900)</f>
        <v/>
      </c>
      <c r="T2168">
        <f>IMAGE("https://mitra.stanford.edu/kundaje/oak/projects/neuro-variants/variant_position/credible/roussos_2024/variant_figures/roussos_2024.childhood.GABA/rs10179134_profile_position.png",4,220,900)</f>
        <v/>
      </c>
    </row>
    <row r="2169">
      <c r="A2169" t="inlineStr">
        <is>
          <t>chr2</t>
        </is>
      </c>
      <c r="B2169" t="n">
        <v>73426010</v>
      </c>
      <c r="C2169" t="inlineStr">
        <is>
          <t>A</t>
        </is>
      </c>
      <c r="D2169" t="inlineStr">
        <is>
          <t>G</t>
        </is>
      </c>
      <c r="E2169" t="inlineStr">
        <is>
          <t>rs6753344</t>
        </is>
      </c>
      <c r="F2169" t="n">
        <v>0.042615777</v>
      </c>
      <c r="G2169" t="n">
        <v>0.1858140640001182</v>
      </c>
      <c r="H2169" t="n">
        <v>0.0133849983875729</v>
      </c>
      <c r="I2169" t="n">
        <v>0.3240491872712129</v>
      </c>
      <c r="J2169" t="n">
        <v>0.1397530941760381</v>
      </c>
      <c r="K2169" t="n">
        <v>0.2835538829442054</v>
      </c>
      <c r="L2169" t="b">
        <v>0</v>
      </c>
      <c r="M2169" t="b">
        <v>0</v>
      </c>
      <c r="N2169" t="inlineStr">
        <is>
          <t>alt</t>
        </is>
      </c>
      <c r="O2169" t="n">
        <v>-45</v>
      </c>
      <c r="P2169" t="n">
        <v>0.00386</v>
      </c>
      <c r="Q2169" t="n">
        <v>-85</v>
      </c>
      <c r="R2169" t="n">
        <v>0.1571</v>
      </c>
      <c r="S2169">
        <f>IMAGE("https://mitra.stanford.edu/kundaje/oak/projects/neuro-variants/variant_position/credible/roussos_2024/variant_figures/roussos_2024.childhood.GABA/rs6753344_count_position.png",4,220,900)</f>
        <v/>
      </c>
      <c r="T2169">
        <f>IMAGE("https://mitra.stanford.edu/kundaje/oak/projects/neuro-variants/variant_position/credible/roussos_2024/variant_figures/roussos_2024.childhood.GABA/rs6753344_profile_position.png",4,220,900)</f>
        <v/>
      </c>
    </row>
    <row r="2170">
      <c r="A2170" t="inlineStr">
        <is>
          <t>chr2</t>
        </is>
      </c>
      <c r="B2170" t="n">
        <v>73450771</v>
      </c>
      <c r="C2170" t="inlineStr">
        <is>
          <t>G</t>
        </is>
      </c>
      <c r="D2170" t="inlineStr">
        <is>
          <t>C</t>
        </is>
      </c>
      <c r="E2170" t="inlineStr">
        <is>
          <t>rs6546837</t>
        </is>
      </c>
      <c r="F2170" t="n">
        <v>0.0444674896</v>
      </c>
      <c r="G2170" t="n">
        <v>0.1747768291109135</v>
      </c>
      <c r="H2170" t="n">
        <v>0.0131520357448074</v>
      </c>
      <c r="I2170" t="n">
        <v>0.3405528463395461</v>
      </c>
      <c r="J2170" t="n">
        <v>0.0702058595631504</v>
      </c>
      <c r="K2170" t="n">
        <v>0.4372017707631074</v>
      </c>
      <c r="L2170" t="b">
        <v>0</v>
      </c>
      <c r="M2170" t="b">
        <v>0</v>
      </c>
      <c r="N2170" t="inlineStr">
        <is>
          <t>alt</t>
        </is>
      </c>
      <c r="O2170" t="n">
        <v>-100</v>
      </c>
      <c r="P2170" t="n">
        <v>0.003403</v>
      </c>
      <c r="Q2170" t="n">
        <v>-55</v>
      </c>
      <c r="R2170" t="n">
        <v>0.04694</v>
      </c>
      <c r="S2170">
        <f>IMAGE("https://mitra.stanford.edu/kundaje/oak/projects/neuro-variants/variant_position/credible/roussos_2024/variant_figures/roussos_2024.childhood.GABA/rs6546837_count_position.png",4,220,900)</f>
        <v/>
      </c>
      <c r="T2170">
        <f>IMAGE("https://mitra.stanford.edu/kundaje/oak/projects/neuro-variants/variant_position/credible/roussos_2024/variant_figures/roussos_2024.childhood.GABA/rs6546837_profile_position.png",4,220,900)</f>
        <v/>
      </c>
    </row>
    <row r="2171">
      <c r="A2171" t="inlineStr">
        <is>
          <t>chr2</t>
        </is>
      </c>
      <c r="B2171" t="n">
        <v>73473004</v>
      </c>
      <c r="C2171" t="inlineStr">
        <is>
          <t>A</t>
        </is>
      </c>
      <c r="D2171" t="inlineStr">
        <is>
          <t>C</t>
        </is>
      </c>
      <c r="E2171" t="inlineStr">
        <is>
          <t>rs62151652</t>
        </is>
      </c>
      <c r="F2171" t="n">
        <v>0.01294817196</v>
      </c>
      <c r="G2171" t="n">
        <v>0.5148250906846865</v>
      </c>
      <c r="H2171" t="n">
        <v>0.0142029628959859</v>
      </c>
      <c r="I2171" t="n">
        <v>0.2712457902058649</v>
      </c>
      <c r="J2171" t="n">
        <v>0.0624342945697471</v>
      </c>
      <c r="K2171" t="n">
        <v>0.4519534519208745</v>
      </c>
      <c r="L2171" t="b">
        <v>0</v>
      </c>
      <c r="M2171" t="b">
        <v>0</v>
      </c>
      <c r="N2171" t="inlineStr">
        <is>
          <t>alt</t>
        </is>
      </c>
      <c r="O2171" t="n">
        <v>20</v>
      </c>
      <c r="P2171" t="n">
        <v>0.003637</v>
      </c>
      <c r="Q2171" t="n">
        <v>-40</v>
      </c>
      <c r="R2171" t="n">
        <v>0.0819</v>
      </c>
      <c r="S2171">
        <f>IMAGE("https://mitra.stanford.edu/kundaje/oak/projects/neuro-variants/variant_position/credible/roussos_2024/variant_figures/roussos_2024.childhood.GABA/rs62151652_count_position.png",4,220,900)</f>
        <v/>
      </c>
      <c r="T2171">
        <f>IMAGE("https://mitra.stanford.edu/kundaje/oak/projects/neuro-variants/variant_position/credible/roussos_2024/variant_figures/roussos_2024.childhood.GABA/rs62151652_profile_position.png",4,220,900)</f>
        <v/>
      </c>
    </row>
    <row r="2172">
      <c r="A2172" t="inlineStr">
        <is>
          <t>chr2</t>
        </is>
      </c>
      <c r="B2172" t="n">
        <v>73485902</v>
      </c>
      <c r="C2172" t="inlineStr">
        <is>
          <t>A</t>
        </is>
      </c>
      <c r="D2172" t="inlineStr">
        <is>
          <t>G</t>
        </is>
      </c>
      <c r="E2172" t="inlineStr">
        <is>
          <t>rs10195357</t>
        </is>
      </c>
      <c r="F2172" t="n">
        <v>0.0360917689999999</v>
      </c>
      <c r="G2172" t="n">
        <v>0.2353914156560539</v>
      </c>
      <c r="H2172" t="n">
        <v>0.011670567380148</v>
      </c>
      <c r="I2172" t="n">
        <v>0.4564451848694857</v>
      </c>
      <c r="J2172" t="n">
        <v>0.3938126950220938</v>
      </c>
      <c r="K2172" t="n">
        <v>0.0872050332446435</v>
      </c>
      <c r="L2172" t="b">
        <v>0</v>
      </c>
      <c r="M2172" t="b">
        <v>0</v>
      </c>
      <c r="N2172" t="inlineStr">
        <is>
          <t>alt</t>
        </is>
      </c>
      <c r="O2172" t="n">
        <v>-80</v>
      </c>
      <c r="P2172" t="n">
        <v>0.005142</v>
      </c>
      <c r="Q2172" t="n">
        <v>-65</v>
      </c>
      <c r="R2172" t="n">
        <v>0.11926</v>
      </c>
      <c r="S2172">
        <f>IMAGE("https://mitra.stanford.edu/kundaje/oak/projects/neuro-variants/variant_position/credible/roussos_2024/variant_figures/roussos_2024.childhood.GABA/rs10195357_count_position.png",4,220,900)</f>
        <v/>
      </c>
      <c r="T2172">
        <f>IMAGE("https://mitra.stanford.edu/kundaje/oak/projects/neuro-variants/variant_position/credible/roussos_2024/variant_figures/roussos_2024.childhood.GABA/rs10195357_profile_position.png",4,220,900)</f>
        <v/>
      </c>
    </row>
    <row r="2173">
      <c r="A2173" t="inlineStr">
        <is>
          <t>chr2</t>
        </is>
      </c>
      <c r="B2173" t="n">
        <v>73492748</v>
      </c>
      <c r="C2173" t="inlineStr">
        <is>
          <t>A</t>
        </is>
      </c>
      <c r="D2173" t="inlineStr">
        <is>
          <t>C</t>
        </is>
      </c>
      <c r="E2173" t="inlineStr">
        <is>
          <t>rs13421462</t>
        </is>
      </c>
      <c r="F2173" t="n">
        <v>-0.004349448004</v>
      </c>
      <c r="G2173" t="n">
        <v>0.8246523049945661</v>
      </c>
      <c r="H2173" t="n">
        <v>0.0291841675900706</v>
      </c>
      <c r="I2173" t="n">
        <v>0.0147300414168221</v>
      </c>
      <c r="J2173" t="n">
        <v>0.0119390169839374</v>
      </c>
      <c r="K2173" t="n">
        <v>0.7210024363468915</v>
      </c>
      <c r="L2173" t="b">
        <v>1</v>
      </c>
      <c r="M2173" t="b">
        <v>0</v>
      </c>
      <c r="N2173" t="inlineStr">
        <is>
          <t>ref</t>
        </is>
      </c>
      <c r="O2173" t="n">
        <v>100</v>
      </c>
      <c r="P2173" t="n">
        <v>0.05637</v>
      </c>
      <c r="Q2173" t="n">
        <v>75</v>
      </c>
      <c r="R2173" t="n">
        <v>0.02728</v>
      </c>
      <c r="S2173">
        <f>IMAGE("https://mitra.stanford.edu/kundaje/oak/projects/neuro-variants/variant_position/credible/roussos_2024/variant_figures/roussos_2024.childhood.GABA/rs13421462_count_position.png",4,220,900)</f>
        <v/>
      </c>
      <c r="T2173">
        <f>IMAGE("https://mitra.stanford.edu/kundaje/oak/projects/neuro-variants/variant_position/credible/roussos_2024/variant_figures/roussos_2024.childhood.GABA/rs13421462_profile_position.png",4,220,900)</f>
        <v/>
      </c>
    </row>
    <row r="2174">
      <c r="A2174" t="inlineStr">
        <is>
          <t>chr2</t>
        </is>
      </c>
      <c r="B2174" t="n">
        <v>73493131</v>
      </c>
      <c r="C2174" t="inlineStr">
        <is>
          <t>C</t>
        </is>
      </c>
      <c r="D2174" t="inlineStr">
        <is>
          <t>A</t>
        </is>
      </c>
      <c r="E2174" t="inlineStr">
        <is>
          <t>rs13398956</t>
        </is>
      </c>
      <c r="F2174" t="n">
        <v>0.0296172922</v>
      </c>
      <c r="G2174" t="n">
        <v>0.2942313785098786</v>
      </c>
      <c r="H2174" t="n">
        <v>0.0169641200288771</v>
      </c>
      <c r="I2174" t="n">
        <v>0.1445651316795697</v>
      </c>
      <c r="J2174" t="n">
        <v>0.0085610772549265</v>
      </c>
      <c r="K2174" t="n">
        <v>0.7610722037191525</v>
      </c>
      <c r="L2174" t="b">
        <v>0</v>
      </c>
      <c r="M2174" t="b">
        <v>0</v>
      </c>
      <c r="N2174" t="inlineStr">
        <is>
          <t>alt</t>
        </is>
      </c>
      <c r="O2174" t="n">
        <v>-100</v>
      </c>
      <c r="P2174" t="n">
        <v>0.0757</v>
      </c>
      <c r="Q2174" t="n">
        <v>100</v>
      </c>
      <c r="R2174" t="n">
        <v>0.07006999999999999</v>
      </c>
      <c r="S2174">
        <f>IMAGE("https://mitra.stanford.edu/kundaje/oak/projects/neuro-variants/variant_position/credible/roussos_2024/variant_figures/roussos_2024.childhood.GABA/rs13398956_count_position.png",4,220,900)</f>
        <v/>
      </c>
      <c r="T2174">
        <f>IMAGE("https://mitra.stanford.edu/kundaje/oak/projects/neuro-variants/variant_position/credible/roussos_2024/variant_figures/roussos_2024.childhood.GABA/rs13398956_profile_position.png",4,220,900)</f>
        <v/>
      </c>
    </row>
    <row r="2175">
      <c r="A2175" t="inlineStr">
        <is>
          <t>chr2</t>
        </is>
      </c>
      <c r="B2175" t="n">
        <v>73494123</v>
      </c>
      <c r="C2175" t="inlineStr">
        <is>
          <t>A</t>
        </is>
      </c>
      <c r="D2175" t="inlineStr">
        <is>
          <t>C</t>
        </is>
      </c>
      <c r="E2175" t="inlineStr">
        <is>
          <t>rs73947808</t>
        </is>
      </c>
      <c r="F2175" t="n">
        <v>0.0589165366</v>
      </c>
      <c r="G2175" t="n">
        <v>0.1001995126304095</v>
      </c>
      <c r="H2175" t="n">
        <v>0.0118016396238514</v>
      </c>
      <c r="I2175" t="n">
        <v>0.450241460700841</v>
      </c>
      <c r="J2175" t="n">
        <v>0.0290465121149294</v>
      </c>
      <c r="K2175" t="n">
        <v>0.5959936025579362</v>
      </c>
      <c r="L2175" t="b">
        <v>0</v>
      </c>
      <c r="M2175" t="b">
        <v>0</v>
      </c>
      <c r="N2175" t="inlineStr">
        <is>
          <t>alt</t>
        </is>
      </c>
      <c r="O2175" t="n">
        <v>100</v>
      </c>
      <c r="P2175" t="n">
        <v>0.008125</v>
      </c>
      <c r="Q2175" t="n">
        <v>10</v>
      </c>
      <c r="R2175" t="n">
        <v>0.01889</v>
      </c>
      <c r="S2175">
        <f>IMAGE("https://mitra.stanford.edu/kundaje/oak/projects/neuro-variants/variant_position/credible/roussos_2024/variant_figures/roussos_2024.childhood.GABA/rs73947808_count_position.png",4,220,900)</f>
        <v/>
      </c>
      <c r="T2175">
        <f>IMAGE("https://mitra.stanford.edu/kundaje/oak/projects/neuro-variants/variant_position/credible/roussos_2024/variant_figures/roussos_2024.childhood.GABA/rs73947808_profile_position.png",4,220,900)</f>
        <v/>
      </c>
    </row>
    <row r="2176">
      <c r="A2176" t="inlineStr">
        <is>
          <t>chr2</t>
        </is>
      </c>
      <c r="B2176" t="n">
        <v>73506740</v>
      </c>
      <c r="C2176" t="inlineStr">
        <is>
          <t>C</t>
        </is>
      </c>
      <c r="D2176" t="inlineStr">
        <is>
          <t>T</t>
        </is>
      </c>
      <c r="E2176" t="inlineStr">
        <is>
          <t>rs11693586</t>
        </is>
      </c>
      <c r="F2176" t="n">
        <v>0.047473562</v>
      </c>
      <c r="G2176" t="n">
        <v>0.1560698652241288</v>
      </c>
      <c r="H2176" t="n">
        <v>0.0219812103713831</v>
      </c>
      <c r="I2176" t="n">
        <v>0.0508215311331286</v>
      </c>
      <c r="J2176" t="n">
        <v>0.0313396578082133</v>
      </c>
      <c r="K2176" t="n">
        <v>0.5832605154117227</v>
      </c>
      <c r="L2176" t="b">
        <v>0</v>
      </c>
      <c r="M2176" t="b">
        <v>0</v>
      </c>
      <c r="N2176" t="inlineStr">
        <is>
          <t>alt</t>
        </is>
      </c>
      <c r="O2176" t="n">
        <v>65</v>
      </c>
      <c r="P2176" t="n">
        <v>0.00224</v>
      </c>
      <c r="Q2176" t="n">
        <v>55</v>
      </c>
      <c r="R2176" t="n">
        <v>0.0559</v>
      </c>
      <c r="S2176">
        <f>IMAGE("https://mitra.stanford.edu/kundaje/oak/projects/neuro-variants/variant_position/credible/roussos_2024/variant_figures/roussos_2024.childhood.GABA/rs11693586_count_position.png",4,220,900)</f>
        <v/>
      </c>
      <c r="T2176">
        <f>IMAGE("https://mitra.stanford.edu/kundaje/oak/projects/neuro-variants/variant_position/credible/roussos_2024/variant_figures/roussos_2024.childhood.GABA/rs11693586_profile_position.png",4,220,900)</f>
        <v/>
      </c>
    </row>
    <row r="2177">
      <c r="A2177" t="inlineStr">
        <is>
          <t>chr2</t>
        </is>
      </c>
      <c r="B2177" t="n">
        <v>73506748</v>
      </c>
      <c r="C2177" t="inlineStr">
        <is>
          <t>C</t>
        </is>
      </c>
      <c r="D2177" t="inlineStr">
        <is>
          <t>T</t>
        </is>
      </c>
      <c r="E2177" t="inlineStr">
        <is>
          <t>rs11693588</t>
        </is>
      </c>
      <c r="F2177" t="n">
        <v>-0.0077196398</v>
      </c>
      <c r="G2177" t="n">
        <v>0.6004937494898061</v>
      </c>
      <c r="H2177" t="n">
        <v>0.0122834610817117</v>
      </c>
      <c r="I2177" t="n">
        <v>0.4048051012606366</v>
      </c>
      <c r="J2177" t="n">
        <v>0.0268067684446398</v>
      </c>
      <c r="K2177" t="n">
        <v>0.6109170859385338</v>
      </c>
      <c r="L2177" t="b">
        <v>0</v>
      </c>
      <c r="M2177" t="b">
        <v>0</v>
      </c>
      <c r="N2177" t="inlineStr">
        <is>
          <t>ref</t>
        </is>
      </c>
      <c r="O2177" t="n">
        <v>60</v>
      </c>
      <c r="P2177" t="n">
        <v>0.002043</v>
      </c>
      <c r="Q2177" t="n">
        <v>45</v>
      </c>
      <c r="R2177" t="n">
        <v>0.04138</v>
      </c>
      <c r="S2177">
        <f>IMAGE("https://mitra.stanford.edu/kundaje/oak/projects/neuro-variants/variant_position/credible/roussos_2024/variant_figures/roussos_2024.childhood.GABA/rs11693588_count_position.png",4,220,900)</f>
        <v/>
      </c>
      <c r="T2177">
        <f>IMAGE("https://mitra.stanford.edu/kundaje/oak/projects/neuro-variants/variant_position/credible/roussos_2024/variant_figures/roussos_2024.childhood.GABA/rs11693588_profile_position.png",4,220,900)</f>
        <v/>
      </c>
    </row>
    <row r="2178">
      <c r="A2178" t="inlineStr">
        <is>
          <t>chr2</t>
        </is>
      </c>
      <c r="B2178" t="n">
        <v>73519516</v>
      </c>
      <c r="C2178" t="inlineStr">
        <is>
          <t>T</t>
        </is>
      </c>
      <c r="D2178" t="inlineStr">
        <is>
          <t>C</t>
        </is>
      </c>
      <c r="E2178" t="inlineStr">
        <is>
          <t>rs6711033</t>
        </is>
      </c>
      <c r="F2178" t="n">
        <v>0.008346715899999999</v>
      </c>
      <c r="G2178" t="n">
        <v>0.6602474885414157</v>
      </c>
      <c r="H2178" t="n">
        <v>0.0167249003349696</v>
      </c>
      <c r="I2178" t="n">
        <v>0.1506688645437755</v>
      </c>
      <c r="J2178" t="n">
        <v>0.009741157253251099</v>
      </c>
      <c r="K2178" t="n">
        <v>0.7412617470557842</v>
      </c>
      <c r="L2178" t="b">
        <v>0</v>
      </c>
      <c r="M2178" t="b">
        <v>0</v>
      </c>
      <c r="N2178" t="inlineStr">
        <is>
          <t>alt</t>
        </is>
      </c>
      <c r="O2178" t="n">
        <v>-20</v>
      </c>
      <c r="P2178" t="n">
        <v>0.000595</v>
      </c>
      <c r="Q2178" t="n">
        <v>-5</v>
      </c>
      <c r="R2178" t="n">
        <v>0.0002289</v>
      </c>
      <c r="S2178">
        <f>IMAGE("https://mitra.stanford.edu/kundaje/oak/projects/neuro-variants/variant_position/credible/roussos_2024/variant_figures/roussos_2024.childhood.GABA/rs6711033_count_position.png",4,220,900)</f>
        <v/>
      </c>
      <c r="T2178">
        <f>IMAGE("https://mitra.stanford.edu/kundaje/oak/projects/neuro-variants/variant_position/credible/roussos_2024/variant_figures/roussos_2024.childhood.GABA/rs6711033_profile_position.png",4,220,900)</f>
        <v/>
      </c>
    </row>
    <row r="2179">
      <c r="A2179" t="inlineStr">
        <is>
          <t>chr2</t>
        </is>
      </c>
      <c r="B2179" t="n">
        <v>73519796</v>
      </c>
      <c r="C2179" t="inlineStr">
        <is>
          <t>C</t>
        </is>
      </c>
      <c r="D2179" t="inlineStr">
        <is>
          <t>T</t>
        </is>
      </c>
      <c r="E2179" t="inlineStr">
        <is>
          <t>rs11884776</t>
        </is>
      </c>
      <c r="F2179" t="n">
        <v>0.105158621</v>
      </c>
      <c r="G2179" t="n">
        <v>0.0264922872617222</v>
      </c>
      <c r="H2179" t="n">
        <v>0.0238373036054158</v>
      </c>
      <c r="I2179" t="n">
        <v>0.0358473738266768</v>
      </c>
      <c r="J2179" t="n">
        <v>0.014639483989864</v>
      </c>
      <c r="K2179" t="n">
        <v>0.6888581742670205</v>
      </c>
      <c r="L2179" t="b">
        <v>0</v>
      </c>
      <c r="M2179" t="b">
        <v>0</v>
      </c>
      <c r="N2179" t="inlineStr">
        <is>
          <t>alt</t>
        </is>
      </c>
      <c r="O2179" t="n">
        <v>85</v>
      </c>
      <c r="P2179" t="n">
        <v>0.002258</v>
      </c>
      <c r="Q2179" t="n">
        <v>85</v>
      </c>
      <c r="R2179" t="n">
        <v>0.1298</v>
      </c>
      <c r="S2179">
        <f>IMAGE("https://mitra.stanford.edu/kundaje/oak/projects/neuro-variants/variant_position/credible/roussos_2024/variant_figures/roussos_2024.childhood.GABA/rs11884776_count_position.png",4,220,900)</f>
        <v/>
      </c>
      <c r="T2179">
        <f>IMAGE("https://mitra.stanford.edu/kundaje/oak/projects/neuro-variants/variant_position/credible/roussos_2024/variant_figures/roussos_2024.childhood.GABA/rs11884776_profile_position.png",4,220,900)</f>
        <v/>
      </c>
    </row>
    <row r="2180">
      <c r="A2180" t="inlineStr">
        <is>
          <t>chr2</t>
        </is>
      </c>
      <c r="B2180" t="n">
        <v>73521927</v>
      </c>
      <c r="C2180" t="inlineStr">
        <is>
          <t>T</t>
        </is>
      </c>
      <c r="D2180" t="inlineStr">
        <is>
          <t>G</t>
        </is>
      </c>
      <c r="E2180" t="inlineStr">
        <is>
          <t>rs6719753</t>
        </is>
      </c>
      <c r="F2180" t="n">
        <v>-0.00053228876</v>
      </c>
      <c r="G2180" t="n">
        <v>0.8684894182278438</v>
      </c>
      <c r="H2180" t="n">
        <v>0.0241822882010022</v>
      </c>
      <c r="I2180" t="n">
        <v>0.0330228136689989</v>
      </c>
      <c r="J2180" t="n">
        <v>0.095997989570899</v>
      </c>
      <c r="K2180" t="n">
        <v>0.3839553308760705</v>
      </c>
      <c r="L2180" t="b">
        <v>0</v>
      </c>
      <c r="M2180" t="b">
        <v>0</v>
      </c>
      <c r="N2180" t="inlineStr">
        <is>
          <t>ref</t>
        </is>
      </c>
      <c r="O2180" t="n">
        <v>-100</v>
      </c>
      <c r="P2180" t="n">
        <v>0.01127</v>
      </c>
      <c r="Q2180" t="n">
        <v>-100</v>
      </c>
      <c r="R2180" t="n">
        <v>0.02106</v>
      </c>
      <c r="S2180">
        <f>IMAGE("https://mitra.stanford.edu/kundaje/oak/projects/neuro-variants/variant_position/credible/roussos_2024/variant_figures/roussos_2024.childhood.GABA/rs6719753_count_position.png",4,220,900)</f>
        <v/>
      </c>
      <c r="T2180">
        <f>IMAGE("https://mitra.stanford.edu/kundaje/oak/projects/neuro-variants/variant_position/credible/roussos_2024/variant_figures/roussos_2024.childhood.GABA/rs6719753_profile_position.png",4,220,900)</f>
        <v/>
      </c>
    </row>
    <row r="2181">
      <c r="A2181" t="inlineStr">
        <is>
          <t>chr2</t>
        </is>
      </c>
      <c r="B2181" t="n">
        <v>73526060</v>
      </c>
      <c r="C2181" t="inlineStr">
        <is>
          <t>C</t>
        </is>
      </c>
      <c r="D2181" t="inlineStr">
        <is>
          <t>T</t>
        </is>
      </c>
      <c r="E2181" t="inlineStr">
        <is>
          <t>rs13409668</t>
        </is>
      </c>
      <c r="F2181" t="n">
        <v>-0.0202385235</v>
      </c>
      <c r="G2181" t="n">
        <v>0.4338062106536144</v>
      </c>
      <c r="H2181" t="n">
        <v>0.0104923824344347</v>
      </c>
      <c r="I2181" t="n">
        <v>0.5678280925221436</v>
      </c>
      <c r="J2181" t="n">
        <v>0.000201042910096</v>
      </c>
      <c r="K2181" t="n">
        <v>0.9619660811276352</v>
      </c>
      <c r="L2181" t="b">
        <v>0</v>
      </c>
      <c r="M2181" t="b">
        <v>0</v>
      </c>
      <c r="N2181" t="inlineStr">
        <is>
          <t>ref</t>
        </is>
      </c>
      <c r="O2181" t="n">
        <v>100</v>
      </c>
      <c r="P2181" t="n">
        <v>0.008194</v>
      </c>
      <c r="Q2181" t="n">
        <v>70</v>
      </c>
      <c r="R2181" t="n">
        <v>0.03412</v>
      </c>
      <c r="S2181">
        <f>IMAGE("https://mitra.stanford.edu/kundaje/oak/projects/neuro-variants/variant_position/credible/roussos_2024/variant_figures/roussos_2024.childhood.GABA/rs13409668_count_position.png",4,220,900)</f>
        <v/>
      </c>
      <c r="T2181">
        <f>IMAGE("https://mitra.stanford.edu/kundaje/oak/projects/neuro-variants/variant_position/credible/roussos_2024/variant_figures/roussos_2024.childhood.GABA/rs13409668_profile_position.png",4,220,900)</f>
        <v/>
      </c>
    </row>
    <row r="2182">
      <c r="A2182" t="inlineStr">
        <is>
          <t>chr2</t>
        </is>
      </c>
      <c r="B2182" t="n">
        <v>73529690</v>
      </c>
      <c r="C2182" t="inlineStr">
        <is>
          <t>G</t>
        </is>
      </c>
      <c r="D2182" t="inlineStr">
        <is>
          <t>T</t>
        </is>
      </c>
      <c r="E2182" t="inlineStr">
        <is>
          <t>rs7566385</t>
        </is>
      </c>
      <c r="F2182" t="n">
        <v>-0.11750806</v>
      </c>
      <c r="G2182" t="n">
        <v>0.0197138615617738</v>
      </c>
      <c r="H2182" t="n">
        <v>0.0215464119302229</v>
      </c>
      <c r="I2182" t="n">
        <v>0.0566514366268017</v>
      </c>
      <c r="J2182" t="n">
        <v>0.1614259387237963</v>
      </c>
      <c r="K2182" t="n">
        <v>0.2811712376918603</v>
      </c>
      <c r="L2182" t="b">
        <v>1</v>
      </c>
      <c r="M2182" t="b">
        <v>0</v>
      </c>
      <c r="N2182" t="inlineStr">
        <is>
          <t>ref</t>
        </is>
      </c>
      <c r="O2182" t="n">
        <v>-20</v>
      </c>
      <c r="P2182" t="n">
        <v>0.001343</v>
      </c>
      <c r="Q2182" t="n">
        <v>60</v>
      </c>
      <c r="R2182" t="n">
        <v>0.03613</v>
      </c>
      <c r="S2182">
        <f>IMAGE("https://mitra.stanford.edu/kundaje/oak/projects/neuro-variants/variant_position/credible/roussos_2024/variant_figures/roussos_2024.childhood.GABA/rs7566385_count_position.png",4,220,900)</f>
        <v/>
      </c>
      <c r="T2182">
        <f>IMAGE("https://mitra.stanford.edu/kundaje/oak/projects/neuro-variants/variant_position/credible/roussos_2024/variant_figures/roussos_2024.childhood.GABA/rs7566385_profile_position.png",4,220,900)</f>
        <v/>
      </c>
    </row>
    <row r="2183">
      <c r="A2183" t="inlineStr">
        <is>
          <t>chr2</t>
        </is>
      </c>
      <c r="B2183" t="n">
        <v>73555073</v>
      </c>
      <c r="C2183" t="inlineStr">
        <is>
          <t>A</t>
        </is>
      </c>
      <c r="D2183" t="inlineStr">
        <is>
          <t>G</t>
        </is>
      </c>
      <c r="E2183" t="inlineStr">
        <is>
          <t>rs13431267</t>
        </is>
      </c>
      <c r="F2183" t="n">
        <v>0.04384436</v>
      </c>
      <c r="G2183" t="n">
        <v>0.1857803253899897</v>
      </c>
      <c r="H2183" t="n">
        <v>0.0184661374467242</v>
      </c>
      <c r="I2183" t="n">
        <v>0.1038614405106879</v>
      </c>
      <c r="J2183" t="n">
        <v>0.0046763418567149</v>
      </c>
      <c r="K2183" t="n">
        <v>0.8160054506681059</v>
      </c>
      <c r="L2183" t="b">
        <v>0</v>
      </c>
      <c r="M2183" t="b">
        <v>0</v>
      </c>
      <c r="N2183" t="inlineStr">
        <is>
          <t>alt</t>
        </is>
      </c>
      <c r="O2183" t="n">
        <v>-40</v>
      </c>
      <c r="P2183" t="n">
        <v>0.001587</v>
      </c>
      <c r="Q2183" t="n">
        <v>-30</v>
      </c>
      <c r="R2183" t="n">
        <v>0.01028</v>
      </c>
      <c r="S2183">
        <f>IMAGE("https://mitra.stanford.edu/kundaje/oak/projects/neuro-variants/variant_position/credible/roussos_2024/variant_figures/roussos_2024.childhood.GABA/rs13431267_count_position.png",4,220,900)</f>
        <v/>
      </c>
      <c r="T2183">
        <f>IMAGE("https://mitra.stanford.edu/kundaje/oak/projects/neuro-variants/variant_position/credible/roussos_2024/variant_figures/roussos_2024.childhood.GABA/rs13431267_profile_position.png",4,220,900)</f>
        <v/>
      </c>
    </row>
    <row r="2184">
      <c r="A2184" t="inlineStr">
        <is>
          <t>chr2</t>
        </is>
      </c>
      <c r="B2184" t="n">
        <v>73560899</v>
      </c>
      <c r="C2184" t="inlineStr">
        <is>
          <t>G</t>
        </is>
      </c>
      <c r="D2184" t="inlineStr">
        <is>
          <t>A</t>
        </is>
      </c>
      <c r="E2184" t="inlineStr">
        <is>
          <t>rs7604682</t>
        </is>
      </c>
      <c r="F2184" t="n">
        <v>-0.00704562964</v>
      </c>
      <c r="G2184" t="n">
        <v>0.7154701722906484</v>
      </c>
      <c r="H2184" t="n">
        <v>0.013537065069546</v>
      </c>
      <c r="I2184" t="n">
        <v>0.3102650167754921</v>
      </c>
      <c r="J2184" t="n">
        <v>0.0627107285711293</v>
      </c>
      <c r="K2184" t="n">
        <v>0.4734591377294058</v>
      </c>
      <c r="L2184" t="b">
        <v>0</v>
      </c>
      <c r="M2184" t="b">
        <v>0</v>
      </c>
      <c r="N2184" t="inlineStr">
        <is>
          <t>ref</t>
        </is>
      </c>
      <c r="O2184" t="n">
        <v>95</v>
      </c>
      <c r="P2184" t="n">
        <v>0.00458</v>
      </c>
      <c r="Q2184" t="n">
        <v>95</v>
      </c>
      <c r="R2184" t="n">
        <v>0.3823</v>
      </c>
      <c r="S2184">
        <f>IMAGE("https://mitra.stanford.edu/kundaje/oak/projects/neuro-variants/variant_position/credible/roussos_2024/variant_figures/roussos_2024.childhood.GABA/rs7604682_count_position.png",4,220,900)</f>
        <v/>
      </c>
      <c r="T2184">
        <f>IMAGE("https://mitra.stanford.edu/kundaje/oak/projects/neuro-variants/variant_position/credible/roussos_2024/variant_figures/roussos_2024.childhood.GABA/rs7604682_profile_position.png",4,220,900)</f>
        <v/>
      </c>
    </row>
    <row r="2185">
      <c r="A2185" t="inlineStr">
        <is>
          <t>chr2</t>
        </is>
      </c>
      <c r="B2185" t="n">
        <v>73560999</v>
      </c>
      <c r="C2185" t="inlineStr">
        <is>
          <t>A</t>
        </is>
      </c>
      <c r="D2185" t="inlineStr">
        <is>
          <t>G</t>
        </is>
      </c>
      <c r="E2185" t="inlineStr">
        <is>
          <t>rs7580750</t>
        </is>
      </c>
      <c r="F2185" t="n">
        <v>0.0484112758</v>
      </c>
      <c r="G2185" t="n">
        <v>0.1458864625756915</v>
      </c>
      <c r="H2185" t="n">
        <v>0.0107728307551344</v>
      </c>
      <c r="I2185" t="n">
        <v>0.5615981499541047</v>
      </c>
      <c r="J2185" t="n">
        <v>0.0850840820087537</v>
      </c>
      <c r="K2185" t="n">
        <v>0.4078582189828101</v>
      </c>
      <c r="L2185" t="b">
        <v>0</v>
      </c>
      <c r="M2185" t="b">
        <v>0</v>
      </c>
      <c r="N2185" t="inlineStr">
        <is>
          <t>alt</t>
        </is>
      </c>
      <c r="O2185" t="n">
        <v>-5</v>
      </c>
      <c r="P2185" t="n">
        <v>0.001423</v>
      </c>
      <c r="Q2185" t="n">
        <v>-5</v>
      </c>
      <c r="R2185" t="n">
        <v>0.02393</v>
      </c>
      <c r="S2185">
        <f>IMAGE("https://mitra.stanford.edu/kundaje/oak/projects/neuro-variants/variant_position/credible/roussos_2024/variant_figures/roussos_2024.childhood.GABA/rs7580750_count_position.png",4,220,900)</f>
        <v/>
      </c>
      <c r="T2185">
        <f>IMAGE("https://mitra.stanford.edu/kundaje/oak/projects/neuro-variants/variant_position/credible/roussos_2024/variant_figures/roussos_2024.childhood.GABA/rs7580750_profile_position.png",4,220,900)</f>
        <v/>
      </c>
    </row>
    <row r="2186">
      <c r="A2186" t="inlineStr">
        <is>
          <t>chr2</t>
        </is>
      </c>
      <c r="B2186" t="n">
        <v>73562931</v>
      </c>
      <c r="C2186" t="inlineStr">
        <is>
          <t>A</t>
        </is>
      </c>
      <c r="D2186" t="inlineStr">
        <is>
          <t>G</t>
        </is>
      </c>
      <c r="E2186" t="inlineStr">
        <is>
          <t>rs6735946</t>
        </is>
      </c>
      <c r="F2186" t="n">
        <v>-0.008897981451999999</v>
      </c>
      <c r="G2186" t="n">
        <v>0.5776095141328735</v>
      </c>
      <c r="H2186" t="n">
        <v>0.0178704854144196</v>
      </c>
      <c r="I2186" t="n">
        <v>0.1177205768766762</v>
      </c>
      <c r="J2186" t="n">
        <v>0.0033193022135661</v>
      </c>
      <c r="K2186" t="n">
        <v>0.8486057036179333</v>
      </c>
      <c r="L2186" t="b">
        <v>0</v>
      </c>
      <c r="M2186" t="b">
        <v>0</v>
      </c>
      <c r="N2186" t="inlineStr">
        <is>
          <t>ref</t>
        </is>
      </c>
      <c r="O2186" t="n">
        <v>80</v>
      </c>
      <c r="P2186" t="n">
        <v>0.007934999999999999</v>
      </c>
      <c r="Q2186" t="n">
        <v>-65</v>
      </c>
      <c r="R2186" t="n">
        <v>0.05374</v>
      </c>
      <c r="S2186">
        <f>IMAGE("https://mitra.stanford.edu/kundaje/oak/projects/neuro-variants/variant_position/credible/roussos_2024/variant_figures/roussos_2024.childhood.GABA/rs6735946_count_position.png",4,220,900)</f>
        <v/>
      </c>
      <c r="T2186">
        <f>IMAGE("https://mitra.stanford.edu/kundaje/oak/projects/neuro-variants/variant_position/credible/roussos_2024/variant_figures/roussos_2024.childhood.GABA/rs6735946_profile_position.png",4,220,900)</f>
        <v/>
      </c>
    </row>
    <row r="2187">
      <c r="A2187" t="inlineStr">
        <is>
          <t>chr2</t>
        </is>
      </c>
      <c r="B2187" t="n">
        <v>73570496</v>
      </c>
      <c r="C2187" t="inlineStr">
        <is>
          <t>T</t>
        </is>
      </c>
      <c r="D2187" t="inlineStr">
        <is>
          <t>A</t>
        </is>
      </c>
      <c r="E2187" t="inlineStr">
        <is>
          <t>rs10197755</t>
        </is>
      </c>
      <c r="F2187" t="n">
        <v>0.00084137106</v>
      </c>
      <c r="G2187" t="n">
        <v>0.7492374347553225</v>
      </c>
      <c r="H2187" t="n">
        <v>0.009209894318830099</v>
      </c>
      <c r="I2187" t="n">
        <v>0.7317410085409017</v>
      </c>
      <c r="J2187" t="n">
        <v>0.0136970953487884</v>
      </c>
      <c r="K2187" t="n">
        <v>0.6970142428260306</v>
      </c>
      <c r="L2187" t="b">
        <v>0</v>
      </c>
      <c r="M2187" t="b">
        <v>0</v>
      </c>
      <c r="N2187" t="inlineStr">
        <is>
          <t>alt</t>
        </is>
      </c>
      <c r="O2187" t="n">
        <v>-95</v>
      </c>
      <c r="P2187" t="n">
        <v>0.01642</v>
      </c>
      <c r="Q2187" t="n">
        <v>-80</v>
      </c>
      <c r="R2187" t="n">
        <v>0.0641</v>
      </c>
      <c r="S2187">
        <f>IMAGE("https://mitra.stanford.edu/kundaje/oak/projects/neuro-variants/variant_position/credible/roussos_2024/variant_figures/roussos_2024.childhood.GABA/rs10197755_count_position.png",4,220,900)</f>
        <v/>
      </c>
      <c r="T2187">
        <f>IMAGE("https://mitra.stanford.edu/kundaje/oak/projects/neuro-variants/variant_position/credible/roussos_2024/variant_figures/roussos_2024.childhood.GABA/rs10197755_profile_position.png",4,220,900)</f>
        <v/>
      </c>
    </row>
    <row r="2188">
      <c r="A2188" t="inlineStr">
        <is>
          <t>chr2</t>
        </is>
      </c>
      <c r="B2188" t="n">
        <v>73570869</v>
      </c>
      <c r="C2188" t="inlineStr">
        <is>
          <t>T</t>
        </is>
      </c>
      <c r="D2188" t="inlineStr">
        <is>
          <t>G</t>
        </is>
      </c>
      <c r="E2188" t="inlineStr">
        <is>
          <t>rs7583255</t>
        </is>
      </c>
      <c r="F2188" t="n">
        <v>0.0276486461999999</v>
      </c>
      <c r="G2188" t="n">
        <v>0.3132234530903436</v>
      </c>
      <c r="H2188" t="n">
        <v>0.0113790367898456</v>
      </c>
      <c r="I2188" t="n">
        <v>0.4848769059000315</v>
      </c>
      <c r="J2188" t="n">
        <v>0.0270549307867897</v>
      </c>
      <c r="K2188" t="n">
        <v>0.5992492116408573</v>
      </c>
      <c r="L2188" t="b">
        <v>0</v>
      </c>
      <c r="M2188" t="b">
        <v>0</v>
      </c>
      <c r="N2188" t="inlineStr">
        <is>
          <t>alt</t>
        </is>
      </c>
      <c r="O2188" t="n">
        <v>100</v>
      </c>
      <c r="P2188" t="n">
        <v>0.009514</v>
      </c>
      <c r="Q2188" t="n">
        <v>40</v>
      </c>
      <c r="R2188" t="n">
        <v>0.05518</v>
      </c>
      <c r="S2188">
        <f>IMAGE("https://mitra.stanford.edu/kundaje/oak/projects/neuro-variants/variant_position/credible/roussos_2024/variant_figures/roussos_2024.childhood.GABA/rs7583255_count_position.png",4,220,900)</f>
        <v/>
      </c>
      <c r="T2188">
        <f>IMAGE("https://mitra.stanford.edu/kundaje/oak/projects/neuro-variants/variant_position/credible/roussos_2024/variant_figures/roussos_2024.childhood.GABA/rs7583255_profile_position.png",4,220,900)</f>
        <v/>
      </c>
    </row>
    <row r="2189">
      <c r="A2189" t="inlineStr">
        <is>
          <t>chr2</t>
        </is>
      </c>
      <c r="B2189" t="n">
        <v>73583782</v>
      </c>
      <c r="C2189" t="inlineStr">
        <is>
          <t>T</t>
        </is>
      </c>
      <c r="D2189" t="inlineStr">
        <is>
          <t>G</t>
        </is>
      </c>
      <c r="E2189" t="inlineStr">
        <is>
          <t>rs7558944</t>
        </is>
      </c>
      <c r="F2189" t="n">
        <v>0.02626095568</v>
      </c>
      <c r="G2189" t="n">
        <v>0.3243058414552164</v>
      </c>
      <c r="H2189" t="n">
        <v>0.0224058765845497</v>
      </c>
      <c r="I2189" t="n">
        <v>0.0467157943086224</v>
      </c>
      <c r="J2189" t="n">
        <v>0.0007088856777866999</v>
      </c>
      <c r="K2189" t="n">
        <v>0.9308228052772892</v>
      </c>
      <c r="L2189" t="b">
        <v>0</v>
      </c>
      <c r="M2189" t="b">
        <v>0</v>
      </c>
      <c r="N2189" t="inlineStr">
        <is>
          <t>alt</t>
        </is>
      </c>
      <c r="O2189" t="n">
        <v>-100</v>
      </c>
      <c r="P2189" t="n">
        <v>0.008070000000000001</v>
      </c>
      <c r="Q2189" t="n">
        <v>50</v>
      </c>
      <c r="R2189" t="n">
        <v>0.0173</v>
      </c>
      <c r="S2189">
        <f>IMAGE("https://mitra.stanford.edu/kundaje/oak/projects/neuro-variants/variant_position/credible/roussos_2024/variant_figures/roussos_2024.childhood.GABA/rs7558944_count_position.png",4,220,900)</f>
        <v/>
      </c>
      <c r="T2189">
        <f>IMAGE("https://mitra.stanford.edu/kundaje/oak/projects/neuro-variants/variant_position/credible/roussos_2024/variant_figures/roussos_2024.childhood.GABA/rs7558944_profile_position.png",4,220,900)</f>
        <v/>
      </c>
    </row>
    <row r="2190">
      <c r="A2190" t="inlineStr">
        <is>
          <t>chr2</t>
        </is>
      </c>
      <c r="B2190" t="n">
        <v>73588201</v>
      </c>
      <c r="C2190" t="inlineStr">
        <is>
          <t>G</t>
        </is>
      </c>
      <c r="D2190" t="inlineStr">
        <is>
          <t>A</t>
        </is>
      </c>
      <c r="E2190" t="inlineStr">
        <is>
          <t>rs11903916</t>
        </is>
      </c>
      <c r="F2190" t="n">
        <v>-0.00462381678</v>
      </c>
      <c r="G2190" t="n">
        <v>0.7381426885973514</v>
      </c>
      <c r="H2190" t="n">
        <v>0.0078790292919531</v>
      </c>
      <c r="I2190" t="n">
        <v>0.8596080242896519</v>
      </c>
      <c r="J2190" t="n">
        <v>0.0122322045611609</v>
      </c>
      <c r="K2190" t="n">
        <v>0.7169567683272745</v>
      </c>
      <c r="L2190" t="b">
        <v>0</v>
      </c>
      <c r="M2190" t="b">
        <v>0</v>
      </c>
      <c r="N2190" t="inlineStr">
        <is>
          <t>ref</t>
        </is>
      </c>
      <c r="O2190" t="n">
        <v>-45</v>
      </c>
      <c r="P2190" t="n">
        <v>0.003448</v>
      </c>
      <c r="Q2190" t="n">
        <v>95</v>
      </c>
      <c r="R2190" t="n">
        <v>0.00293</v>
      </c>
      <c r="S2190">
        <f>IMAGE("https://mitra.stanford.edu/kundaje/oak/projects/neuro-variants/variant_position/credible/roussos_2024/variant_figures/roussos_2024.childhood.GABA/rs11903916_count_position.png",4,220,900)</f>
        <v/>
      </c>
      <c r="T2190">
        <f>IMAGE("https://mitra.stanford.edu/kundaje/oak/projects/neuro-variants/variant_position/credible/roussos_2024/variant_figures/roussos_2024.childhood.GABA/rs11903916_profile_position.png",4,220,900)</f>
        <v/>
      </c>
    </row>
    <row r="2191">
      <c r="A2191" t="inlineStr">
        <is>
          <t>chr2</t>
        </is>
      </c>
      <c r="B2191" t="n">
        <v>73590111</v>
      </c>
      <c r="C2191" t="inlineStr">
        <is>
          <t>G</t>
        </is>
      </c>
      <c r="D2191" t="inlineStr">
        <is>
          <t>A</t>
        </is>
      </c>
      <c r="E2191" t="inlineStr">
        <is>
          <t>rs7603647</t>
        </is>
      </c>
      <c r="F2191" t="n">
        <v>-0.0466213288</v>
      </c>
      <c r="G2191" t="n">
        <v>0.1699507927798504</v>
      </c>
      <c r="H2191" t="n">
        <v>0.0149522157199091</v>
      </c>
      <c r="I2191" t="n">
        <v>0.2283703349486427</v>
      </c>
      <c r="J2191" t="n">
        <v>0.0043915310674121</v>
      </c>
      <c r="K2191" t="n">
        <v>0.8228750645986505</v>
      </c>
      <c r="L2191" t="b">
        <v>0</v>
      </c>
      <c r="M2191" t="b">
        <v>0</v>
      </c>
      <c r="N2191" t="inlineStr">
        <is>
          <t>ref</t>
        </is>
      </c>
      <c r="O2191" t="n">
        <v>-30</v>
      </c>
      <c r="P2191" t="n">
        <v>0.004776</v>
      </c>
      <c r="Q2191" t="n">
        <v>-30</v>
      </c>
      <c r="R2191" t="n">
        <v>0.008026</v>
      </c>
      <c r="S2191">
        <f>IMAGE("https://mitra.stanford.edu/kundaje/oak/projects/neuro-variants/variant_position/credible/roussos_2024/variant_figures/roussos_2024.childhood.GABA/rs7603647_count_position.png",4,220,900)</f>
        <v/>
      </c>
      <c r="T2191">
        <f>IMAGE("https://mitra.stanford.edu/kundaje/oak/projects/neuro-variants/variant_position/credible/roussos_2024/variant_figures/roussos_2024.childhood.GABA/rs7603647_profile_position.png",4,220,900)</f>
        <v/>
      </c>
    </row>
    <row r="2192">
      <c r="A2192" t="inlineStr">
        <is>
          <t>chr2</t>
        </is>
      </c>
      <c r="B2192" t="n">
        <v>73610624</v>
      </c>
      <c r="C2192" t="inlineStr">
        <is>
          <t>T</t>
        </is>
      </c>
      <c r="D2192" t="inlineStr">
        <is>
          <t>C</t>
        </is>
      </c>
      <c r="E2192" t="inlineStr">
        <is>
          <t>rs6546856</t>
        </is>
      </c>
      <c r="F2192" t="n">
        <v>0.0429579869999999</v>
      </c>
      <c r="G2192" t="n">
        <v>0.1905255663659482</v>
      </c>
      <c r="H2192" t="n">
        <v>0.0152094841179168</v>
      </c>
      <c r="I2192" t="n">
        <v>0.2163512897886474</v>
      </c>
      <c r="J2192" t="n">
        <v>0.06881321857133869</v>
      </c>
      <c r="K2192" t="n">
        <v>0.452494847074316</v>
      </c>
      <c r="L2192" t="b">
        <v>0</v>
      </c>
      <c r="M2192" t="b">
        <v>0</v>
      </c>
      <c r="N2192" t="inlineStr">
        <is>
          <t>alt</t>
        </is>
      </c>
      <c r="O2192" t="n">
        <v>-90</v>
      </c>
      <c r="P2192" t="n">
        <v>0.01968</v>
      </c>
      <c r="Q2192" t="n">
        <v>-100</v>
      </c>
      <c r="R2192" t="n">
        <v>0.0518</v>
      </c>
      <c r="S2192">
        <f>IMAGE("https://mitra.stanford.edu/kundaje/oak/projects/neuro-variants/variant_position/credible/roussos_2024/variant_figures/roussos_2024.childhood.GABA/rs6546856_count_position.png",4,220,900)</f>
        <v/>
      </c>
      <c r="T2192">
        <f>IMAGE("https://mitra.stanford.edu/kundaje/oak/projects/neuro-variants/variant_position/credible/roussos_2024/variant_figures/roussos_2024.childhood.GABA/rs6546856_profile_position.png",4,220,900)</f>
        <v/>
      </c>
    </row>
    <row r="2193">
      <c r="A2193" t="inlineStr">
        <is>
          <t>chr2</t>
        </is>
      </c>
      <c r="B2193" t="n">
        <v>79206501</v>
      </c>
      <c r="C2193" t="inlineStr">
        <is>
          <t>C</t>
        </is>
      </c>
      <c r="D2193" t="inlineStr">
        <is>
          <t>T</t>
        </is>
      </c>
      <c r="E2193" t="inlineStr">
        <is>
          <t>rs13407231</t>
        </is>
      </c>
      <c r="F2193" t="n">
        <v>-0.0192686102</v>
      </c>
      <c r="G2193" t="n">
        <v>0.4678571387252592</v>
      </c>
      <c r="H2193" t="n">
        <v>0.0109169127864945</v>
      </c>
      <c r="I2193" t="n">
        <v>0.5229367177620252</v>
      </c>
      <c r="J2193" t="n">
        <v>0.0423394274465455</v>
      </c>
      <c r="K2193" t="n">
        <v>0.5219663999380081</v>
      </c>
      <c r="L2193" t="b">
        <v>0</v>
      </c>
      <c r="M2193" t="b">
        <v>0</v>
      </c>
      <c r="N2193" t="inlineStr">
        <is>
          <t>ref</t>
        </is>
      </c>
      <c r="O2193" t="n">
        <v>-100</v>
      </c>
      <c r="P2193" t="n">
        <v>0.03186</v>
      </c>
      <c r="Q2193" t="n">
        <v>90</v>
      </c>
      <c r="R2193" t="n">
        <v>0.05237</v>
      </c>
      <c r="S2193">
        <f>IMAGE("https://mitra.stanford.edu/kundaje/oak/projects/neuro-variants/variant_position/credible/roussos_2024/variant_figures/roussos_2024.childhood.GABA/rs13407231_count_position.png",4,220,900)</f>
        <v/>
      </c>
      <c r="T2193">
        <f>IMAGE("https://mitra.stanford.edu/kundaje/oak/projects/neuro-variants/variant_position/credible/roussos_2024/variant_figures/roussos_2024.childhood.GABA/rs13407231_profile_position.png",4,220,900)</f>
        <v/>
      </c>
    </row>
    <row r="2194">
      <c r="A2194" t="inlineStr">
        <is>
          <t>chr2</t>
        </is>
      </c>
      <c r="B2194" t="n">
        <v>79206616</v>
      </c>
      <c r="C2194" t="inlineStr">
        <is>
          <t>C</t>
        </is>
      </c>
      <c r="D2194" t="inlineStr">
        <is>
          <t>G</t>
        </is>
      </c>
      <c r="E2194" t="inlineStr">
        <is>
          <t>rs17016552</t>
        </is>
      </c>
      <c r="F2194" t="n">
        <v>0.1135578948</v>
      </c>
      <c r="G2194" t="n">
        <v>0.0203183901336092</v>
      </c>
      <c r="H2194" t="n">
        <v>0.0272980706398067</v>
      </c>
      <c r="I2194" t="n">
        <v>0.0200682179359177</v>
      </c>
      <c r="J2194" t="n">
        <v>0.0554983141714309</v>
      </c>
      <c r="K2194" t="n">
        <v>0.4753861883076322</v>
      </c>
      <c r="L2194" t="b">
        <v>0</v>
      </c>
      <c r="M2194" t="b">
        <v>0</v>
      </c>
      <c r="N2194" t="inlineStr">
        <is>
          <t>alt</t>
        </is>
      </c>
      <c r="O2194" t="n">
        <v>-100</v>
      </c>
      <c r="P2194" t="n">
        <v>0.0045</v>
      </c>
      <c r="Q2194" t="n">
        <v>100</v>
      </c>
      <c r="R2194" t="n">
        <v>0.09625</v>
      </c>
      <c r="S2194">
        <f>IMAGE("https://mitra.stanford.edu/kundaje/oak/projects/neuro-variants/variant_position/credible/roussos_2024/variant_figures/roussos_2024.childhood.GABA/rs17016552_count_position.png",4,220,900)</f>
        <v/>
      </c>
      <c r="T2194">
        <f>IMAGE("https://mitra.stanford.edu/kundaje/oak/projects/neuro-variants/variant_position/credible/roussos_2024/variant_figures/roussos_2024.childhood.GABA/rs17016552_profile_position.png",4,220,900)</f>
        <v/>
      </c>
    </row>
    <row r="2195">
      <c r="A2195" t="inlineStr">
        <is>
          <t>chr2</t>
        </is>
      </c>
      <c r="B2195" t="n">
        <v>79211546</v>
      </c>
      <c r="C2195" t="inlineStr">
        <is>
          <t>G</t>
        </is>
      </c>
      <c r="D2195" t="inlineStr">
        <is>
          <t>A</t>
        </is>
      </c>
      <c r="E2195" t="inlineStr">
        <is>
          <t>rs13406464</t>
        </is>
      </c>
      <c r="F2195" t="n">
        <v>0.0827259704</v>
      </c>
      <c r="G2195" t="n">
        <v>0.0556039891376824</v>
      </c>
      <c r="H2195" t="n">
        <v>0.0285278116175651</v>
      </c>
      <c r="I2195" t="n">
        <v>0.0166323055323461</v>
      </c>
      <c r="J2195" t="n">
        <v>0.1857301417771354</v>
      </c>
      <c r="K2195" t="n">
        <v>0.2321744119206018</v>
      </c>
      <c r="L2195" t="b">
        <v>1</v>
      </c>
      <c r="M2195" t="b">
        <v>0</v>
      </c>
      <c r="N2195" t="inlineStr">
        <is>
          <t>alt</t>
        </is>
      </c>
      <c r="O2195" t="n">
        <v>100</v>
      </c>
      <c r="P2195" t="n">
        <v>0.005547</v>
      </c>
      <c r="Q2195" t="n">
        <v>-75</v>
      </c>
      <c r="R2195" t="n">
        <v>0.1276</v>
      </c>
      <c r="S2195">
        <f>IMAGE("https://mitra.stanford.edu/kundaje/oak/projects/neuro-variants/variant_position/credible/roussos_2024/variant_figures/roussos_2024.childhood.GABA/rs13406464_count_position.png",4,220,900)</f>
        <v/>
      </c>
      <c r="T2195">
        <f>IMAGE("https://mitra.stanford.edu/kundaje/oak/projects/neuro-variants/variant_position/credible/roussos_2024/variant_figures/roussos_2024.childhood.GABA/rs13406464_profile_position.png",4,220,900)</f>
        <v/>
      </c>
    </row>
    <row r="2196">
      <c r="A2196" t="inlineStr">
        <is>
          <t>chr2</t>
        </is>
      </c>
      <c r="B2196" t="n">
        <v>104359740</v>
      </c>
      <c r="C2196" t="inlineStr">
        <is>
          <t>G</t>
        </is>
      </c>
      <c r="D2196" t="inlineStr">
        <is>
          <t>A</t>
        </is>
      </c>
      <c r="E2196" t="inlineStr">
        <is>
          <t>rs4535062</t>
        </is>
      </c>
      <c r="F2196" t="n">
        <v>-0.0321025764</v>
      </c>
      <c r="G2196" t="n">
        <v>0.2788724899512869</v>
      </c>
      <c r="H2196" t="n">
        <v>0.0208523617914888</v>
      </c>
      <c r="I2196" t="n">
        <v>0.06390342844459421</v>
      </c>
      <c r="J2196" t="n">
        <v>0.0376766978702016</v>
      </c>
      <c r="K2196" t="n">
        <v>0.5402611769414263</v>
      </c>
      <c r="L2196" t="b">
        <v>0</v>
      </c>
      <c r="M2196" t="b">
        <v>0</v>
      </c>
      <c r="N2196" t="inlineStr">
        <is>
          <t>ref</t>
        </is>
      </c>
      <c r="O2196" t="n">
        <v>-40</v>
      </c>
      <c r="P2196" t="n">
        <v>0.003448</v>
      </c>
      <c r="Q2196" t="n">
        <v>-15</v>
      </c>
      <c r="R2196" t="n">
        <v>0.01878</v>
      </c>
      <c r="S2196">
        <f>IMAGE("https://mitra.stanford.edu/kundaje/oak/projects/neuro-variants/variant_position/credible/roussos_2024/variant_figures/roussos_2024.childhood.GABA/rs4535062_count_position.png",4,220,900)</f>
        <v/>
      </c>
      <c r="T2196">
        <f>IMAGE("https://mitra.stanford.edu/kundaje/oak/projects/neuro-variants/variant_position/credible/roussos_2024/variant_figures/roussos_2024.childhood.GABA/rs4535062_profile_position.png",4,220,900)</f>
        <v/>
      </c>
    </row>
    <row r="2197">
      <c r="A2197" t="inlineStr">
        <is>
          <t>chr2</t>
        </is>
      </c>
      <c r="B2197" t="n">
        <v>104365522</v>
      </c>
      <c r="C2197" t="inlineStr">
        <is>
          <t>A</t>
        </is>
      </c>
      <c r="D2197" t="inlineStr">
        <is>
          <t>G</t>
        </is>
      </c>
      <c r="E2197" t="inlineStr">
        <is>
          <t>rs17029753</t>
        </is>
      </c>
      <c r="F2197" t="n">
        <v>-0.1042110259999999</v>
      </c>
      <c r="G2197" t="n">
        <v>0.031103188655879</v>
      </c>
      <c r="H2197" t="n">
        <v>0.0275789268883593</v>
      </c>
      <c r="I2197" t="n">
        <v>0.0190805473784445</v>
      </c>
      <c r="J2197" t="n">
        <v>0.09153525580616099</v>
      </c>
      <c r="K2197" t="n">
        <v>0.3713696178099038</v>
      </c>
      <c r="L2197" t="b">
        <v>1</v>
      </c>
      <c r="M2197" t="b">
        <v>0</v>
      </c>
      <c r="N2197" t="inlineStr">
        <is>
          <t>ref</t>
        </is>
      </c>
      <c r="O2197" t="n">
        <v>-95</v>
      </c>
      <c r="P2197" t="n">
        <v>0.0427</v>
      </c>
      <c r="Q2197" t="n">
        <v>-100</v>
      </c>
      <c r="R2197" t="n">
        <v>0.08434999999999999</v>
      </c>
      <c r="S2197">
        <f>IMAGE("https://mitra.stanford.edu/kundaje/oak/projects/neuro-variants/variant_position/credible/roussos_2024/variant_figures/roussos_2024.childhood.GABA/rs17029753_count_position.png",4,220,900)</f>
        <v/>
      </c>
      <c r="T2197">
        <f>IMAGE("https://mitra.stanford.edu/kundaje/oak/projects/neuro-variants/variant_position/credible/roussos_2024/variant_figures/roussos_2024.childhood.GABA/rs17029753_profile_position.png",4,220,900)</f>
        <v/>
      </c>
    </row>
    <row r="2198">
      <c r="A2198" t="inlineStr">
        <is>
          <t>chr2</t>
        </is>
      </c>
      <c r="B2198" t="n">
        <v>104365851</v>
      </c>
      <c r="C2198" t="inlineStr">
        <is>
          <t>T</t>
        </is>
      </c>
      <c r="D2198" t="inlineStr">
        <is>
          <t>G</t>
        </is>
      </c>
      <c r="E2198" t="inlineStr">
        <is>
          <t>rs60641243</t>
        </is>
      </c>
      <c r="F2198" t="n">
        <v>0.0867885475999999</v>
      </c>
      <c r="G2198" t="n">
        <v>0.0438479525832785</v>
      </c>
      <c r="H2198" t="n">
        <v>0.0118793750289323</v>
      </c>
      <c r="I2198" t="n">
        <v>0.4461483962270055</v>
      </c>
      <c r="J2198" t="n">
        <v>0.1122510523339825</v>
      </c>
      <c r="K2198" t="n">
        <v>0.3319902005141839</v>
      </c>
      <c r="L2198" t="b">
        <v>0</v>
      </c>
      <c r="M2198" t="b">
        <v>0</v>
      </c>
      <c r="N2198" t="inlineStr">
        <is>
          <t>alt</t>
        </is>
      </c>
      <c r="O2198" t="n">
        <v>95</v>
      </c>
      <c r="P2198" t="n">
        <v>0.007713</v>
      </c>
      <c r="Q2198" t="n">
        <v>45</v>
      </c>
      <c r="R2198" t="n">
        <v>0.073</v>
      </c>
      <c r="S2198">
        <f>IMAGE("https://mitra.stanford.edu/kundaje/oak/projects/neuro-variants/variant_position/credible/roussos_2024/variant_figures/roussos_2024.childhood.GABA/rs60641243_count_position.png",4,220,900)</f>
        <v/>
      </c>
      <c r="T2198">
        <f>IMAGE("https://mitra.stanford.edu/kundaje/oak/projects/neuro-variants/variant_position/credible/roussos_2024/variant_figures/roussos_2024.childhood.GABA/rs60641243_profile_position.png",4,220,900)</f>
        <v/>
      </c>
    </row>
    <row r="2199">
      <c r="A2199" t="inlineStr">
        <is>
          <t>chr2</t>
        </is>
      </c>
      <c r="B2199" t="n">
        <v>104367098</v>
      </c>
      <c r="C2199" t="inlineStr">
        <is>
          <t>C</t>
        </is>
      </c>
      <c r="D2199" t="inlineStr">
        <is>
          <t>G</t>
        </is>
      </c>
      <c r="E2199" t="inlineStr">
        <is>
          <t>rs7598321</t>
        </is>
      </c>
      <c r="F2199" t="n">
        <v>0.15969543</v>
      </c>
      <c r="G2199" t="n">
        <v>0.008543796389042501</v>
      </c>
      <c r="H2199" t="n">
        <v>0.0322152188724313</v>
      </c>
      <c r="I2199" t="n">
        <v>0.009935870669402399</v>
      </c>
      <c r="J2199" t="n">
        <v>0.1039821155577893</v>
      </c>
      <c r="K2199" t="n">
        <v>0.3393763110235608</v>
      </c>
      <c r="L2199" t="b">
        <v>1</v>
      </c>
      <c r="M2199" t="b">
        <v>1</v>
      </c>
      <c r="N2199" t="inlineStr">
        <is>
          <t>alt</t>
        </is>
      </c>
      <c r="O2199" t="n">
        <v>40</v>
      </c>
      <c r="P2199" t="n">
        <v>0.001648</v>
      </c>
      <c r="Q2199" t="n">
        <v>15</v>
      </c>
      <c r="R2199" t="n">
        <v>0.004395</v>
      </c>
      <c r="S2199">
        <f>IMAGE("https://mitra.stanford.edu/kundaje/oak/projects/neuro-variants/variant_position/credible/roussos_2024/variant_figures/roussos_2024.childhood.GABA/rs7598321_count_position.png",4,220,900)</f>
        <v/>
      </c>
      <c r="T2199">
        <f>IMAGE("https://mitra.stanford.edu/kundaje/oak/projects/neuro-variants/variant_position/credible/roussos_2024/variant_figures/roussos_2024.childhood.GABA/rs7598321_profile_position.png",4,220,900)</f>
        <v/>
      </c>
    </row>
    <row r="2200">
      <c r="A2200" t="inlineStr">
        <is>
          <t>chr2</t>
        </is>
      </c>
      <c r="B2200" t="n">
        <v>104367929</v>
      </c>
      <c r="C2200" t="inlineStr">
        <is>
          <t>C</t>
        </is>
      </c>
      <c r="D2200" t="inlineStr">
        <is>
          <t>T</t>
        </is>
      </c>
      <c r="E2200" t="inlineStr">
        <is>
          <t>rs62152284</t>
        </is>
      </c>
      <c r="F2200" t="n">
        <v>-0.000827573048</v>
      </c>
      <c r="G2200" t="n">
        <v>0.8968706046286328</v>
      </c>
      <c r="H2200" t="n">
        <v>0.0200969418679705</v>
      </c>
      <c r="I2200" t="n">
        <v>0.07279778358445139</v>
      </c>
      <c r="J2200" t="n">
        <v>0.1571474942933132</v>
      </c>
      <c r="K2200" t="n">
        <v>0.2648111431188175</v>
      </c>
      <c r="L2200" t="b">
        <v>0</v>
      </c>
      <c r="M2200" t="b">
        <v>0</v>
      </c>
      <c r="N2200" t="inlineStr">
        <is>
          <t>ref</t>
        </is>
      </c>
      <c r="O2200" t="n">
        <v>10</v>
      </c>
      <c r="P2200" t="n">
        <v>0.00344</v>
      </c>
      <c r="Q2200" t="n">
        <v>50</v>
      </c>
      <c r="R2200" t="n">
        <v>0.1231</v>
      </c>
      <c r="S2200">
        <f>IMAGE("https://mitra.stanford.edu/kundaje/oak/projects/neuro-variants/variant_position/credible/roussos_2024/variant_figures/roussos_2024.childhood.GABA/rs62152284_count_position.png",4,220,900)</f>
        <v/>
      </c>
      <c r="T2200">
        <f>IMAGE("https://mitra.stanford.edu/kundaje/oak/projects/neuro-variants/variant_position/credible/roussos_2024/variant_figures/roussos_2024.childhood.GABA/rs62152284_profile_position.png",4,220,900)</f>
        <v/>
      </c>
    </row>
    <row r="2201">
      <c r="A2201" t="inlineStr">
        <is>
          <t>chr2</t>
        </is>
      </c>
      <c r="B2201" t="n">
        <v>104389309</v>
      </c>
      <c r="C2201" t="inlineStr">
        <is>
          <t>T</t>
        </is>
      </c>
      <c r="D2201" t="inlineStr">
        <is>
          <t>C</t>
        </is>
      </c>
      <c r="E2201" t="inlineStr">
        <is>
          <t>rs112338729</t>
        </is>
      </c>
      <c r="F2201" t="n">
        <v>-0.0552304912</v>
      </c>
      <c r="G2201" t="n">
        <v>0.1277730942543024</v>
      </c>
      <c r="H2201" t="n">
        <v>0.0179908752757315</v>
      </c>
      <c r="I2201" t="n">
        <v>0.1178890096320759</v>
      </c>
      <c r="J2201" t="n">
        <v>0.0436388766727397</v>
      </c>
      <c r="K2201" t="n">
        <v>0.5356299809045633</v>
      </c>
      <c r="L2201" t="b">
        <v>0</v>
      </c>
      <c r="M2201" t="b">
        <v>0</v>
      </c>
      <c r="N2201" t="inlineStr">
        <is>
          <t>ref</t>
        </is>
      </c>
      <c r="O2201" t="n">
        <v>35</v>
      </c>
      <c r="P2201" t="n">
        <v>0.003387</v>
      </c>
      <c r="Q2201" t="n">
        <v>-100</v>
      </c>
      <c r="R2201" t="n">
        <v>0.03207</v>
      </c>
      <c r="S2201">
        <f>IMAGE("https://mitra.stanford.edu/kundaje/oak/projects/neuro-variants/variant_position/credible/roussos_2024/variant_figures/roussos_2024.childhood.GABA/rs112338729_count_position.png",4,220,900)</f>
        <v/>
      </c>
      <c r="T2201">
        <f>IMAGE("https://mitra.stanford.edu/kundaje/oak/projects/neuro-variants/variant_position/credible/roussos_2024/variant_figures/roussos_2024.childhood.GABA/rs112338729_profile_position.png",4,220,900)</f>
        <v/>
      </c>
    </row>
    <row r="2202">
      <c r="A2202" t="inlineStr">
        <is>
          <t>chr2</t>
        </is>
      </c>
      <c r="B2202" t="n">
        <v>134086836</v>
      </c>
      <c r="C2202" t="inlineStr">
        <is>
          <t>T</t>
        </is>
      </c>
      <c r="D2202" t="inlineStr">
        <is>
          <t>C</t>
        </is>
      </c>
      <c r="E2202" t="inlineStr">
        <is>
          <t>rs6729836</t>
        </is>
      </c>
      <c r="F2202" t="n">
        <v>0.0056460528</v>
      </c>
      <c r="G2202" t="n">
        <v>0.4039655703470595</v>
      </c>
      <c r="H2202" t="n">
        <v>0.0205272933515058</v>
      </c>
      <c r="I2202" t="n">
        <v>0.0669923555592363</v>
      </c>
      <c r="J2202" t="n">
        <v>0.2162520156645933</v>
      </c>
      <c r="K2202" t="n">
        <v>0.200449837741853</v>
      </c>
      <c r="L2202" t="b">
        <v>0</v>
      </c>
      <c r="M2202" t="b">
        <v>0</v>
      </c>
      <c r="N2202" t="inlineStr">
        <is>
          <t>alt</t>
        </is>
      </c>
      <c r="O2202" t="n">
        <v>-40</v>
      </c>
      <c r="P2202" t="n">
        <v>0.01233</v>
      </c>
      <c r="Q2202" t="n">
        <v>-100</v>
      </c>
      <c r="R2202" t="n">
        <v>0.06469999999999999</v>
      </c>
      <c r="S2202">
        <f>IMAGE("https://mitra.stanford.edu/kundaje/oak/projects/neuro-variants/variant_position/credible/roussos_2024/variant_figures/roussos_2024.childhood.GABA/rs6729836_count_position.png",4,220,900)</f>
        <v/>
      </c>
      <c r="T2202">
        <f>IMAGE("https://mitra.stanford.edu/kundaje/oak/projects/neuro-variants/variant_position/credible/roussos_2024/variant_figures/roussos_2024.childhood.GABA/rs6729836_profile_position.png",4,220,900)</f>
        <v/>
      </c>
    </row>
    <row r="2203">
      <c r="A2203" t="inlineStr">
        <is>
          <t>chr2</t>
        </is>
      </c>
      <c r="B2203" t="n">
        <v>140300603</v>
      </c>
      <c r="C2203" t="inlineStr">
        <is>
          <t>T</t>
        </is>
      </c>
      <c r="D2203" t="inlineStr">
        <is>
          <t>C</t>
        </is>
      </c>
      <c r="E2203" t="inlineStr">
        <is>
          <t>rs10203500</t>
        </is>
      </c>
      <c r="F2203" t="n">
        <v>0.08169337140000001</v>
      </c>
      <c r="G2203" t="n">
        <v>0.0487438796865566</v>
      </c>
      <c r="H2203" t="n">
        <v>0.0142791617198206</v>
      </c>
      <c r="I2203" t="n">
        <v>0.263699099675609</v>
      </c>
      <c r="J2203" t="n">
        <v>0.0439624301061757</v>
      </c>
      <c r="K2203" t="n">
        <v>0.5077867969150999</v>
      </c>
      <c r="L2203" t="b">
        <v>0</v>
      </c>
      <c r="M2203" t="b">
        <v>0</v>
      </c>
      <c r="N2203" t="inlineStr">
        <is>
          <t>alt</t>
        </is>
      </c>
      <c r="O2203" t="n">
        <v>-20</v>
      </c>
      <c r="P2203" t="n">
        <v>0.002607</v>
      </c>
      <c r="Q2203" t="n">
        <v>-80</v>
      </c>
      <c r="R2203" t="n">
        <v>0.02722</v>
      </c>
      <c r="S2203">
        <f>IMAGE("https://mitra.stanford.edu/kundaje/oak/projects/neuro-variants/variant_position/credible/roussos_2024/variant_figures/roussos_2024.childhood.GABA/rs10203500_count_position.png",4,220,900)</f>
        <v/>
      </c>
      <c r="T2203">
        <f>IMAGE("https://mitra.stanford.edu/kundaje/oak/projects/neuro-variants/variant_position/credible/roussos_2024/variant_figures/roussos_2024.childhood.GABA/rs10203500_profile_position.png",4,220,900)</f>
        <v/>
      </c>
    </row>
    <row r="2204">
      <c r="A2204" t="inlineStr">
        <is>
          <t>chr2</t>
        </is>
      </c>
      <c r="B2204" t="n">
        <v>140302839</v>
      </c>
      <c r="C2204" t="inlineStr">
        <is>
          <t>G</t>
        </is>
      </c>
      <c r="D2204" t="inlineStr">
        <is>
          <t>A</t>
        </is>
      </c>
      <c r="E2204" t="inlineStr">
        <is>
          <t>rs12692042</t>
        </is>
      </c>
      <c r="F2204" t="n">
        <v>0.0382126918</v>
      </c>
      <c r="G2204" t="n">
        <v>0.2103516499980015</v>
      </c>
      <c r="H2204" t="n">
        <v>0.0156049626256143</v>
      </c>
      <c r="I2204" t="n">
        <v>0.1940617704312133</v>
      </c>
      <c r="J2204" t="n">
        <v>0.0063433226529286</v>
      </c>
      <c r="K2204" t="n">
        <v>0.8049455922327676</v>
      </c>
      <c r="L2204" t="b">
        <v>0</v>
      </c>
      <c r="M2204" t="b">
        <v>0</v>
      </c>
      <c r="N2204" t="inlineStr">
        <is>
          <t>alt</t>
        </is>
      </c>
      <c r="O2204" t="n">
        <v>-35</v>
      </c>
      <c r="P2204" t="n">
        <v>0.0006194</v>
      </c>
      <c r="Q2204" t="n">
        <v>35</v>
      </c>
      <c r="R2204" t="n">
        <v>0.02637</v>
      </c>
      <c r="S2204">
        <f>IMAGE("https://mitra.stanford.edu/kundaje/oak/projects/neuro-variants/variant_position/credible/roussos_2024/variant_figures/roussos_2024.childhood.GABA/rs12692042_count_position.png",4,220,900)</f>
        <v/>
      </c>
      <c r="T2204">
        <f>IMAGE("https://mitra.stanford.edu/kundaje/oak/projects/neuro-variants/variant_position/credible/roussos_2024/variant_figures/roussos_2024.childhood.GABA/rs12692042_profile_position.png",4,220,900)</f>
        <v/>
      </c>
    </row>
    <row r="2205">
      <c r="A2205" t="inlineStr">
        <is>
          <t>chr2</t>
        </is>
      </c>
      <c r="B2205" t="n">
        <v>140315675</v>
      </c>
      <c r="C2205" t="inlineStr">
        <is>
          <t>C</t>
        </is>
      </c>
      <c r="D2205" t="inlineStr">
        <is>
          <t>A</t>
        </is>
      </c>
      <c r="E2205" t="inlineStr">
        <is>
          <t>rs17477145</t>
        </is>
      </c>
      <c r="F2205" t="n">
        <v>0.00254704216</v>
      </c>
      <c r="G2205" t="n">
        <v>0.6129040589727359</v>
      </c>
      <c r="H2205" t="n">
        <v>0.0256342936053495</v>
      </c>
      <c r="I2205" t="n">
        <v>0.0255667190006354</v>
      </c>
      <c r="J2205" t="n">
        <v>0.007856379971099999</v>
      </c>
      <c r="K2205" t="n">
        <v>0.776895175499159</v>
      </c>
      <c r="L2205" t="b">
        <v>0</v>
      </c>
      <c r="M2205" t="b">
        <v>0</v>
      </c>
      <c r="N2205" t="inlineStr">
        <is>
          <t>alt</t>
        </is>
      </c>
      <c r="O2205" t="n">
        <v>5</v>
      </c>
      <c r="P2205" t="n">
        <v>0.0001373</v>
      </c>
      <c r="Q2205" t="n">
        <v>-5</v>
      </c>
      <c r="R2205" t="n">
        <v>0.001343</v>
      </c>
      <c r="S2205">
        <f>IMAGE("https://mitra.stanford.edu/kundaje/oak/projects/neuro-variants/variant_position/credible/roussos_2024/variant_figures/roussos_2024.childhood.GABA/rs17477145_count_position.png",4,220,900)</f>
        <v/>
      </c>
      <c r="T2205">
        <f>IMAGE("https://mitra.stanford.edu/kundaje/oak/projects/neuro-variants/variant_position/credible/roussos_2024/variant_figures/roussos_2024.childhood.GABA/rs17477145_profile_position.png",4,220,900)</f>
        <v/>
      </c>
    </row>
    <row r="2206">
      <c r="A2206" t="inlineStr">
        <is>
          <t>chr2</t>
        </is>
      </c>
      <c r="B2206" t="n">
        <v>140315711</v>
      </c>
      <c r="C2206" t="inlineStr">
        <is>
          <t>A</t>
        </is>
      </c>
      <c r="D2206" t="inlineStr">
        <is>
          <t>C</t>
        </is>
      </c>
      <c r="E2206" t="inlineStr">
        <is>
          <t>rs13386580</t>
        </is>
      </c>
      <c r="F2206" t="n">
        <v>-0.0192156349</v>
      </c>
      <c r="G2206" t="n">
        <v>0.4504020254677692</v>
      </c>
      <c r="H2206" t="n">
        <v>0.0206076756602815</v>
      </c>
      <c r="I2206" t="n">
        <v>0.0673527033060165</v>
      </c>
      <c r="J2206" t="n">
        <v>0.0092123725157587</v>
      </c>
      <c r="K2206" t="n">
        <v>0.7600556975250442</v>
      </c>
      <c r="L2206" t="b">
        <v>0</v>
      </c>
      <c r="M2206" t="b">
        <v>0</v>
      </c>
      <c r="N2206" t="inlineStr">
        <is>
          <t>ref</t>
        </is>
      </c>
      <c r="O2206" t="n">
        <v>-30</v>
      </c>
      <c r="P2206" t="n">
        <v>0.0006332</v>
      </c>
      <c r="Q2206" t="n">
        <v>-40</v>
      </c>
      <c r="R2206" t="n">
        <v>0.04547</v>
      </c>
      <c r="S2206">
        <f>IMAGE("https://mitra.stanford.edu/kundaje/oak/projects/neuro-variants/variant_position/credible/roussos_2024/variant_figures/roussos_2024.childhood.GABA/rs13386580_count_position.png",4,220,900)</f>
        <v/>
      </c>
      <c r="T2206">
        <f>IMAGE("https://mitra.stanford.edu/kundaje/oak/projects/neuro-variants/variant_position/credible/roussos_2024/variant_figures/roussos_2024.childhood.GABA/rs13386580_profile_position.png",4,220,900)</f>
        <v/>
      </c>
    </row>
    <row r="2207">
      <c r="A2207" t="inlineStr">
        <is>
          <t>chr2</t>
        </is>
      </c>
      <c r="B2207" t="n">
        <v>140329524</v>
      </c>
      <c r="C2207" t="inlineStr">
        <is>
          <t>G</t>
        </is>
      </c>
      <c r="D2207" t="inlineStr">
        <is>
          <t>A</t>
        </is>
      </c>
      <c r="E2207" t="inlineStr">
        <is>
          <t>rs10208226</t>
        </is>
      </c>
      <c r="F2207" t="n">
        <v>0.07692281599999989</v>
      </c>
      <c r="G2207" t="n">
        <v>0.0605067641181123</v>
      </c>
      <c r="H2207" t="n">
        <v>0.0243522104573079</v>
      </c>
      <c r="I2207" t="n">
        <v>0.0320824099964329</v>
      </c>
      <c r="J2207" t="n">
        <v>0.0372515758832275</v>
      </c>
      <c r="K2207" t="n">
        <v>0.5514435603842155</v>
      </c>
      <c r="L2207" t="b">
        <v>0</v>
      </c>
      <c r="M2207" t="b">
        <v>0</v>
      </c>
      <c r="N2207" t="inlineStr">
        <is>
          <t>alt</t>
        </is>
      </c>
      <c r="O2207" t="n">
        <v>-80</v>
      </c>
      <c r="P2207" t="n">
        <v>0.01341</v>
      </c>
      <c r="Q2207" t="n">
        <v>-85</v>
      </c>
      <c r="R2207" t="n">
        <v>0.05396</v>
      </c>
      <c r="S2207">
        <f>IMAGE("https://mitra.stanford.edu/kundaje/oak/projects/neuro-variants/variant_position/credible/roussos_2024/variant_figures/roussos_2024.childhood.GABA/rs10208226_count_position.png",4,220,900)</f>
        <v/>
      </c>
      <c r="T2207">
        <f>IMAGE("https://mitra.stanford.edu/kundaje/oak/projects/neuro-variants/variant_position/credible/roussos_2024/variant_figures/roussos_2024.childhood.GABA/rs10208226_profile_position.png",4,220,900)</f>
        <v/>
      </c>
    </row>
    <row r="2208">
      <c r="A2208" t="inlineStr">
        <is>
          <t>chr2</t>
        </is>
      </c>
      <c r="B2208" t="n">
        <v>140345146</v>
      </c>
      <c r="C2208" t="inlineStr">
        <is>
          <t>A</t>
        </is>
      </c>
      <c r="D2208" t="inlineStr">
        <is>
          <t>G</t>
        </is>
      </c>
      <c r="E2208" t="inlineStr">
        <is>
          <t>rs1401123</t>
        </is>
      </c>
      <c r="F2208" t="n">
        <v>0.0478781804</v>
      </c>
      <c r="G2208" t="n">
        <v>0.1431131798580623</v>
      </c>
      <c r="H2208" t="n">
        <v>0.0114578651392293</v>
      </c>
      <c r="I2208" t="n">
        <v>0.4828876323588665</v>
      </c>
      <c r="J2208" t="n">
        <v>0.0073548197943498</v>
      </c>
      <c r="K2208" t="n">
        <v>0.7942357977721854</v>
      </c>
      <c r="L2208" t="b">
        <v>0</v>
      </c>
      <c r="M2208" t="b">
        <v>0</v>
      </c>
      <c r="N2208" t="inlineStr">
        <is>
          <t>alt</t>
        </is>
      </c>
      <c r="O2208" t="n">
        <v>-55</v>
      </c>
      <c r="P2208" t="n">
        <v>0.004444</v>
      </c>
      <c r="Q2208" t="n">
        <v>-55</v>
      </c>
      <c r="R2208" t="n">
        <v>0.0859</v>
      </c>
      <c r="S2208">
        <f>IMAGE("https://mitra.stanford.edu/kundaje/oak/projects/neuro-variants/variant_position/credible/roussos_2024/variant_figures/roussos_2024.childhood.GABA/rs1401123_count_position.png",4,220,900)</f>
        <v/>
      </c>
      <c r="T2208">
        <f>IMAGE("https://mitra.stanford.edu/kundaje/oak/projects/neuro-variants/variant_position/credible/roussos_2024/variant_figures/roussos_2024.childhood.GABA/rs1401123_profile_position.png",4,220,900)</f>
        <v/>
      </c>
    </row>
    <row r="2209">
      <c r="A2209" t="inlineStr">
        <is>
          <t>chr2</t>
        </is>
      </c>
      <c r="B2209" t="n">
        <v>140355793</v>
      </c>
      <c r="C2209" t="inlineStr">
        <is>
          <t>C</t>
        </is>
      </c>
      <c r="D2209" t="inlineStr">
        <is>
          <t>T</t>
        </is>
      </c>
      <c r="E2209" t="inlineStr">
        <is>
          <t>rs10202846</t>
        </is>
      </c>
      <c r="F2209" t="n">
        <v>-0.0009644298199998999</v>
      </c>
      <c r="G2209" t="n">
        <v>0.5495238629790588</v>
      </c>
      <c r="H2209" t="n">
        <v>0.0189237429765168</v>
      </c>
      <c r="I2209" t="n">
        <v>0.0938393842134591</v>
      </c>
      <c r="J2209" t="n">
        <v>0.014440535276748</v>
      </c>
      <c r="K2209" t="n">
        <v>0.6967457459795569</v>
      </c>
      <c r="L2209" t="b">
        <v>0</v>
      </c>
      <c r="M2209" t="b">
        <v>0</v>
      </c>
      <c r="N2209" t="inlineStr">
        <is>
          <t>ref</t>
        </is>
      </c>
      <c r="O2209" t="n">
        <v>95</v>
      </c>
      <c r="P2209" t="n">
        <v>0.004524</v>
      </c>
      <c r="Q2209" t="n">
        <v>-95</v>
      </c>
      <c r="R2209" t="n">
        <v>0.07099999999999999</v>
      </c>
      <c r="S2209">
        <f>IMAGE("https://mitra.stanford.edu/kundaje/oak/projects/neuro-variants/variant_position/credible/roussos_2024/variant_figures/roussos_2024.childhood.GABA/rs10202846_count_position.png",4,220,900)</f>
        <v/>
      </c>
      <c r="T2209">
        <f>IMAGE("https://mitra.stanford.edu/kundaje/oak/projects/neuro-variants/variant_position/credible/roussos_2024/variant_figures/roussos_2024.childhood.GABA/rs10202846_profile_position.png",4,220,900)</f>
        <v/>
      </c>
    </row>
    <row r="2210">
      <c r="A2210" t="inlineStr">
        <is>
          <t>chr2</t>
        </is>
      </c>
      <c r="B2210" t="n">
        <v>144469483</v>
      </c>
      <c r="C2210" t="inlineStr">
        <is>
          <t>C</t>
        </is>
      </c>
      <c r="D2210" t="inlineStr">
        <is>
          <t>T</t>
        </is>
      </c>
      <c r="E2210" t="inlineStr">
        <is>
          <t>rs9287360</t>
        </is>
      </c>
      <c r="F2210" t="n">
        <v>-0.0124870206</v>
      </c>
      <c r="G2210" t="n">
        <v>0.4014242934828721</v>
      </c>
      <c r="H2210" t="n">
        <v>0.008384986796999399</v>
      </c>
      <c r="I2210" t="n">
        <v>0.8199543087237242</v>
      </c>
      <c r="J2210" t="n">
        <v>0.0924923038260978</v>
      </c>
      <c r="K2210" t="n">
        <v>0.3653951138817278</v>
      </c>
      <c r="L2210" t="b">
        <v>0</v>
      </c>
      <c r="M2210" t="b">
        <v>0</v>
      </c>
      <c r="N2210" t="inlineStr">
        <is>
          <t>ref</t>
        </is>
      </c>
      <c r="O2210" t="n">
        <v>-95</v>
      </c>
      <c r="P2210" t="n">
        <v>0.002605</v>
      </c>
      <c r="Q2210" t="n">
        <v>5</v>
      </c>
      <c r="R2210" t="n">
        <v>0.00464</v>
      </c>
      <c r="S2210">
        <f>IMAGE("https://mitra.stanford.edu/kundaje/oak/projects/neuro-variants/variant_position/credible/roussos_2024/variant_figures/roussos_2024.childhood.GABA/rs9287360_count_position.png",4,220,900)</f>
        <v/>
      </c>
      <c r="T2210">
        <f>IMAGE("https://mitra.stanford.edu/kundaje/oak/projects/neuro-variants/variant_position/credible/roussos_2024/variant_figures/roussos_2024.childhood.GABA/rs9287360_profile_position.png",4,220,900)</f>
        <v/>
      </c>
    </row>
    <row r="2211">
      <c r="A2211" t="inlineStr">
        <is>
          <t>chr2</t>
        </is>
      </c>
      <c r="B2211" t="n">
        <v>145662536</v>
      </c>
      <c r="C2211" t="inlineStr">
        <is>
          <t>C</t>
        </is>
      </c>
      <c r="D2211" t="inlineStr">
        <is>
          <t>A</t>
        </is>
      </c>
      <c r="E2211" t="inlineStr">
        <is>
          <t>rs67082009</t>
        </is>
      </c>
      <c r="F2211" t="n">
        <v>0.01099945214</v>
      </c>
      <c r="G2211" t="n">
        <v>0.5483284677310911</v>
      </c>
      <c r="H2211" t="n">
        <v>0.0290999514838602</v>
      </c>
      <c r="I2211" t="n">
        <v>0.0142915866134137</v>
      </c>
      <c r="J2211" t="n">
        <v>0.009880421352432301</v>
      </c>
      <c r="K2211" t="n">
        <v>0.7523794706539672</v>
      </c>
      <c r="L2211" t="b">
        <v>0</v>
      </c>
      <c r="M2211" t="b">
        <v>0</v>
      </c>
      <c r="N2211" t="inlineStr">
        <is>
          <t>alt</t>
        </is>
      </c>
      <c r="O2211" t="n">
        <v>95</v>
      </c>
      <c r="P2211" t="n">
        <v>0.02345</v>
      </c>
      <c r="Q2211" t="n">
        <v>95</v>
      </c>
      <c r="R2211" t="n">
        <v>0.3271</v>
      </c>
      <c r="S2211">
        <f>IMAGE("https://mitra.stanford.edu/kundaje/oak/projects/neuro-variants/variant_position/credible/roussos_2024/variant_figures/roussos_2024.childhood.GABA/rs67082009_count_position.png",4,220,900)</f>
        <v/>
      </c>
      <c r="T2211">
        <f>IMAGE("https://mitra.stanford.edu/kundaje/oak/projects/neuro-variants/variant_position/credible/roussos_2024/variant_figures/roussos_2024.childhood.GABA/rs67082009_profile_position.png",4,220,900)</f>
        <v/>
      </c>
    </row>
    <row r="2212">
      <c r="A2212" t="inlineStr">
        <is>
          <t>chr2</t>
        </is>
      </c>
      <c r="B2212" t="n">
        <v>145677776</v>
      </c>
      <c r="C2212" t="inlineStr">
        <is>
          <t>G</t>
        </is>
      </c>
      <c r="D2212" t="inlineStr">
        <is>
          <t>A</t>
        </is>
      </c>
      <c r="E2212" t="inlineStr">
        <is>
          <t>rs72857431</t>
        </is>
      </c>
      <c r="F2212" t="n">
        <v>-0.0346231837199999</v>
      </c>
      <c r="G2212" t="n">
        <v>0.2551386082371698</v>
      </c>
      <c r="H2212" t="n">
        <v>0.0108765711650125</v>
      </c>
      <c r="I2212" t="n">
        <v>0.5441600484096321</v>
      </c>
      <c r="J2212" t="n">
        <v>0.0289596029402525</v>
      </c>
      <c r="K2212" t="n">
        <v>0.59213978144561</v>
      </c>
      <c r="L2212" t="b">
        <v>0</v>
      </c>
      <c r="M2212" t="b">
        <v>0</v>
      </c>
      <c r="N2212" t="inlineStr">
        <is>
          <t>ref</t>
        </is>
      </c>
      <c r="O2212" t="n">
        <v>-100</v>
      </c>
      <c r="P2212" t="n">
        <v>0.0123</v>
      </c>
      <c r="Q2212" t="n">
        <v>10</v>
      </c>
      <c r="R2212" t="n">
        <v>0.02435</v>
      </c>
      <c r="S2212">
        <f>IMAGE("https://mitra.stanford.edu/kundaje/oak/projects/neuro-variants/variant_position/credible/roussos_2024/variant_figures/roussos_2024.childhood.GABA/rs72857431_count_position.png",4,220,900)</f>
        <v/>
      </c>
      <c r="T2212">
        <f>IMAGE("https://mitra.stanford.edu/kundaje/oak/projects/neuro-variants/variant_position/credible/roussos_2024/variant_figures/roussos_2024.childhood.GABA/rs72857431_profile_position.png",4,220,900)</f>
        <v/>
      </c>
    </row>
    <row r="2213">
      <c r="A2213" t="inlineStr">
        <is>
          <t>chr2</t>
        </is>
      </c>
      <c r="B2213" t="n">
        <v>145680858</v>
      </c>
      <c r="C2213" t="inlineStr">
        <is>
          <t>A</t>
        </is>
      </c>
      <c r="D2213" t="inlineStr">
        <is>
          <t>G</t>
        </is>
      </c>
      <c r="E2213" t="inlineStr">
        <is>
          <t>rs72857434</t>
        </is>
      </c>
      <c r="F2213" t="n">
        <v>0.0307634234</v>
      </c>
      <c r="G2213" t="n">
        <v>0.2788704812152955</v>
      </c>
      <c r="H2213" t="n">
        <v>0.0087335472027966</v>
      </c>
      <c r="I2213" t="n">
        <v>0.7686056904338128</v>
      </c>
      <c r="J2213" t="n">
        <v>0.0159389332160582</v>
      </c>
      <c r="K2213" t="n">
        <v>0.6765269435984242</v>
      </c>
      <c r="L2213" t="b">
        <v>0</v>
      </c>
      <c r="M2213" t="b">
        <v>0</v>
      </c>
      <c r="N2213" t="inlineStr">
        <is>
          <t>alt</t>
        </is>
      </c>
      <c r="O2213" t="n">
        <v>-95</v>
      </c>
      <c r="P2213" t="n">
        <v>0.02328</v>
      </c>
      <c r="Q2213" t="n">
        <v>-25</v>
      </c>
      <c r="R2213" t="n">
        <v>0.0209</v>
      </c>
      <c r="S2213">
        <f>IMAGE("https://mitra.stanford.edu/kundaje/oak/projects/neuro-variants/variant_position/credible/roussos_2024/variant_figures/roussos_2024.childhood.GABA/rs72857434_count_position.png",4,220,900)</f>
        <v/>
      </c>
      <c r="T2213">
        <f>IMAGE("https://mitra.stanford.edu/kundaje/oak/projects/neuro-variants/variant_position/credible/roussos_2024/variant_figures/roussos_2024.childhood.GABA/rs72857434_profile_position.png",4,220,900)</f>
        <v/>
      </c>
    </row>
    <row r="2214">
      <c r="A2214" t="inlineStr">
        <is>
          <t>chr2</t>
        </is>
      </c>
      <c r="B2214" t="n">
        <v>145883473</v>
      </c>
      <c r="C2214" t="inlineStr">
        <is>
          <t>G</t>
        </is>
      </c>
      <c r="D2214" t="inlineStr">
        <is>
          <t>T</t>
        </is>
      </c>
      <c r="E2214" t="inlineStr">
        <is>
          <t>rs6721450</t>
        </is>
      </c>
      <c r="F2214" t="n">
        <v>0.0360694303</v>
      </c>
      <c r="G2214" t="n">
        <v>0.2275533530076679</v>
      </c>
      <c r="H2214" t="n">
        <v>0.0135899672666836</v>
      </c>
      <c r="I2214" t="n">
        <v>0.3049151336425077</v>
      </c>
      <c r="J2214" t="n">
        <v>0.08576888442126861</v>
      </c>
      <c r="K2214" t="n">
        <v>0.4077159481417581</v>
      </c>
      <c r="L2214" t="b">
        <v>0</v>
      </c>
      <c r="M2214" t="b">
        <v>0</v>
      </c>
      <c r="N2214" t="inlineStr">
        <is>
          <t>alt</t>
        </is>
      </c>
      <c r="O2214" t="n">
        <v>-100</v>
      </c>
      <c r="P2214" t="n">
        <v>0.008765999999999999</v>
      </c>
      <c r="Q2214" t="n">
        <v>80</v>
      </c>
      <c r="R2214" t="n">
        <v>0.1531</v>
      </c>
      <c r="S2214">
        <f>IMAGE("https://mitra.stanford.edu/kundaje/oak/projects/neuro-variants/variant_position/credible/roussos_2024/variant_figures/roussos_2024.childhood.GABA/rs6721450_count_position.png",4,220,900)</f>
        <v/>
      </c>
      <c r="T2214">
        <f>IMAGE("https://mitra.stanford.edu/kundaje/oak/projects/neuro-variants/variant_position/credible/roussos_2024/variant_figures/roussos_2024.childhood.GABA/rs6721450_profile_position.png",4,220,900)</f>
        <v/>
      </c>
    </row>
    <row r="2215">
      <c r="A2215" t="inlineStr">
        <is>
          <t>chr2</t>
        </is>
      </c>
      <c r="B2215" t="n">
        <v>146811485</v>
      </c>
      <c r="C2215" t="inlineStr">
        <is>
          <t>T</t>
        </is>
      </c>
      <c r="D2215" t="inlineStr">
        <is>
          <t>C</t>
        </is>
      </c>
      <c r="E2215" t="inlineStr">
        <is>
          <t>rs34624969</t>
        </is>
      </c>
      <c r="F2215" t="n">
        <v>0.0468610183999999</v>
      </c>
      <c r="G2215" t="n">
        <v>0.1580970011799861</v>
      </c>
      <c r="H2215" t="n">
        <v>0.0145328231812912</v>
      </c>
      <c r="I2215" t="n">
        <v>0.2526199010085512</v>
      </c>
      <c r="J2215" t="n">
        <v>0.1312988209671001</v>
      </c>
      <c r="K2215" t="n">
        <v>0.2942664355990656</v>
      </c>
      <c r="L2215" t="b">
        <v>0</v>
      </c>
      <c r="M2215" t="b">
        <v>0</v>
      </c>
      <c r="N2215" t="inlineStr">
        <is>
          <t>alt</t>
        </is>
      </c>
      <c r="O2215" t="n">
        <v>40</v>
      </c>
      <c r="P2215" t="n">
        <v>0.00525</v>
      </c>
      <c r="Q2215" t="n">
        <v>0</v>
      </c>
      <c r="R2215" t="n">
        <v>0</v>
      </c>
      <c r="S2215">
        <f>IMAGE("https://mitra.stanford.edu/kundaje/oak/projects/neuro-variants/variant_position/credible/roussos_2024/variant_figures/roussos_2024.childhood.GABA/rs34624969_count_position.png",4,220,900)</f>
        <v/>
      </c>
      <c r="T2215">
        <f>IMAGE("https://mitra.stanford.edu/kundaje/oak/projects/neuro-variants/variant_position/credible/roussos_2024/variant_figures/roussos_2024.childhood.GABA/rs34624969_profile_position.png",4,220,900)</f>
        <v/>
      </c>
    </row>
    <row r="2216">
      <c r="A2216" t="inlineStr">
        <is>
          <t>chr2</t>
        </is>
      </c>
      <c r="B2216" t="n">
        <v>146823071</v>
      </c>
      <c r="C2216" t="inlineStr">
        <is>
          <t>C</t>
        </is>
      </c>
      <c r="D2216" t="inlineStr">
        <is>
          <t>T</t>
        </is>
      </c>
      <c r="E2216" t="inlineStr">
        <is>
          <t>rs4556924</t>
        </is>
      </c>
      <c r="F2216" t="n">
        <v>-0.1169693039999999</v>
      </c>
      <c r="G2216" t="n">
        <v>0.0206532315673105</v>
      </c>
      <c r="H2216" t="n">
        <v>0.0124551815709801</v>
      </c>
      <c r="I2216" t="n">
        <v>0.38442328016024</v>
      </c>
      <c r="J2216" t="n">
        <v>0.0560459466817448</v>
      </c>
      <c r="K2216" t="n">
        <v>0.4872794826361884</v>
      </c>
      <c r="L2216" t="b">
        <v>0</v>
      </c>
      <c r="M2216" t="b">
        <v>0</v>
      </c>
      <c r="N2216" t="inlineStr">
        <is>
          <t>ref</t>
        </is>
      </c>
      <c r="O2216" t="n">
        <v>-90</v>
      </c>
      <c r="P2216" t="n">
        <v>0.007934999999999999</v>
      </c>
      <c r="Q2216" t="n">
        <v>55</v>
      </c>
      <c r="R2216" t="n">
        <v>0.05322</v>
      </c>
      <c r="S2216">
        <f>IMAGE("https://mitra.stanford.edu/kundaje/oak/projects/neuro-variants/variant_position/credible/roussos_2024/variant_figures/roussos_2024.childhood.GABA/rs4556924_count_position.png",4,220,900)</f>
        <v/>
      </c>
      <c r="T2216">
        <f>IMAGE("https://mitra.stanford.edu/kundaje/oak/projects/neuro-variants/variant_position/credible/roussos_2024/variant_figures/roussos_2024.childhood.GABA/rs4556924_profile_position.png",4,220,900)</f>
        <v/>
      </c>
    </row>
    <row r="2217">
      <c r="A2217" t="inlineStr">
        <is>
          <t>chr2</t>
        </is>
      </c>
      <c r="B2217" t="n">
        <v>146834002</v>
      </c>
      <c r="C2217" t="inlineStr">
        <is>
          <t>A</t>
        </is>
      </c>
      <c r="D2217" t="inlineStr">
        <is>
          <t>C</t>
        </is>
      </c>
      <c r="E2217" t="inlineStr">
        <is>
          <t>rs7559983</t>
        </is>
      </c>
      <c r="F2217" t="n">
        <v>0.0142993087399999</v>
      </c>
      <c r="G2217" t="n">
        <v>0.5299184310214472</v>
      </c>
      <c r="H2217" t="n">
        <v>0.0178564806237323</v>
      </c>
      <c r="I2217" t="n">
        <v>0.1182941098820408</v>
      </c>
      <c r="J2217" t="n">
        <v>0.0066888651546564</v>
      </c>
      <c r="K2217" t="n">
        <v>0.7850391482896584</v>
      </c>
      <c r="L2217" t="b">
        <v>0</v>
      </c>
      <c r="M2217" t="b">
        <v>0</v>
      </c>
      <c r="N2217" t="inlineStr">
        <is>
          <t>alt</t>
        </is>
      </c>
      <c r="O2217" t="n">
        <v>-70</v>
      </c>
      <c r="P2217" t="n">
        <v>0.002895</v>
      </c>
      <c r="Q2217" t="n">
        <v>35</v>
      </c>
      <c r="R2217" t="n">
        <v>0.1094</v>
      </c>
      <c r="S2217">
        <f>IMAGE("https://mitra.stanford.edu/kundaje/oak/projects/neuro-variants/variant_position/credible/roussos_2024/variant_figures/roussos_2024.childhood.GABA/rs7559983_count_position.png",4,220,900)</f>
        <v/>
      </c>
      <c r="T2217">
        <f>IMAGE("https://mitra.stanford.edu/kundaje/oak/projects/neuro-variants/variant_position/credible/roussos_2024/variant_figures/roussos_2024.childhood.GABA/rs7559983_profile_position.png",4,220,900)</f>
        <v/>
      </c>
    </row>
    <row r="2218">
      <c r="A2218" t="inlineStr">
        <is>
          <t>chr2</t>
        </is>
      </c>
      <c r="B2218" t="n">
        <v>146853682</v>
      </c>
      <c r="C2218" t="inlineStr">
        <is>
          <t>G</t>
        </is>
      </c>
      <c r="D2218" t="inlineStr">
        <is>
          <t>A</t>
        </is>
      </c>
      <c r="E2218" t="inlineStr">
        <is>
          <t>rs3934919</t>
        </is>
      </c>
      <c r="F2218" t="n">
        <v>-0.0186763406</v>
      </c>
      <c r="G2218" t="n">
        <v>0.4613427847971931</v>
      </c>
      <c r="H2218" t="n">
        <v>0.0116827223681413</v>
      </c>
      <c r="I2218" t="n">
        <v>0.4672592861049457</v>
      </c>
      <c r="J2218" t="n">
        <v>0.0041988649452367</v>
      </c>
      <c r="K2218" t="n">
        <v>0.8294557529841581</v>
      </c>
      <c r="L2218" t="b">
        <v>0</v>
      </c>
      <c r="M2218" t="b">
        <v>0</v>
      </c>
      <c r="N2218" t="inlineStr">
        <is>
          <t>ref</t>
        </is>
      </c>
      <c r="O2218" t="n">
        <v>30</v>
      </c>
      <c r="P2218" t="n">
        <v>0.001228</v>
      </c>
      <c r="Q2218" t="n">
        <v>65</v>
      </c>
      <c r="R2218" t="n">
        <v>0.0745</v>
      </c>
      <c r="S2218">
        <f>IMAGE("https://mitra.stanford.edu/kundaje/oak/projects/neuro-variants/variant_position/credible/roussos_2024/variant_figures/roussos_2024.childhood.GABA/rs3934919_count_position.png",4,220,900)</f>
        <v/>
      </c>
      <c r="T2218">
        <f>IMAGE("https://mitra.stanford.edu/kundaje/oak/projects/neuro-variants/variant_position/credible/roussos_2024/variant_figures/roussos_2024.childhood.GABA/rs3934919_profile_position.png",4,220,900)</f>
        <v/>
      </c>
    </row>
    <row r="2219">
      <c r="A2219" t="inlineStr">
        <is>
          <t>chr2</t>
        </is>
      </c>
      <c r="B2219" t="n">
        <v>146859620</v>
      </c>
      <c r="C2219" t="inlineStr">
        <is>
          <t>C</t>
        </is>
      </c>
      <c r="D2219" t="inlineStr">
        <is>
          <t>T</t>
        </is>
      </c>
      <c r="E2219" t="inlineStr">
        <is>
          <t>rs13022139</t>
        </is>
      </c>
      <c r="F2219" t="n">
        <v>0.04746939008</v>
      </c>
      <c r="G2219" t="n">
        <v>0.1584167169954542</v>
      </c>
      <c r="H2219" t="n">
        <v>0.0136630875832009</v>
      </c>
      <c r="I2219" t="n">
        <v>0.3085642009245469</v>
      </c>
      <c r="J2219" t="n">
        <v>0.0146750853385269</v>
      </c>
      <c r="K2219" t="n">
        <v>0.6933630671185225</v>
      </c>
      <c r="L2219" t="b">
        <v>0</v>
      </c>
      <c r="M2219" t="b">
        <v>0</v>
      </c>
      <c r="N2219" t="inlineStr">
        <is>
          <t>alt</t>
        </is>
      </c>
      <c r="O2219" t="n">
        <v>-100</v>
      </c>
      <c r="P2219" t="n">
        <v>0.008835000000000001</v>
      </c>
      <c r="Q2219" t="n">
        <v>-60</v>
      </c>
      <c r="R2219" t="n">
        <v>0.07870000000000001</v>
      </c>
      <c r="S2219">
        <f>IMAGE("https://mitra.stanford.edu/kundaje/oak/projects/neuro-variants/variant_position/credible/roussos_2024/variant_figures/roussos_2024.childhood.GABA/rs13022139_count_position.png",4,220,900)</f>
        <v/>
      </c>
      <c r="T2219">
        <f>IMAGE("https://mitra.stanford.edu/kundaje/oak/projects/neuro-variants/variant_position/credible/roussos_2024/variant_figures/roussos_2024.childhood.GABA/rs13022139_profile_position.png",4,220,900)</f>
        <v/>
      </c>
    </row>
    <row r="2220">
      <c r="A2220" t="inlineStr">
        <is>
          <t>chr2</t>
        </is>
      </c>
      <c r="B2220" t="n">
        <v>147051395</v>
      </c>
      <c r="C2220" t="inlineStr">
        <is>
          <t>T</t>
        </is>
      </c>
      <c r="D2220" t="inlineStr">
        <is>
          <t>C</t>
        </is>
      </c>
      <c r="E2220" t="inlineStr">
        <is>
          <t>rs2254296</t>
        </is>
      </c>
      <c r="F2220" t="n">
        <v>-0.01050617652</v>
      </c>
      <c r="G2220" t="n">
        <v>0.5303141426214757</v>
      </c>
      <c r="H2220" t="n">
        <v>0.0080353836796845</v>
      </c>
      <c r="I2220" t="n">
        <v>0.8416554311267265</v>
      </c>
      <c r="J2220" t="n">
        <v>0.0008795627316704</v>
      </c>
      <c r="K2220" t="n">
        <v>0.9267939116266226</v>
      </c>
      <c r="L2220" t="b">
        <v>0</v>
      </c>
      <c r="M2220" t="b">
        <v>0</v>
      </c>
      <c r="N2220" t="inlineStr">
        <is>
          <t>ref</t>
        </is>
      </c>
      <c r="O2220" t="n">
        <v>-90</v>
      </c>
      <c r="P2220" t="n">
        <v>0.009995</v>
      </c>
      <c r="Q2220" t="n">
        <v>80</v>
      </c>
      <c r="R2220" t="n">
        <v>0.04245</v>
      </c>
      <c r="S2220">
        <f>IMAGE("https://mitra.stanford.edu/kundaje/oak/projects/neuro-variants/variant_position/credible/roussos_2024/variant_figures/roussos_2024.childhood.GABA/rs2254296_count_position.png",4,220,900)</f>
        <v/>
      </c>
      <c r="T2220">
        <f>IMAGE("https://mitra.stanford.edu/kundaje/oak/projects/neuro-variants/variant_position/credible/roussos_2024/variant_figures/roussos_2024.childhood.GABA/rs2254296_profile_position.png",4,220,900)</f>
        <v/>
      </c>
    </row>
    <row r="2221">
      <c r="A2221" t="inlineStr">
        <is>
          <t>chr2</t>
        </is>
      </c>
      <c r="B2221" t="n">
        <v>147059580</v>
      </c>
      <c r="C2221" t="inlineStr">
        <is>
          <t>T</t>
        </is>
      </c>
      <c r="D2221" t="inlineStr">
        <is>
          <t>C</t>
        </is>
      </c>
      <c r="E2221" t="inlineStr">
        <is>
          <t>rs1451083</t>
        </is>
      </c>
      <c r="F2221" t="n">
        <v>0.002051996346</v>
      </c>
      <c r="G2221" t="n">
        <v>0.8159467496076434</v>
      </c>
      <c r="H2221" t="n">
        <v>0.0252400947629373</v>
      </c>
      <c r="I2221" t="n">
        <v>0.0276157306897277</v>
      </c>
      <c r="J2221" t="n">
        <v>0.0099809428074804</v>
      </c>
      <c r="K2221" t="n">
        <v>0.7415249909633747</v>
      </c>
      <c r="L2221" t="b">
        <v>0</v>
      </c>
      <c r="M2221" t="b">
        <v>0</v>
      </c>
      <c r="N2221" t="inlineStr">
        <is>
          <t>alt</t>
        </is>
      </c>
      <c r="O2221" t="n">
        <v>100</v>
      </c>
      <c r="P2221" t="n">
        <v>0.01175</v>
      </c>
      <c r="Q2221" t="n">
        <v>-100</v>
      </c>
      <c r="R2221" t="n">
        <v>0.1051</v>
      </c>
      <c r="S2221">
        <f>IMAGE("https://mitra.stanford.edu/kundaje/oak/projects/neuro-variants/variant_position/credible/roussos_2024/variant_figures/roussos_2024.childhood.GABA/rs1451083_count_position.png",4,220,900)</f>
        <v/>
      </c>
      <c r="T2221">
        <f>IMAGE("https://mitra.stanford.edu/kundaje/oak/projects/neuro-variants/variant_position/credible/roussos_2024/variant_figures/roussos_2024.childhood.GABA/rs1451083_profile_position.png",4,220,900)</f>
        <v/>
      </c>
    </row>
    <row r="2222">
      <c r="A2222" t="inlineStr">
        <is>
          <t>chr2</t>
        </is>
      </c>
      <c r="B2222" t="n">
        <v>147060558</v>
      </c>
      <c r="C2222" t="inlineStr">
        <is>
          <t>C</t>
        </is>
      </c>
      <c r="D2222" t="inlineStr">
        <is>
          <t>T</t>
        </is>
      </c>
      <c r="E2222" t="inlineStr">
        <is>
          <t>rs6743215</t>
        </is>
      </c>
      <c r="F2222" t="n">
        <v>-0.023649129</v>
      </c>
      <c r="G2222" t="n">
        <v>0.3801077677247955</v>
      </c>
      <c r="H2222" t="n">
        <v>0.0159902869608944</v>
      </c>
      <c r="I2222" t="n">
        <v>0.1799680724292777</v>
      </c>
      <c r="J2222" t="n">
        <v>0.078342861929593</v>
      </c>
      <c r="K2222" t="n">
        <v>0.4148371303845225</v>
      </c>
      <c r="L2222" t="b">
        <v>0</v>
      </c>
      <c r="M2222" t="b">
        <v>0</v>
      </c>
      <c r="N2222" t="inlineStr">
        <is>
          <t>ref</t>
        </is>
      </c>
      <c r="O2222" t="n">
        <v>-60</v>
      </c>
      <c r="P2222" t="n">
        <v>0.008160000000000001</v>
      </c>
      <c r="Q2222" t="n">
        <v>-80</v>
      </c>
      <c r="R2222" t="n">
        <v>0.08409999999999999</v>
      </c>
      <c r="S2222">
        <f>IMAGE("https://mitra.stanford.edu/kundaje/oak/projects/neuro-variants/variant_position/credible/roussos_2024/variant_figures/roussos_2024.childhood.GABA/rs6743215_count_position.png",4,220,900)</f>
        <v/>
      </c>
      <c r="T2222">
        <f>IMAGE("https://mitra.stanford.edu/kundaje/oak/projects/neuro-variants/variant_position/credible/roussos_2024/variant_figures/roussos_2024.childhood.GABA/rs6743215_profile_position.png",4,220,900)</f>
        <v/>
      </c>
    </row>
    <row r="2223">
      <c r="A2223" t="inlineStr">
        <is>
          <t>chr2</t>
        </is>
      </c>
      <c r="B2223" t="n">
        <v>147065200</v>
      </c>
      <c r="C2223" t="inlineStr">
        <is>
          <t>G</t>
        </is>
      </c>
      <c r="D2223" t="inlineStr">
        <is>
          <t>A</t>
        </is>
      </c>
      <c r="E2223" t="inlineStr">
        <is>
          <t>rs61064806</t>
        </is>
      </c>
      <c r="F2223" t="n">
        <v>-0.042022604</v>
      </c>
      <c r="G2223" t="n">
        <v>0.1946029653291771</v>
      </c>
      <c r="H2223" t="n">
        <v>0.0113390414736375</v>
      </c>
      <c r="I2223" t="n">
        <v>0.499184114760058</v>
      </c>
      <c r="J2223" t="n">
        <v>0.0114803878452806</v>
      </c>
      <c r="K2223" t="n">
        <v>0.7503433966276035</v>
      </c>
      <c r="L2223" t="b">
        <v>0</v>
      </c>
      <c r="M2223" t="b">
        <v>0</v>
      </c>
      <c r="N2223" t="inlineStr">
        <is>
          <t>ref</t>
        </is>
      </c>
      <c r="O2223" t="n">
        <v>-95</v>
      </c>
      <c r="P2223" t="n">
        <v>0.002487</v>
      </c>
      <c r="Q2223" t="n">
        <v>15</v>
      </c>
      <c r="R2223" t="n">
        <v>0.01056</v>
      </c>
      <c r="S2223">
        <f>IMAGE("https://mitra.stanford.edu/kundaje/oak/projects/neuro-variants/variant_position/credible/roussos_2024/variant_figures/roussos_2024.childhood.GABA/rs61064806_count_position.png",4,220,900)</f>
        <v/>
      </c>
      <c r="T2223">
        <f>IMAGE("https://mitra.stanford.edu/kundaje/oak/projects/neuro-variants/variant_position/credible/roussos_2024/variant_figures/roussos_2024.childhood.GABA/rs61064806_profile_position.png",4,220,900)</f>
        <v/>
      </c>
    </row>
    <row r="2224">
      <c r="A2224" t="inlineStr">
        <is>
          <t>chr2</t>
        </is>
      </c>
      <c r="B2224" t="n">
        <v>152147871</v>
      </c>
      <c r="C2224" t="inlineStr">
        <is>
          <t>C</t>
        </is>
      </c>
      <c r="D2224" t="inlineStr">
        <is>
          <t>A</t>
        </is>
      </c>
      <c r="E2224" t="inlineStr">
        <is>
          <t>rs4664536</t>
        </is>
      </c>
      <c r="F2224" t="n">
        <v>-0.0003102716599999</v>
      </c>
      <c r="G2224" t="n">
        <v>0.6978383702494626</v>
      </c>
      <c r="H2224" t="n">
        <v>0.0216421183247608</v>
      </c>
      <c r="I2224" t="n">
        <v>0.0542719586927156</v>
      </c>
      <c r="J2224" t="n">
        <v>0.0026512533768926</v>
      </c>
      <c r="K2224" t="n">
        <v>0.8770536033792072</v>
      </c>
      <c r="L2224" t="b">
        <v>0</v>
      </c>
      <c r="M2224" t="b">
        <v>0</v>
      </c>
      <c r="N2224" t="inlineStr">
        <is>
          <t>ref</t>
        </is>
      </c>
      <c r="O2224" t="n">
        <v>30</v>
      </c>
      <c r="P2224" t="n">
        <v>0.002953</v>
      </c>
      <c r="Q2224" t="n">
        <v>100</v>
      </c>
      <c r="R2224" t="n">
        <v>0.0509</v>
      </c>
      <c r="S2224">
        <f>IMAGE("https://mitra.stanford.edu/kundaje/oak/projects/neuro-variants/variant_position/credible/roussos_2024/variant_figures/roussos_2024.childhood.GABA/rs4664536_count_position.png",4,220,900)</f>
        <v/>
      </c>
      <c r="T2224">
        <f>IMAGE("https://mitra.stanford.edu/kundaje/oak/projects/neuro-variants/variant_position/credible/roussos_2024/variant_figures/roussos_2024.childhood.GABA/rs4664536_profile_position.png",4,220,900)</f>
        <v/>
      </c>
    </row>
    <row r="2225">
      <c r="A2225" t="inlineStr">
        <is>
          <t>chr2</t>
        </is>
      </c>
      <c r="B2225" t="n">
        <v>152160749</v>
      </c>
      <c r="C2225" t="inlineStr">
        <is>
          <t>T</t>
        </is>
      </c>
      <c r="D2225" t="inlineStr">
        <is>
          <t>C</t>
        </is>
      </c>
      <c r="E2225" t="inlineStr">
        <is>
          <t>rs191529620</t>
        </is>
      </c>
      <c r="F2225" t="n">
        <v>-0.001622312292</v>
      </c>
      <c r="G2225" t="n">
        <v>0.9153250362603904</v>
      </c>
      <c r="H2225" t="n">
        <v>0.0138817575923867</v>
      </c>
      <c r="I2225" t="n">
        <v>0.2854175350668962</v>
      </c>
      <c r="J2225" t="n">
        <v>0.4692509057401938</v>
      </c>
      <c r="K2225" t="n">
        <v>0.0591280657696252</v>
      </c>
      <c r="L2225" t="b">
        <v>0</v>
      </c>
      <c r="M2225" t="b">
        <v>0</v>
      </c>
      <c r="N2225" t="inlineStr">
        <is>
          <t>ref</t>
        </is>
      </c>
      <c r="O2225" t="n">
        <v>45</v>
      </c>
      <c r="P2225" t="n">
        <v>0.04346</v>
      </c>
      <c r="Q2225" t="n">
        <v>-90</v>
      </c>
      <c r="R2225" t="n">
        <v>0.02728</v>
      </c>
      <c r="S2225">
        <f>IMAGE("https://mitra.stanford.edu/kundaje/oak/projects/neuro-variants/variant_position/credible/roussos_2024/variant_figures/roussos_2024.childhood.GABA/rs191529620_count_position.png",4,220,900)</f>
        <v/>
      </c>
      <c r="T2225">
        <f>IMAGE("https://mitra.stanford.edu/kundaje/oak/projects/neuro-variants/variant_position/credible/roussos_2024/variant_figures/roussos_2024.childhood.GABA/rs191529620_profile_position.png",4,220,900)</f>
        <v/>
      </c>
    </row>
    <row r="2226">
      <c r="A2226" t="inlineStr">
        <is>
          <t>chr2</t>
        </is>
      </c>
      <c r="B2226" t="n">
        <v>152161260</v>
      </c>
      <c r="C2226" t="inlineStr">
        <is>
          <t>G</t>
        </is>
      </c>
      <c r="D2226" t="inlineStr">
        <is>
          <t>A</t>
        </is>
      </c>
      <c r="E2226" t="inlineStr">
        <is>
          <t>rs3963509</t>
        </is>
      </c>
      <c r="F2226" t="n">
        <v>-0.0594771992</v>
      </c>
      <c r="G2226" t="n">
        <v>0.1023075654620702</v>
      </c>
      <c r="H2226" t="n">
        <v>0.0077025331386132</v>
      </c>
      <c r="I2226" t="n">
        <v>0.8854176167740797</v>
      </c>
      <c r="J2226" t="n">
        <v>0.1928902012523297</v>
      </c>
      <c r="K2226" t="n">
        <v>0.2258590094782617</v>
      </c>
      <c r="L2226" t="b">
        <v>0</v>
      </c>
      <c r="M2226" t="b">
        <v>0</v>
      </c>
      <c r="N2226" t="inlineStr">
        <is>
          <t>ref</t>
        </is>
      </c>
      <c r="O2226" t="n">
        <v>60</v>
      </c>
      <c r="P2226" t="n">
        <v>0.03607</v>
      </c>
      <c r="Q2226" t="n">
        <v>-95</v>
      </c>
      <c r="R2226" t="n">
        <v>0.05334</v>
      </c>
      <c r="S2226">
        <f>IMAGE("https://mitra.stanford.edu/kundaje/oak/projects/neuro-variants/variant_position/credible/roussos_2024/variant_figures/roussos_2024.childhood.GABA/rs3963509_count_position.png",4,220,900)</f>
        <v/>
      </c>
      <c r="T2226">
        <f>IMAGE("https://mitra.stanford.edu/kundaje/oak/projects/neuro-variants/variant_position/credible/roussos_2024/variant_figures/roussos_2024.childhood.GABA/rs3963509_profile_position.png",4,220,900)</f>
        <v/>
      </c>
    </row>
    <row r="2227">
      <c r="A2227" t="inlineStr">
        <is>
          <t>chr2</t>
        </is>
      </c>
      <c r="B2227" t="n">
        <v>152202955</v>
      </c>
      <c r="C2227" t="inlineStr">
        <is>
          <t>A</t>
        </is>
      </c>
      <c r="D2227" t="inlineStr">
        <is>
          <t>C</t>
        </is>
      </c>
      <c r="E2227" t="inlineStr">
        <is>
          <t>rs62177360</t>
        </is>
      </c>
      <c r="F2227" t="n">
        <v>-0.000849658528</v>
      </c>
      <c r="G2227" t="n">
        <v>0.7222446200167615</v>
      </c>
      <c r="H2227" t="n">
        <v>0.0307428773028679</v>
      </c>
      <c r="I2227" t="n">
        <v>0.0113746395750801</v>
      </c>
      <c r="J2227" t="n">
        <v>0.2536103955938095</v>
      </c>
      <c r="K2227" t="n">
        <v>0.1726429188211772</v>
      </c>
      <c r="L2227" t="b">
        <v>1</v>
      </c>
      <c r="M2227" t="b">
        <v>0</v>
      </c>
      <c r="N2227" t="inlineStr">
        <is>
          <t>ref</t>
        </is>
      </c>
      <c r="O2227" t="n">
        <v>-95</v>
      </c>
      <c r="P2227" t="n">
        <v>0.01839</v>
      </c>
      <c r="Q2227" t="n">
        <v>-100</v>
      </c>
      <c r="R2227" t="n">
        <v>0.61</v>
      </c>
      <c r="S2227">
        <f>IMAGE("https://mitra.stanford.edu/kundaje/oak/projects/neuro-variants/variant_position/credible/roussos_2024/variant_figures/roussos_2024.childhood.GABA/rs62177360_count_position.png",4,220,900)</f>
        <v/>
      </c>
      <c r="T2227">
        <f>IMAGE("https://mitra.stanford.edu/kundaje/oak/projects/neuro-variants/variant_position/credible/roussos_2024/variant_figures/roussos_2024.childhood.GABA/rs62177360_profile_position.png",4,220,900)</f>
        <v/>
      </c>
    </row>
    <row r="2228">
      <c r="A2228" t="inlineStr">
        <is>
          <t>chr2</t>
        </is>
      </c>
      <c r="B2228" t="n">
        <v>152278659</v>
      </c>
      <c r="C2228" t="inlineStr">
        <is>
          <t>C</t>
        </is>
      </c>
      <c r="D2228" t="inlineStr">
        <is>
          <t>T</t>
        </is>
      </c>
      <c r="E2228" t="inlineStr">
        <is>
          <t>rs6732917</t>
        </is>
      </c>
      <c r="F2228" t="n">
        <v>0.0263332979999999</v>
      </c>
      <c r="G2228" t="n">
        <v>0.3265864720746053</v>
      </c>
      <c r="H2228" t="n">
        <v>0.0187977603760651</v>
      </c>
      <c r="I2228" t="n">
        <v>0.0956641462405735</v>
      </c>
      <c r="J2228" t="n">
        <v>0.3067537852610417</v>
      </c>
      <c r="K2228" t="n">
        <v>0.1319500546533346</v>
      </c>
      <c r="L2228" t="b">
        <v>0</v>
      </c>
      <c r="M2228" t="b">
        <v>0</v>
      </c>
      <c r="N2228" t="inlineStr">
        <is>
          <t>alt</t>
        </is>
      </c>
      <c r="O2228" t="n">
        <v>-35</v>
      </c>
      <c r="P2228" t="n">
        <v>0.0004063</v>
      </c>
      <c r="Q2228" t="n">
        <v>80</v>
      </c>
      <c r="R2228" t="n">
        <v>0.1802</v>
      </c>
      <c r="S2228">
        <f>IMAGE("https://mitra.stanford.edu/kundaje/oak/projects/neuro-variants/variant_position/credible/roussos_2024/variant_figures/roussos_2024.childhood.GABA/rs6732917_count_position.png",4,220,900)</f>
        <v/>
      </c>
      <c r="T2228">
        <f>IMAGE("https://mitra.stanford.edu/kundaje/oak/projects/neuro-variants/variant_position/credible/roussos_2024/variant_figures/roussos_2024.childhood.GABA/rs6732917_profile_position.png",4,220,900)</f>
        <v/>
      </c>
    </row>
    <row r="2229">
      <c r="A2229" t="inlineStr">
        <is>
          <t>chr2</t>
        </is>
      </c>
      <c r="B2229" t="n">
        <v>155028649</v>
      </c>
      <c r="C2229" t="inlineStr">
        <is>
          <t>G</t>
        </is>
      </c>
      <c r="D2229" t="inlineStr">
        <is>
          <t>T</t>
        </is>
      </c>
      <c r="E2229" t="inlineStr">
        <is>
          <t>rs72865150</t>
        </is>
      </c>
      <c r="F2229" t="n">
        <v>5.190490000000006e-05</v>
      </c>
      <c r="G2229" t="n">
        <v>0.6931969561350267</v>
      </c>
      <c r="H2229" t="n">
        <v>0.018958145194982</v>
      </c>
      <c r="I2229" t="n">
        <v>0.0933145295281351</v>
      </c>
      <c r="J2229" t="n">
        <v>0.0035789826391069</v>
      </c>
      <c r="K2229" t="n">
        <v>0.845116327808186</v>
      </c>
      <c r="L2229" t="b">
        <v>0</v>
      </c>
      <c r="M2229" t="b">
        <v>0</v>
      </c>
      <c r="N2229" t="inlineStr">
        <is>
          <t>alt</t>
        </is>
      </c>
      <c r="O2229" t="n">
        <v>0</v>
      </c>
      <c r="P2229" t="n">
        <v>0</v>
      </c>
      <c r="Q2229" t="n">
        <v>-50</v>
      </c>
      <c r="R2229" t="n">
        <v>0.04504</v>
      </c>
      <c r="S2229">
        <f>IMAGE("https://mitra.stanford.edu/kundaje/oak/projects/neuro-variants/variant_position/credible/roussos_2024/variant_figures/roussos_2024.childhood.GABA/rs72865150_count_position.png",4,220,900)</f>
        <v/>
      </c>
      <c r="T2229">
        <f>IMAGE("https://mitra.stanford.edu/kundaje/oak/projects/neuro-variants/variant_position/credible/roussos_2024/variant_figures/roussos_2024.childhood.GABA/rs72865150_profile_position.png",4,220,900)</f>
        <v/>
      </c>
    </row>
    <row r="2230">
      <c r="A2230" t="inlineStr">
        <is>
          <t>chr2</t>
        </is>
      </c>
      <c r="B2230" t="n">
        <v>155059850</v>
      </c>
      <c r="C2230" t="inlineStr">
        <is>
          <t>G</t>
        </is>
      </c>
      <c r="D2230" t="inlineStr">
        <is>
          <t>A</t>
        </is>
      </c>
      <c r="E2230" t="inlineStr">
        <is>
          <t>rs34849522</t>
        </is>
      </c>
      <c r="F2230" t="n">
        <v>0.0251383034</v>
      </c>
      <c r="G2230" t="n">
        <v>0.3447779901313804</v>
      </c>
      <c r="H2230" t="n">
        <v>0.024353863270727</v>
      </c>
      <c r="I2230" t="n">
        <v>0.0320853642340207</v>
      </c>
      <c r="J2230" t="n">
        <v>0.0116112751565412</v>
      </c>
      <c r="K2230" t="n">
        <v>0.728019791779969</v>
      </c>
      <c r="L2230" t="b">
        <v>0</v>
      </c>
      <c r="M2230" t="b">
        <v>0</v>
      </c>
      <c r="N2230" t="inlineStr">
        <is>
          <t>alt</t>
        </is>
      </c>
      <c r="O2230" t="n">
        <v>5</v>
      </c>
      <c r="P2230" t="n">
        <v>0.002436</v>
      </c>
      <c r="Q2230" t="n">
        <v>-100</v>
      </c>
      <c r="R2230" t="n">
        <v>0.02325</v>
      </c>
      <c r="S2230">
        <f>IMAGE("https://mitra.stanford.edu/kundaje/oak/projects/neuro-variants/variant_position/credible/roussos_2024/variant_figures/roussos_2024.childhood.GABA/rs34849522_count_position.png",4,220,900)</f>
        <v/>
      </c>
      <c r="T2230">
        <f>IMAGE("https://mitra.stanford.edu/kundaje/oak/projects/neuro-variants/variant_position/credible/roussos_2024/variant_figures/roussos_2024.childhood.GABA/rs34849522_profile_position.png",4,220,900)</f>
        <v/>
      </c>
    </row>
    <row r="2231">
      <c r="A2231" t="inlineStr">
        <is>
          <t>chr2</t>
        </is>
      </c>
      <c r="B2231" t="n">
        <v>155061910</v>
      </c>
      <c r="C2231" t="inlineStr">
        <is>
          <t>T</t>
        </is>
      </c>
      <c r="D2231" t="inlineStr">
        <is>
          <t>C</t>
        </is>
      </c>
      <c r="E2231" t="inlineStr">
        <is>
          <t>rs62177111</t>
        </is>
      </c>
      <c r="F2231" t="n">
        <v>0.00945332254</v>
      </c>
      <c r="G2231" t="n">
        <v>0.6048632718234497</v>
      </c>
      <c r="H2231" t="n">
        <v>0.0061396728609358</v>
      </c>
      <c r="I2231" t="n">
        <v>0.9779484435783904</v>
      </c>
      <c r="J2231" t="n">
        <v>0.0083369981780485</v>
      </c>
      <c r="K2231" t="n">
        <v>0.7801257170888531</v>
      </c>
      <c r="L2231" t="b">
        <v>0</v>
      </c>
      <c r="M2231" t="b">
        <v>0</v>
      </c>
      <c r="N2231" t="inlineStr">
        <is>
          <t>alt</t>
        </is>
      </c>
      <c r="O2231" t="n">
        <v>-45</v>
      </c>
      <c r="P2231" t="n">
        <v>0.000656</v>
      </c>
      <c r="Q2231" t="n">
        <v>35</v>
      </c>
      <c r="R2231" t="n">
        <v>0.04214</v>
      </c>
      <c r="S2231">
        <f>IMAGE("https://mitra.stanford.edu/kundaje/oak/projects/neuro-variants/variant_position/credible/roussos_2024/variant_figures/roussos_2024.childhood.GABA/rs62177111_count_position.png",4,220,900)</f>
        <v/>
      </c>
      <c r="T2231">
        <f>IMAGE("https://mitra.stanford.edu/kundaje/oak/projects/neuro-variants/variant_position/credible/roussos_2024/variant_figures/roussos_2024.childhood.GABA/rs62177111_profile_position.png",4,220,900)</f>
        <v/>
      </c>
    </row>
    <row r="2232">
      <c r="A2232" t="inlineStr">
        <is>
          <t>chr2</t>
        </is>
      </c>
      <c r="B2232" t="n">
        <v>155062957</v>
      </c>
      <c r="C2232" t="inlineStr">
        <is>
          <t>T</t>
        </is>
      </c>
      <c r="D2232" t="inlineStr">
        <is>
          <t>C</t>
        </is>
      </c>
      <c r="E2232" t="inlineStr">
        <is>
          <t>rs13019836</t>
        </is>
      </c>
      <c r="F2232" t="n">
        <v>0.23574131</v>
      </c>
      <c r="G2232" t="n">
        <v>0.0032708098587108</v>
      </c>
      <c r="H2232" t="n">
        <v>0.0220454690279118</v>
      </c>
      <c r="I2232" t="n">
        <v>0.0523032336172979</v>
      </c>
      <c r="J2232" t="n">
        <v>0.1027988942639944</v>
      </c>
      <c r="K2232" t="n">
        <v>0.3749130045789154</v>
      </c>
      <c r="L2232" t="b">
        <v>1</v>
      </c>
      <c r="M2232" t="b">
        <v>1</v>
      </c>
      <c r="N2232" t="inlineStr">
        <is>
          <t>alt</t>
        </is>
      </c>
      <c r="O2232" t="n">
        <v>90</v>
      </c>
      <c r="P2232" t="n">
        <v>0.02267</v>
      </c>
      <c r="Q2232" t="n">
        <v>30</v>
      </c>
      <c r="R2232" t="n">
        <v>0.01196</v>
      </c>
      <c r="S2232">
        <f>IMAGE("https://mitra.stanford.edu/kundaje/oak/projects/neuro-variants/variant_position/credible/roussos_2024/variant_figures/roussos_2024.childhood.GABA/rs13019836_count_position.png",4,220,900)</f>
        <v/>
      </c>
      <c r="T2232">
        <f>IMAGE("https://mitra.stanford.edu/kundaje/oak/projects/neuro-variants/variant_position/credible/roussos_2024/variant_figures/roussos_2024.childhood.GABA/rs13019836_profile_position.png",4,220,900)</f>
        <v/>
      </c>
    </row>
    <row r="2233">
      <c r="A2233" t="inlineStr">
        <is>
          <t>chr2</t>
        </is>
      </c>
      <c r="B2233" t="n">
        <v>155076158</v>
      </c>
      <c r="C2233" t="inlineStr">
        <is>
          <t>G</t>
        </is>
      </c>
      <c r="D2233" t="inlineStr">
        <is>
          <t>T</t>
        </is>
      </c>
      <c r="E2233" t="inlineStr">
        <is>
          <t>rs17643843</t>
        </is>
      </c>
      <c r="F2233" t="n">
        <v>0.008107415240000001</v>
      </c>
      <c r="G2233" t="n">
        <v>0.6648688222992694</v>
      </c>
      <c r="H2233" t="n">
        <v>0.018566524320279</v>
      </c>
      <c r="I2233" t="n">
        <v>0.1002283584196841</v>
      </c>
      <c r="J2233" t="n">
        <v>0.0384934346924671</v>
      </c>
      <c r="K2233" t="n">
        <v>0.5352925101193522</v>
      </c>
      <c r="L2233" t="b">
        <v>0</v>
      </c>
      <c r="M2233" t="b">
        <v>0</v>
      </c>
      <c r="N2233" t="inlineStr">
        <is>
          <t>alt</t>
        </is>
      </c>
      <c r="O2233" t="n">
        <v>75</v>
      </c>
      <c r="P2233" t="n">
        <v>0.001629</v>
      </c>
      <c r="Q2233" t="n">
        <v>-5</v>
      </c>
      <c r="R2233" t="n">
        <v>0.00058</v>
      </c>
      <c r="S2233">
        <f>IMAGE("https://mitra.stanford.edu/kundaje/oak/projects/neuro-variants/variant_position/credible/roussos_2024/variant_figures/roussos_2024.childhood.GABA/rs17643843_count_position.png",4,220,900)</f>
        <v/>
      </c>
      <c r="T2233">
        <f>IMAGE("https://mitra.stanford.edu/kundaje/oak/projects/neuro-variants/variant_position/credible/roussos_2024/variant_figures/roussos_2024.childhood.GABA/rs17643843_profile_position.png",4,220,900)</f>
        <v/>
      </c>
    </row>
    <row r="2234">
      <c r="A2234" t="inlineStr">
        <is>
          <t>chr2</t>
        </is>
      </c>
      <c r="B2234" t="n">
        <v>155085458</v>
      </c>
      <c r="C2234" t="inlineStr">
        <is>
          <t>G</t>
        </is>
      </c>
      <c r="D2234" t="inlineStr">
        <is>
          <t>A</t>
        </is>
      </c>
      <c r="E2234" t="inlineStr">
        <is>
          <t>rs12986694</t>
        </is>
      </c>
      <c r="F2234" t="n">
        <v>-0.0451796494</v>
      </c>
      <c r="G2234" t="n">
        <v>0.1800089856060648</v>
      </c>
      <c r="H2234" t="n">
        <v>0.0131428785517819</v>
      </c>
      <c r="I2234" t="n">
        <v>0.3444507055150047</v>
      </c>
      <c r="J2234" t="n">
        <v>0.0277083202446021</v>
      </c>
      <c r="K2234" t="n">
        <v>0.5922775085915352</v>
      </c>
      <c r="L2234" t="b">
        <v>0</v>
      </c>
      <c r="M2234" t="b">
        <v>0</v>
      </c>
      <c r="N2234" t="inlineStr">
        <is>
          <t>ref</t>
        </is>
      </c>
      <c r="O2234" t="n">
        <v>100</v>
      </c>
      <c r="P2234" t="n">
        <v>0.005478</v>
      </c>
      <c r="Q2234" t="n">
        <v>100</v>
      </c>
      <c r="R2234" t="n">
        <v>0.2722</v>
      </c>
      <c r="S2234">
        <f>IMAGE("https://mitra.stanford.edu/kundaje/oak/projects/neuro-variants/variant_position/credible/roussos_2024/variant_figures/roussos_2024.childhood.GABA/rs12986694_count_position.png",4,220,900)</f>
        <v/>
      </c>
      <c r="T2234">
        <f>IMAGE("https://mitra.stanford.edu/kundaje/oak/projects/neuro-variants/variant_position/credible/roussos_2024/variant_figures/roussos_2024.childhood.GABA/rs12986694_profile_position.png",4,220,900)</f>
        <v/>
      </c>
    </row>
    <row r="2235">
      <c r="A2235" t="inlineStr">
        <is>
          <t>chr2</t>
        </is>
      </c>
      <c r="B2235" t="n">
        <v>155096418</v>
      </c>
      <c r="C2235" t="inlineStr">
        <is>
          <t>C</t>
        </is>
      </c>
      <c r="D2235" t="inlineStr">
        <is>
          <t>T</t>
        </is>
      </c>
      <c r="E2235" t="inlineStr">
        <is>
          <t>rs36078004</t>
        </is>
      </c>
      <c r="F2235" t="n">
        <v>0.0070014123</v>
      </c>
      <c r="G2235" t="n">
        <v>0.6513677723935986</v>
      </c>
      <c r="H2235" t="n">
        <v>0.0105209035115695</v>
      </c>
      <c r="I2235" t="n">
        <v>0.5836786377235649</v>
      </c>
      <c r="J2235" t="n">
        <v>0.0091757240686058</v>
      </c>
      <c r="K2235" t="n">
        <v>0.7503508069808794</v>
      </c>
      <c r="L2235" t="b">
        <v>0</v>
      </c>
      <c r="M2235" t="b">
        <v>0</v>
      </c>
      <c r="N2235" t="inlineStr">
        <is>
          <t>alt</t>
        </is>
      </c>
      <c r="O2235" t="n">
        <v>100</v>
      </c>
      <c r="P2235" t="n">
        <v>0.02324</v>
      </c>
      <c r="Q2235" t="n">
        <v>-100</v>
      </c>
      <c r="R2235" t="n">
        <v>0.01151</v>
      </c>
      <c r="S2235">
        <f>IMAGE("https://mitra.stanford.edu/kundaje/oak/projects/neuro-variants/variant_position/credible/roussos_2024/variant_figures/roussos_2024.childhood.GABA/rs36078004_count_position.png",4,220,900)</f>
        <v/>
      </c>
      <c r="T2235">
        <f>IMAGE("https://mitra.stanford.edu/kundaje/oak/projects/neuro-variants/variant_position/credible/roussos_2024/variant_figures/roussos_2024.childhood.GABA/rs36078004_profile_position.png",4,220,900)</f>
        <v/>
      </c>
    </row>
    <row r="2236">
      <c r="A2236" t="inlineStr">
        <is>
          <t>chr2</t>
        </is>
      </c>
      <c r="B2236" t="n">
        <v>155115610</v>
      </c>
      <c r="C2236" t="inlineStr">
        <is>
          <t>G</t>
        </is>
      </c>
      <c r="D2236" t="inlineStr">
        <is>
          <t>A</t>
        </is>
      </c>
      <c r="E2236" t="inlineStr">
        <is>
          <t>rs67625651</t>
        </is>
      </c>
      <c r="F2236" t="n">
        <v>0.0092526116899999</v>
      </c>
      <c r="G2236" t="n">
        <v>0.6576711215214138</v>
      </c>
      <c r="H2236" t="n">
        <v>0.0142738623236757</v>
      </c>
      <c r="I2236" t="n">
        <v>0.2619184678898528</v>
      </c>
      <c r="J2236" t="n">
        <v>0.1498984314464618</v>
      </c>
      <c r="K2236" t="n">
        <v>0.2730815068136856</v>
      </c>
      <c r="L2236" t="b">
        <v>0</v>
      </c>
      <c r="M2236" t="b">
        <v>0</v>
      </c>
      <c r="N2236" t="inlineStr">
        <is>
          <t>alt</t>
        </is>
      </c>
      <c r="O2236" t="n">
        <v>55</v>
      </c>
      <c r="P2236" t="n">
        <v>0.0138</v>
      </c>
      <c r="Q2236" t="n">
        <v>60</v>
      </c>
      <c r="R2236" t="n">
        <v>0.1406</v>
      </c>
      <c r="S2236">
        <f>IMAGE("https://mitra.stanford.edu/kundaje/oak/projects/neuro-variants/variant_position/credible/roussos_2024/variant_figures/roussos_2024.childhood.GABA/rs67625651_count_position.png",4,220,900)</f>
        <v/>
      </c>
      <c r="T2236">
        <f>IMAGE("https://mitra.stanford.edu/kundaje/oak/projects/neuro-variants/variant_position/credible/roussos_2024/variant_figures/roussos_2024.childhood.GABA/rs67625651_profile_position.png",4,220,900)</f>
        <v/>
      </c>
    </row>
    <row r="2237">
      <c r="A2237" t="inlineStr">
        <is>
          <t>chr2</t>
        </is>
      </c>
      <c r="B2237" t="n">
        <v>155135427</v>
      </c>
      <c r="C2237" t="inlineStr">
        <is>
          <t>A</t>
        </is>
      </c>
      <c r="D2237" t="inlineStr">
        <is>
          <t>C</t>
        </is>
      </c>
      <c r="E2237" t="inlineStr">
        <is>
          <t>rs12995353</t>
        </is>
      </c>
      <c r="F2237" t="n">
        <v>0.0283007697999999</v>
      </c>
      <c r="G2237" t="n">
        <v>0.3135135560045653</v>
      </c>
      <c r="H2237" t="n">
        <v>0.0095102894709405</v>
      </c>
      <c r="I2237" t="n">
        <v>0.6940527651473912</v>
      </c>
      <c r="J2237" t="n">
        <v>0.002432409792465</v>
      </c>
      <c r="K2237" t="n">
        <v>0.8741476298429787</v>
      </c>
      <c r="L2237" t="b">
        <v>0</v>
      </c>
      <c r="M2237" t="b">
        <v>0</v>
      </c>
      <c r="N2237" t="inlineStr">
        <is>
          <t>alt</t>
        </is>
      </c>
      <c r="O2237" t="n">
        <v>80</v>
      </c>
      <c r="P2237" t="n">
        <v>0.007584</v>
      </c>
      <c r="Q2237" t="n">
        <v>35</v>
      </c>
      <c r="R2237" t="n">
        <v>0.09014999999999999</v>
      </c>
      <c r="S2237">
        <f>IMAGE("https://mitra.stanford.edu/kundaje/oak/projects/neuro-variants/variant_position/credible/roussos_2024/variant_figures/roussos_2024.childhood.GABA/rs12995353_count_position.png",4,220,900)</f>
        <v/>
      </c>
      <c r="T2237">
        <f>IMAGE("https://mitra.stanford.edu/kundaje/oak/projects/neuro-variants/variant_position/credible/roussos_2024/variant_figures/roussos_2024.childhood.GABA/rs12995353_profile_position.png",4,220,900)</f>
        <v/>
      </c>
    </row>
    <row r="2238">
      <c r="A2238" t="inlineStr">
        <is>
          <t>chr2</t>
        </is>
      </c>
      <c r="B2238" t="n">
        <v>155138982</v>
      </c>
      <c r="C2238" t="inlineStr">
        <is>
          <t>T</t>
        </is>
      </c>
      <c r="D2238" t="inlineStr">
        <is>
          <t>C</t>
        </is>
      </c>
      <c r="E2238" t="inlineStr">
        <is>
          <t>rs62174916</t>
        </is>
      </c>
      <c r="F2238" t="n">
        <v>-0.00194920768</v>
      </c>
      <c r="G2238" t="n">
        <v>0.8115756845867387</v>
      </c>
      <c r="H2238" t="n">
        <v>0.0068047269068639</v>
      </c>
      <c r="I2238" t="n">
        <v>0.9518866856861792</v>
      </c>
      <c r="J2238" t="n">
        <v>0.016895981235995</v>
      </c>
      <c r="K2238" t="n">
        <v>0.6812630684513216</v>
      </c>
      <c r="L2238" t="b">
        <v>0</v>
      </c>
      <c r="M2238" t="b">
        <v>0</v>
      </c>
      <c r="N2238" t="inlineStr">
        <is>
          <t>ref</t>
        </is>
      </c>
      <c r="O2238" t="n">
        <v>-20</v>
      </c>
      <c r="P2238" t="n">
        <v>0.002214</v>
      </c>
      <c r="Q2238" t="n">
        <v>35</v>
      </c>
      <c r="R2238" t="n">
        <v>0.0456</v>
      </c>
      <c r="S2238">
        <f>IMAGE("https://mitra.stanford.edu/kundaje/oak/projects/neuro-variants/variant_position/credible/roussos_2024/variant_figures/roussos_2024.childhood.GABA/rs62174916_count_position.png",4,220,900)</f>
        <v/>
      </c>
      <c r="T2238">
        <f>IMAGE("https://mitra.stanford.edu/kundaje/oak/projects/neuro-variants/variant_position/credible/roussos_2024/variant_figures/roussos_2024.childhood.GABA/rs62174916_profile_position.png",4,220,900)</f>
        <v/>
      </c>
    </row>
    <row r="2239">
      <c r="A2239" t="inlineStr">
        <is>
          <t>chr2</t>
        </is>
      </c>
      <c r="B2239" t="n">
        <v>155156657</v>
      </c>
      <c r="C2239" t="inlineStr">
        <is>
          <t>T</t>
        </is>
      </c>
      <c r="D2239" t="inlineStr">
        <is>
          <t>C</t>
        </is>
      </c>
      <c r="E2239" t="inlineStr">
        <is>
          <t>rs67338739</t>
        </is>
      </c>
      <c r="F2239" t="n">
        <v>0.0013629726</v>
      </c>
      <c r="G2239" t="n">
        <v>0.6100154345133809</v>
      </c>
      <c r="H2239" t="n">
        <v>0.0233132295302134</v>
      </c>
      <c r="I2239" t="n">
        <v>0.0391339054268517</v>
      </c>
      <c r="J2239" t="n">
        <v>0.0009643777093673</v>
      </c>
      <c r="K2239" t="n">
        <v>0.9187342524715328</v>
      </c>
      <c r="L2239" t="b">
        <v>0</v>
      </c>
      <c r="M2239" t="b">
        <v>0</v>
      </c>
      <c r="N2239" t="inlineStr">
        <is>
          <t>alt</t>
        </is>
      </c>
      <c r="O2239" t="n">
        <v>0</v>
      </c>
      <c r="P2239" t="n">
        <v>0</v>
      </c>
      <c r="Q2239" t="n">
        <v>65</v>
      </c>
      <c r="R2239" t="n">
        <v>0.06616</v>
      </c>
      <c r="S2239">
        <f>IMAGE("https://mitra.stanford.edu/kundaje/oak/projects/neuro-variants/variant_position/credible/roussos_2024/variant_figures/roussos_2024.childhood.GABA/rs67338739_count_position.png",4,220,900)</f>
        <v/>
      </c>
      <c r="T2239">
        <f>IMAGE("https://mitra.stanford.edu/kundaje/oak/projects/neuro-variants/variant_position/credible/roussos_2024/variant_figures/roussos_2024.childhood.GABA/rs67338739_profile_position.png",4,220,900)</f>
        <v/>
      </c>
    </row>
    <row r="2240">
      <c r="A2240" t="inlineStr">
        <is>
          <t>chr2</t>
        </is>
      </c>
      <c r="B2240" t="n">
        <v>155157754</v>
      </c>
      <c r="C2240" t="inlineStr">
        <is>
          <t>C</t>
        </is>
      </c>
      <c r="D2240" t="inlineStr">
        <is>
          <t>G</t>
        </is>
      </c>
      <c r="E2240" t="inlineStr">
        <is>
          <t>rs35204416</t>
        </is>
      </c>
      <c r="F2240" t="n">
        <v>0.0306678894</v>
      </c>
      <c r="G2240" t="n">
        <v>0.2821568682666857</v>
      </c>
      <c r="H2240" t="n">
        <v>0.010949715527357</v>
      </c>
      <c r="I2240" t="n">
        <v>0.5442277793331961</v>
      </c>
      <c r="J2240" t="n">
        <v>0.0200917258277313</v>
      </c>
      <c r="K2240" t="n">
        <v>0.6582809258445212</v>
      </c>
      <c r="L2240" t="b">
        <v>0</v>
      </c>
      <c r="M2240" t="b">
        <v>0</v>
      </c>
      <c r="N2240" t="inlineStr">
        <is>
          <t>alt</t>
        </is>
      </c>
      <c r="O2240" t="n">
        <v>60</v>
      </c>
      <c r="P2240" t="n">
        <v>0.003052</v>
      </c>
      <c r="Q2240" t="n">
        <v>-5</v>
      </c>
      <c r="R2240" t="n">
        <v>0.0002441</v>
      </c>
      <c r="S2240">
        <f>IMAGE("https://mitra.stanford.edu/kundaje/oak/projects/neuro-variants/variant_position/credible/roussos_2024/variant_figures/roussos_2024.childhood.GABA/rs35204416_count_position.png",4,220,900)</f>
        <v/>
      </c>
      <c r="T2240">
        <f>IMAGE("https://mitra.stanford.edu/kundaje/oak/projects/neuro-variants/variant_position/credible/roussos_2024/variant_figures/roussos_2024.childhood.GABA/rs35204416_profile_position.png",4,220,900)</f>
        <v/>
      </c>
    </row>
    <row r="2241">
      <c r="A2241" t="inlineStr">
        <is>
          <t>chr2</t>
        </is>
      </c>
      <c r="B2241" t="n">
        <v>155198803</v>
      </c>
      <c r="C2241" t="inlineStr">
        <is>
          <t>G</t>
        </is>
      </c>
      <c r="D2241" t="inlineStr">
        <is>
          <t>A</t>
        </is>
      </c>
      <c r="E2241" t="inlineStr">
        <is>
          <t>rs72871781</t>
        </is>
      </c>
      <c r="F2241" t="n">
        <v>0.001991279034</v>
      </c>
      <c r="G2241" t="n">
        <v>0.8694117962431165</v>
      </c>
      <c r="H2241" t="n">
        <v>0.022851199727363</v>
      </c>
      <c r="I2241" t="n">
        <v>0.0421239284395918</v>
      </c>
      <c r="J2241" t="n">
        <v>0.0082595128897823</v>
      </c>
      <c r="K2241" t="n">
        <v>0.7585759858868356</v>
      </c>
      <c r="L2241" t="b">
        <v>0</v>
      </c>
      <c r="M2241" t="b">
        <v>0</v>
      </c>
      <c r="N2241" t="inlineStr">
        <is>
          <t>alt</t>
        </is>
      </c>
      <c r="O2241" t="n">
        <v>5</v>
      </c>
      <c r="P2241" t="n">
        <v>0.0003128</v>
      </c>
      <c r="Q2241" t="n">
        <v>95</v>
      </c>
      <c r="R2241" t="n">
        <v>0.04132</v>
      </c>
      <c r="S2241">
        <f>IMAGE("https://mitra.stanford.edu/kundaje/oak/projects/neuro-variants/variant_position/credible/roussos_2024/variant_figures/roussos_2024.childhood.GABA/rs72871781_count_position.png",4,220,900)</f>
        <v/>
      </c>
      <c r="T2241">
        <f>IMAGE("https://mitra.stanford.edu/kundaje/oak/projects/neuro-variants/variant_position/credible/roussos_2024/variant_figures/roussos_2024.childhood.GABA/rs72871781_profile_position.png",4,220,900)</f>
        <v/>
      </c>
    </row>
    <row r="2242">
      <c r="A2242" t="inlineStr">
        <is>
          <t>chr2</t>
        </is>
      </c>
      <c r="B2242" t="n">
        <v>155205181</v>
      </c>
      <c r="C2242" t="inlineStr">
        <is>
          <t>C</t>
        </is>
      </c>
      <c r="D2242" t="inlineStr">
        <is>
          <t>A</t>
        </is>
      </c>
      <c r="E2242" t="inlineStr">
        <is>
          <t>rs62176163</t>
        </is>
      </c>
      <c r="F2242" t="n">
        <v>0.0161985266</v>
      </c>
      <c r="G2242" t="n">
        <v>0.4767234543685986</v>
      </c>
      <c r="H2242" t="n">
        <v>0.0124138482995874</v>
      </c>
      <c r="I2242" t="n">
        <v>0.3985800990809943</v>
      </c>
      <c r="J2242" t="n">
        <v>0.038168834160541</v>
      </c>
      <c r="K2242" t="n">
        <v>0.541914893777397</v>
      </c>
      <c r="L2242" t="b">
        <v>0</v>
      </c>
      <c r="M2242" t="b">
        <v>0</v>
      </c>
      <c r="N2242" t="inlineStr">
        <is>
          <t>alt</t>
        </is>
      </c>
      <c r="O2242" t="n">
        <v>-90</v>
      </c>
      <c r="P2242" t="n">
        <v>0.00376</v>
      </c>
      <c r="Q2242" t="n">
        <v>45</v>
      </c>
      <c r="R2242" t="n">
        <v>0.06604</v>
      </c>
      <c r="S2242">
        <f>IMAGE("https://mitra.stanford.edu/kundaje/oak/projects/neuro-variants/variant_position/credible/roussos_2024/variant_figures/roussos_2024.childhood.GABA/rs62176163_count_position.png",4,220,900)</f>
        <v/>
      </c>
      <c r="T2242">
        <f>IMAGE("https://mitra.stanford.edu/kundaje/oak/projects/neuro-variants/variant_position/credible/roussos_2024/variant_figures/roussos_2024.childhood.GABA/rs62176163_profile_position.png",4,220,900)</f>
        <v/>
      </c>
    </row>
    <row r="2243">
      <c r="A2243" t="inlineStr">
        <is>
          <t>chr2</t>
        </is>
      </c>
      <c r="B2243" t="n">
        <v>155257913</v>
      </c>
      <c r="C2243" t="inlineStr">
        <is>
          <t>T</t>
        </is>
      </c>
      <c r="D2243" t="inlineStr">
        <is>
          <t>G</t>
        </is>
      </c>
      <c r="E2243" t="inlineStr">
        <is>
          <t>rs11892879</t>
        </is>
      </c>
      <c r="F2243" t="n">
        <v>-0.0332018975999999</v>
      </c>
      <c r="G2243" t="n">
        <v>0.2692607568884618</v>
      </c>
      <c r="H2243" t="n">
        <v>0.0198816479260371</v>
      </c>
      <c r="I2243" t="n">
        <v>0.0786500743857351</v>
      </c>
      <c r="J2243" t="n">
        <v>0.0194509015517999</v>
      </c>
      <c r="K2243" t="n">
        <v>0.645982350538976</v>
      </c>
      <c r="L2243" t="b">
        <v>0</v>
      </c>
      <c r="M2243" t="b">
        <v>0</v>
      </c>
      <c r="N2243" t="inlineStr">
        <is>
          <t>ref</t>
        </is>
      </c>
      <c r="O2243" t="n">
        <v>-95</v>
      </c>
      <c r="P2243" t="n">
        <v>0.002617</v>
      </c>
      <c r="Q2243" t="n">
        <v>-85</v>
      </c>
      <c r="R2243" t="n">
        <v>0.0743</v>
      </c>
      <c r="S2243">
        <f>IMAGE("https://mitra.stanford.edu/kundaje/oak/projects/neuro-variants/variant_position/credible/roussos_2024/variant_figures/roussos_2024.childhood.GABA/rs11892879_count_position.png",4,220,900)</f>
        <v/>
      </c>
      <c r="T2243">
        <f>IMAGE("https://mitra.stanford.edu/kundaje/oak/projects/neuro-variants/variant_position/credible/roussos_2024/variant_figures/roussos_2024.childhood.GABA/rs11892879_profile_position.png",4,220,900)</f>
        <v/>
      </c>
    </row>
    <row r="2244">
      <c r="A2244" t="inlineStr">
        <is>
          <t>chr2</t>
        </is>
      </c>
      <c r="B2244" t="n">
        <v>155938680</v>
      </c>
      <c r="C2244" t="inlineStr">
        <is>
          <t>A</t>
        </is>
      </c>
      <c r="D2244" t="inlineStr">
        <is>
          <t>G</t>
        </is>
      </c>
      <c r="E2244" t="inlineStr">
        <is>
          <t>rs12612835</t>
        </is>
      </c>
      <c r="F2244" t="n">
        <v>0.0251099578</v>
      </c>
      <c r="G2244" t="n">
        <v>0.3366304038449281</v>
      </c>
      <c r="H2244" t="n">
        <v>0.0177478119121556</v>
      </c>
      <c r="I2244" t="n">
        <v>0.1245667066477766</v>
      </c>
      <c r="J2244" t="n">
        <v>0.0507444870264496</v>
      </c>
      <c r="K2244" t="n">
        <v>0.4857638491352626</v>
      </c>
      <c r="L2244" t="b">
        <v>0</v>
      </c>
      <c r="M2244" t="b">
        <v>0</v>
      </c>
      <c r="N2244" t="inlineStr">
        <is>
          <t>alt</t>
        </is>
      </c>
      <c r="O2244" t="n">
        <v>-90</v>
      </c>
      <c r="P2244" t="n">
        <v>0.003998</v>
      </c>
      <c r="Q2244" t="n">
        <v>-80</v>
      </c>
      <c r="R2244" t="n">
        <v>0.09546</v>
      </c>
      <c r="S2244">
        <f>IMAGE("https://mitra.stanford.edu/kundaje/oak/projects/neuro-variants/variant_position/credible/roussos_2024/variant_figures/roussos_2024.childhood.GABA/rs12612835_count_position.png",4,220,900)</f>
        <v/>
      </c>
      <c r="T2244">
        <f>IMAGE("https://mitra.stanford.edu/kundaje/oak/projects/neuro-variants/variant_position/credible/roussos_2024/variant_figures/roussos_2024.childhood.GABA/rs12612835_profile_position.png",4,220,900)</f>
        <v/>
      </c>
    </row>
    <row r="2245">
      <c r="A2245" t="inlineStr">
        <is>
          <t>chr2</t>
        </is>
      </c>
      <c r="B2245" t="n">
        <v>155979281</v>
      </c>
      <c r="C2245" t="inlineStr">
        <is>
          <t>G</t>
        </is>
      </c>
      <c r="D2245" t="inlineStr">
        <is>
          <t>T</t>
        </is>
      </c>
      <c r="E2245" t="inlineStr">
        <is>
          <t>rs1881046</t>
        </is>
      </c>
      <c r="F2245" t="n">
        <v>0.01087204466</v>
      </c>
      <c r="G2245" t="n">
        <v>0.5264839494418695</v>
      </c>
      <c r="H2245" t="n">
        <v>0.0245842700969986</v>
      </c>
      <c r="I2245" t="n">
        <v>0.0309919454009066</v>
      </c>
      <c r="J2245" t="n">
        <v>0.0086406567401729</v>
      </c>
      <c r="K2245" t="n">
        <v>0.7792638725215133</v>
      </c>
      <c r="L2245" t="b">
        <v>0</v>
      </c>
      <c r="M2245" t="b">
        <v>0</v>
      </c>
      <c r="N2245" t="inlineStr">
        <is>
          <t>alt</t>
        </is>
      </c>
      <c r="O2245" t="n">
        <v>100</v>
      </c>
      <c r="P2245" t="n">
        <v>0.003399</v>
      </c>
      <c r="Q2245" t="n">
        <v>0</v>
      </c>
      <c r="R2245" t="n">
        <v>0</v>
      </c>
      <c r="S2245">
        <f>IMAGE("https://mitra.stanford.edu/kundaje/oak/projects/neuro-variants/variant_position/credible/roussos_2024/variant_figures/roussos_2024.childhood.GABA/rs1881046_count_position.png",4,220,900)</f>
        <v/>
      </c>
      <c r="T2245">
        <f>IMAGE("https://mitra.stanford.edu/kundaje/oak/projects/neuro-variants/variant_position/credible/roussos_2024/variant_figures/roussos_2024.childhood.GABA/rs1881046_profile_position.png",4,220,900)</f>
        <v/>
      </c>
    </row>
    <row r="2246">
      <c r="A2246" t="inlineStr">
        <is>
          <t>chr2</t>
        </is>
      </c>
      <c r="B2246" t="n">
        <v>155981422</v>
      </c>
      <c r="C2246" t="inlineStr">
        <is>
          <t>T</t>
        </is>
      </c>
      <c r="D2246" t="inlineStr">
        <is>
          <t>C</t>
        </is>
      </c>
      <c r="E2246" t="inlineStr">
        <is>
          <t>rs2103263</t>
        </is>
      </c>
      <c r="F2246" t="n">
        <v>0.103522924</v>
      </c>
      <c r="G2246" t="n">
        <v>0.0308099562153025</v>
      </c>
      <c r="H2246" t="n">
        <v>0.0153643575743774</v>
      </c>
      <c r="I2246" t="n">
        <v>0.1984231284565681</v>
      </c>
      <c r="J2246" t="n">
        <v>0.008846935142719401</v>
      </c>
      <c r="K2246" t="n">
        <v>0.7697080629431882</v>
      </c>
      <c r="L2246" t="b">
        <v>0</v>
      </c>
      <c r="M2246" t="b">
        <v>0</v>
      </c>
      <c r="N2246" t="inlineStr">
        <is>
          <t>alt</t>
        </is>
      </c>
      <c r="O2246" t="n">
        <v>-100</v>
      </c>
      <c r="P2246" t="n">
        <v>0.00656</v>
      </c>
      <c r="Q2246" t="n">
        <v>30</v>
      </c>
      <c r="R2246" t="n">
        <v>0.02856</v>
      </c>
      <c r="S2246">
        <f>IMAGE("https://mitra.stanford.edu/kundaje/oak/projects/neuro-variants/variant_position/credible/roussos_2024/variant_figures/roussos_2024.childhood.GABA/rs2103263_count_position.png",4,220,900)</f>
        <v/>
      </c>
      <c r="T2246">
        <f>IMAGE("https://mitra.stanford.edu/kundaje/oak/projects/neuro-variants/variant_position/credible/roussos_2024/variant_figures/roussos_2024.childhood.GABA/rs2103263_profile_position.png",4,220,900)</f>
        <v/>
      </c>
    </row>
    <row r="2247">
      <c r="A2247" t="inlineStr">
        <is>
          <t>chr2</t>
        </is>
      </c>
      <c r="B2247" t="n">
        <v>155988494</v>
      </c>
      <c r="C2247" t="inlineStr">
        <is>
          <t>A</t>
        </is>
      </c>
      <c r="D2247" t="inlineStr">
        <is>
          <t>T</t>
        </is>
      </c>
      <c r="E2247" t="inlineStr">
        <is>
          <t>rs35377330</t>
        </is>
      </c>
      <c r="F2247" t="n">
        <v>0.002033203152</v>
      </c>
      <c r="G2247" t="n">
        <v>0.8197712731766245</v>
      </c>
      <c r="H2247" t="n">
        <v>0.0187710606654169</v>
      </c>
      <c r="I2247" t="n">
        <v>0.0992939877592255</v>
      </c>
      <c r="J2247" t="n">
        <v>0.0538512282465288</v>
      </c>
      <c r="K2247" t="n">
        <v>0.4873114385294534</v>
      </c>
      <c r="L2247" t="b">
        <v>0</v>
      </c>
      <c r="M2247" t="b">
        <v>0</v>
      </c>
      <c r="N2247" t="inlineStr">
        <is>
          <t>alt</t>
        </is>
      </c>
      <c r="O2247" t="n">
        <v>85</v>
      </c>
      <c r="P2247" t="n">
        <v>0.00983</v>
      </c>
      <c r="Q2247" t="n">
        <v>40</v>
      </c>
      <c r="R2247" t="n">
        <v>0.0415</v>
      </c>
      <c r="S2247">
        <f>IMAGE("https://mitra.stanford.edu/kundaje/oak/projects/neuro-variants/variant_position/credible/roussos_2024/variant_figures/roussos_2024.childhood.GABA/rs35377330_count_position.png",4,220,900)</f>
        <v/>
      </c>
      <c r="T2247">
        <f>IMAGE("https://mitra.stanford.edu/kundaje/oak/projects/neuro-variants/variant_position/credible/roussos_2024/variant_figures/roussos_2024.childhood.GABA/rs35377330_profile_position.png",4,220,900)</f>
        <v/>
      </c>
    </row>
    <row r="2248">
      <c r="A2248" t="inlineStr">
        <is>
          <t>chr2</t>
        </is>
      </c>
      <c r="B2248" t="n">
        <v>155999745</v>
      </c>
      <c r="C2248" t="inlineStr">
        <is>
          <t>G</t>
        </is>
      </c>
      <c r="D2248" t="inlineStr">
        <is>
          <t>A</t>
        </is>
      </c>
      <c r="E2248" t="inlineStr">
        <is>
          <t>rs13026547</t>
        </is>
      </c>
      <c r="F2248" t="n">
        <v>-0.0025306866799999</v>
      </c>
      <c r="G2248" t="n">
        <v>0.8174784318068928</v>
      </c>
      <c r="H2248" t="n">
        <v>0.0083345382431587</v>
      </c>
      <c r="I2248" t="n">
        <v>0.8306801477139704</v>
      </c>
      <c r="J2248" t="n">
        <v>0.0183650604175828</v>
      </c>
      <c r="K2248" t="n">
        <v>0.6603744786600224</v>
      </c>
      <c r="L2248" t="b">
        <v>0</v>
      </c>
      <c r="M2248" t="b">
        <v>0</v>
      </c>
      <c r="N2248" t="inlineStr">
        <is>
          <t>ref</t>
        </is>
      </c>
      <c r="O2248" t="n">
        <v>-85</v>
      </c>
      <c r="P2248" t="n">
        <v>0.003166</v>
      </c>
      <c r="Q2248" t="n">
        <v>15</v>
      </c>
      <c r="R2248" t="n">
        <v>0.03075</v>
      </c>
      <c r="S2248">
        <f>IMAGE("https://mitra.stanford.edu/kundaje/oak/projects/neuro-variants/variant_position/credible/roussos_2024/variant_figures/roussos_2024.childhood.GABA/rs13026547_count_position.png",4,220,900)</f>
        <v/>
      </c>
      <c r="T2248">
        <f>IMAGE("https://mitra.stanford.edu/kundaje/oak/projects/neuro-variants/variant_position/credible/roussos_2024/variant_figures/roussos_2024.childhood.GABA/rs13026547_profile_position.png",4,220,900)</f>
        <v/>
      </c>
    </row>
    <row r="2249">
      <c r="A2249" t="inlineStr">
        <is>
          <t>chr2</t>
        </is>
      </c>
      <c r="B2249" t="n">
        <v>161949898</v>
      </c>
      <c r="C2249" t="inlineStr">
        <is>
          <t>G</t>
        </is>
      </c>
      <c r="D2249" t="inlineStr">
        <is>
          <t>A</t>
        </is>
      </c>
      <c r="E2249" t="inlineStr">
        <is>
          <t>rs7604885</t>
        </is>
      </c>
      <c r="F2249" t="n">
        <v>-0.07735394299999999</v>
      </c>
      <c r="G2249" t="n">
        <v>0.0585911116488002</v>
      </c>
      <c r="H2249" t="n">
        <v>0.0133604831825268</v>
      </c>
      <c r="I2249" t="n">
        <v>0.3275178758275337</v>
      </c>
      <c r="J2249" t="n">
        <v>0.1595987518585998</v>
      </c>
      <c r="K2249" t="n">
        <v>0.2574783581805993</v>
      </c>
      <c r="L2249" t="b">
        <v>0</v>
      </c>
      <c r="M2249" t="b">
        <v>0</v>
      </c>
      <c r="N2249" t="inlineStr">
        <is>
          <t>ref</t>
        </is>
      </c>
      <c r="O2249" t="n">
        <v>-65</v>
      </c>
      <c r="P2249" t="n">
        <v>0.02129</v>
      </c>
      <c r="Q2249" t="n">
        <v>100</v>
      </c>
      <c r="R2249" t="n">
        <v>0.3032</v>
      </c>
      <c r="S2249">
        <f>IMAGE("https://mitra.stanford.edu/kundaje/oak/projects/neuro-variants/variant_position/credible/roussos_2024/variant_figures/roussos_2024.childhood.GABA/rs7604885_count_position.png",4,220,900)</f>
        <v/>
      </c>
      <c r="T2249">
        <f>IMAGE("https://mitra.stanford.edu/kundaje/oak/projects/neuro-variants/variant_position/credible/roussos_2024/variant_figures/roussos_2024.childhood.GABA/rs7604885_profile_position.png",4,220,900)</f>
        <v/>
      </c>
    </row>
    <row r="2250">
      <c r="A2250" t="inlineStr">
        <is>
          <t>chr2</t>
        </is>
      </c>
      <c r="B2250" t="n">
        <v>161966199</v>
      </c>
      <c r="C2250" t="inlineStr">
        <is>
          <t>G</t>
        </is>
      </c>
      <c r="D2250" t="inlineStr">
        <is>
          <t>A</t>
        </is>
      </c>
      <c r="E2250" t="inlineStr">
        <is>
          <t>rs13021985</t>
        </is>
      </c>
      <c r="F2250" t="n">
        <v>-0.089831456</v>
      </c>
      <c r="G2250" t="n">
        <v>0.038978893135566</v>
      </c>
      <c r="H2250" t="n">
        <v>0.0152501658129555</v>
      </c>
      <c r="I2250" t="n">
        <v>0.2094881168511506</v>
      </c>
      <c r="J2250" t="n">
        <v>0.007848003183179301</v>
      </c>
      <c r="K2250" t="n">
        <v>0.7840544632981236</v>
      </c>
      <c r="L2250" t="b">
        <v>0</v>
      </c>
      <c r="M2250" t="b">
        <v>0</v>
      </c>
      <c r="N2250" t="inlineStr">
        <is>
          <t>ref</t>
        </is>
      </c>
      <c r="O2250" t="n">
        <v>100</v>
      </c>
      <c r="P2250" t="n">
        <v>0.01863</v>
      </c>
      <c r="Q2250" t="n">
        <v>-15</v>
      </c>
      <c r="R2250" t="n">
        <v>0.01514</v>
      </c>
      <c r="S2250">
        <f>IMAGE("https://mitra.stanford.edu/kundaje/oak/projects/neuro-variants/variant_position/credible/roussos_2024/variant_figures/roussos_2024.childhood.GABA/rs13021985_count_position.png",4,220,900)</f>
        <v/>
      </c>
      <c r="T2250">
        <f>IMAGE("https://mitra.stanford.edu/kundaje/oak/projects/neuro-variants/variant_position/credible/roussos_2024/variant_figures/roussos_2024.childhood.GABA/rs13021985_profile_position.png",4,220,900)</f>
        <v/>
      </c>
    </row>
    <row r="2251">
      <c r="A2251" t="inlineStr">
        <is>
          <t>chr2</t>
        </is>
      </c>
      <c r="B2251" t="n">
        <v>161975246</v>
      </c>
      <c r="C2251" t="inlineStr">
        <is>
          <t>G</t>
        </is>
      </c>
      <c r="D2251" t="inlineStr">
        <is>
          <t>T</t>
        </is>
      </c>
      <c r="E2251" t="inlineStr">
        <is>
          <t>rs4295021</t>
        </is>
      </c>
      <c r="F2251" t="n">
        <v>0.009940579059999999</v>
      </c>
      <c r="G2251" t="n">
        <v>0.6117761029719704</v>
      </c>
      <c r="H2251" t="n">
        <v>0.0231658442386431</v>
      </c>
      <c r="I2251" t="n">
        <v>0.041653733061953</v>
      </c>
      <c r="J2251" t="n">
        <v>0.0277460157902451</v>
      </c>
      <c r="K2251" t="n">
        <v>0.5903460427866695</v>
      </c>
      <c r="L2251" t="b">
        <v>0</v>
      </c>
      <c r="M2251" t="b">
        <v>0</v>
      </c>
      <c r="N2251" t="inlineStr">
        <is>
          <t>alt</t>
        </is>
      </c>
      <c r="O2251" t="n">
        <v>90</v>
      </c>
      <c r="P2251" t="n">
        <v>0.01198</v>
      </c>
      <c r="Q2251" t="n">
        <v>100</v>
      </c>
      <c r="R2251" t="n">
        <v>0.068</v>
      </c>
      <c r="S2251">
        <f>IMAGE("https://mitra.stanford.edu/kundaje/oak/projects/neuro-variants/variant_position/credible/roussos_2024/variant_figures/roussos_2024.childhood.GABA/rs4295021_count_position.png",4,220,900)</f>
        <v/>
      </c>
      <c r="T2251">
        <f>IMAGE("https://mitra.stanford.edu/kundaje/oak/projects/neuro-variants/variant_position/credible/roussos_2024/variant_figures/roussos_2024.childhood.GABA/rs4295021_profile_position.png",4,220,900)</f>
        <v/>
      </c>
    </row>
    <row r="2252">
      <c r="A2252" t="inlineStr">
        <is>
          <t>chr2</t>
        </is>
      </c>
      <c r="B2252" t="n">
        <v>161986568</v>
      </c>
      <c r="C2252" t="inlineStr">
        <is>
          <t>T</t>
        </is>
      </c>
      <c r="D2252" t="inlineStr">
        <is>
          <t>C</t>
        </is>
      </c>
      <c r="E2252" t="inlineStr">
        <is>
          <t>rs2909455</t>
        </is>
      </c>
      <c r="F2252" t="n">
        <v>0.0279247933999999</v>
      </c>
      <c r="G2252" t="n">
        <v>0.3162664303153598</v>
      </c>
      <c r="H2252" t="n">
        <v>0.0166598403957827</v>
      </c>
      <c r="I2252" t="n">
        <v>0.1551047389493877</v>
      </c>
      <c r="J2252" t="n">
        <v>0.0258633327050741</v>
      </c>
      <c r="K2252" t="n">
        <v>0.6150827724328226</v>
      </c>
      <c r="L2252" t="b">
        <v>0</v>
      </c>
      <c r="M2252" t="b">
        <v>0</v>
      </c>
      <c r="N2252" t="inlineStr">
        <is>
          <t>alt</t>
        </is>
      </c>
      <c r="O2252" t="n">
        <v>10</v>
      </c>
      <c r="P2252" t="n">
        <v>0.001525</v>
      </c>
      <c r="Q2252" t="n">
        <v>75</v>
      </c>
      <c r="R2252" t="n">
        <v>0.08875</v>
      </c>
      <c r="S2252">
        <f>IMAGE("https://mitra.stanford.edu/kundaje/oak/projects/neuro-variants/variant_position/credible/roussos_2024/variant_figures/roussos_2024.childhood.GABA/rs2909455_count_position.png",4,220,900)</f>
        <v/>
      </c>
      <c r="T2252">
        <f>IMAGE("https://mitra.stanford.edu/kundaje/oak/projects/neuro-variants/variant_position/credible/roussos_2024/variant_figures/roussos_2024.childhood.GABA/rs2909455_profile_position.png",4,220,900)</f>
        <v/>
      </c>
    </row>
    <row r="2253">
      <c r="A2253" t="inlineStr">
        <is>
          <t>chr2</t>
        </is>
      </c>
      <c r="B2253" t="n">
        <v>168583520</v>
      </c>
      <c r="C2253" t="inlineStr">
        <is>
          <t>C</t>
        </is>
      </c>
      <c r="D2253" t="inlineStr">
        <is>
          <t>T</t>
        </is>
      </c>
      <c r="E2253" t="inlineStr">
        <is>
          <t>rs975341</t>
        </is>
      </c>
      <c r="F2253" t="n">
        <v>0.00430444636</v>
      </c>
      <c r="G2253" t="n">
        <v>0.6815974915121198</v>
      </c>
      <c r="H2253" t="n">
        <v>0.0084192093125222</v>
      </c>
      <c r="I2253" t="n">
        <v>0.8050414277891849</v>
      </c>
      <c r="J2253" t="n">
        <v>0.0854139180331301</v>
      </c>
      <c r="K2253" t="n">
        <v>0.3896352831228199</v>
      </c>
      <c r="L2253" t="b">
        <v>0</v>
      </c>
      <c r="M2253" t="b">
        <v>0</v>
      </c>
      <c r="N2253" t="inlineStr">
        <is>
          <t>alt</t>
        </is>
      </c>
      <c r="O2253" t="n">
        <v>40</v>
      </c>
      <c r="P2253" t="n">
        <v>0.006435</v>
      </c>
      <c r="Q2253" t="n">
        <v>-95</v>
      </c>
      <c r="R2253" t="n">
        <v>0.0484</v>
      </c>
      <c r="S2253">
        <f>IMAGE("https://mitra.stanford.edu/kundaje/oak/projects/neuro-variants/variant_position/credible/roussos_2024/variant_figures/roussos_2024.childhood.GABA/rs975341_count_position.png",4,220,900)</f>
        <v/>
      </c>
      <c r="T2253">
        <f>IMAGE("https://mitra.stanford.edu/kundaje/oak/projects/neuro-variants/variant_position/credible/roussos_2024/variant_figures/roussos_2024.childhood.GABA/rs975341_profile_position.png",4,220,900)</f>
        <v/>
      </c>
    </row>
    <row r="2254">
      <c r="A2254" t="inlineStr">
        <is>
          <t>chr2</t>
        </is>
      </c>
      <c r="B2254" t="n">
        <v>168629017</v>
      </c>
      <c r="C2254" t="inlineStr">
        <is>
          <t>T</t>
        </is>
      </c>
      <c r="D2254" t="inlineStr">
        <is>
          <t>A</t>
        </is>
      </c>
      <c r="E2254" t="inlineStr">
        <is>
          <t>rs6722396</t>
        </is>
      </c>
      <c r="F2254" t="n">
        <v>-0.0599703723999999</v>
      </c>
      <c r="G2254" t="n">
        <v>0.1011349058286464</v>
      </c>
      <c r="H2254" t="n">
        <v>0.0251926668166739</v>
      </c>
      <c r="I2254" t="n">
        <v>0.0282947928626604</v>
      </c>
      <c r="J2254" t="n">
        <v>0.0695283868400661</v>
      </c>
      <c r="K2254" t="n">
        <v>0.425586798722519</v>
      </c>
      <c r="L2254" t="b">
        <v>0</v>
      </c>
      <c r="M2254" t="b">
        <v>0</v>
      </c>
      <c r="N2254" t="inlineStr">
        <is>
          <t>ref</t>
        </is>
      </c>
      <c r="O2254" t="n">
        <v>100</v>
      </c>
      <c r="P2254" t="n">
        <v>0.01108</v>
      </c>
      <c r="Q2254" t="n">
        <v>45</v>
      </c>
      <c r="R2254" t="n">
        <v>0.01245</v>
      </c>
      <c r="S2254">
        <f>IMAGE("https://mitra.stanford.edu/kundaje/oak/projects/neuro-variants/variant_position/credible/roussos_2024/variant_figures/roussos_2024.childhood.GABA/rs6722396_count_position.png",4,220,900)</f>
        <v/>
      </c>
      <c r="T2254">
        <f>IMAGE("https://mitra.stanford.edu/kundaje/oak/projects/neuro-variants/variant_position/credible/roussos_2024/variant_figures/roussos_2024.childhood.GABA/rs6722396_profile_position.png",4,220,900)</f>
        <v/>
      </c>
    </row>
    <row r="2255">
      <c r="A2255" t="inlineStr">
        <is>
          <t>chr2</t>
        </is>
      </c>
      <c r="B2255" t="n">
        <v>168633437</v>
      </c>
      <c r="C2255" t="inlineStr">
        <is>
          <t>T</t>
        </is>
      </c>
      <c r="D2255" t="inlineStr">
        <is>
          <t>C</t>
        </is>
      </c>
      <c r="E2255" t="inlineStr">
        <is>
          <t>rs10189241</t>
        </is>
      </c>
      <c r="F2255" t="n">
        <v>0.05706439</v>
      </c>
      <c r="G2255" t="n">
        <v>0.106414006066729</v>
      </c>
      <c r="H2255" t="n">
        <v>0.009270965146882399</v>
      </c>
      <c r="I2255" t="n">
        <v>0.7195378108523409</v>
      </c>
      <c r="J2255" t="n">
        <v>0.2137588741597034</v>
      </c>
      <c r="K2255" t="n">
        <v>0.1976663201213451</v>
      </c>
      <c r="L2255" t="b">
        <v>0</v>
      </c>
      <c r="M2255" t="b">
        <v>0</v>
      </c>
      <c r="N2255" t="inlineStr">
        <is>
          <t>alt</t>
        </is>
      </c>
      <c r="O2255" t="n">
        <v>-85</v>
      </c>
      <c r="P2255" t="n">
        <v>0.03467</v>
      </c>
      <c r="Q2255" t="n">
        <v>-45</v>
      </c>
      <c r="R2255" t="n">
        <v>0.1793</v>
      </c>
      <c r="S2255">
        <f>IMAGE("https://mitra.stanford.edu/kundaje/oak/projects/neuro-variants/variant_position/credible/roussos_2024/variant_figures/roussos_2024.childhood.GABA/rs10189241_count_position.png",4,220,900)</f>
        <v/>
      </c>
      <c r="T2255">
        <f>IMAGE("https://mitra.stanford.edu/kundaje/oak/projects/neuro-variants/variant_position/credible/roussos_2024/variant_figures/roussos_2024.childhood.GABA/rs10189241_profile_position.png",4,220,900)</f>
        <v/>
      </c>
    </row>
    <row r="2256">
      <c r="A2256" t="inlineStr">
        <is>
          <t>chr2</t>
        </is>
      </c>
      <c r="B2256" t="n">
        <v>168635396</v>
      </c>
      <c r="C2256" t="inlineStr">
        <is>
          <t>G</t>
        </is>
      </c>
      <c r="D2256" t="inlineStr">
        <is>
          <t>T</t>
        </is>
      </c>
      <c r="E2256" t="inlineStr">
        <is>
          <t>rs7564698</t>
        </is>
      </c>
      <c r="F2256" t="n">
        <v>0.00841648352</v>
      </c>
      <c r="G2256" t="n">
        <v>0.5255424881241414</v>
      </c>
      <c r="H2256" t="n">
        <v>0.0198970016466163</v>
      </c>
      <c r="I2256" t="n">
        <v>0.07700819603124601</v>
      </c>
      <c r="J2256" t="n">
        <v>0.3898902640782392</v>
      </c>
      <c r="K2256" t="n">
        <v>0.0901952149569141</v>
      </c>
      <c r="L2256" t="b">
        <v>0</v>
      </c>
      <c r="M2256" t="b">
        <v>0</v>
      </c>
      <c r="N2256" t="inlineStr">
        <is>
          <t>alt</t>
        </is>
      </c>
      <c r="O2256" t="n">
        <v>55</v>
      </c>
      <c r="P2256" t="n">
        <v>0.008880000000000001</v>
      </c>
      <c r="Q2256" t="n">
        <v>55</v>
      </c>
      <c r="R2256" t="n">
        <v>0.2222</v>
      </c>
      <c r="S2256">
        <f>IMAGE("https://mitra.stanford.edu/kundaje/oak/projects/neuro-variants/variant_position/credible/roussos_2024/variant_figures/roussos_2024.childhood.GABA/rs7564698_count_position.png",4,220,900)</f>
        <v/>
      </c>
      <c r="T2256">
        <f>IMAGE("https://mitra.stanford.edu/kundaje/oak/projects/neuro-variants/variant_position/credible/roussos_2024/variant_figures/roussos_2024.childhood.GABA/rs7564698_profile_position.png",4,220,900)</f>
        <v/>
      </c>
    </row>
    <row r="2257">
      <c r="A2257" t="inlineStr">
        <is>
          <t>chr2</t>
        </is>
      </c>
      <c r="B2257" t="n">
        <v>168635458</v>
      </c>
      <c r="C2257" t="inlineStr">
        <is>
          <t>A</t>
        </is>
      </c>
      <c r="D2257" t="inlineStr">
        <is>
          <t>G</t>
        </is>
      </c>
      <c r="E2257" t="inlineStr">
        <is>
          <t>rs4668081</t>
        </is>
      </c>
      <c r="F2257" t="n">
        <v>0.056559263</v>
      </c>
      <c r="G2257" t="n">
        <v>0.1183856976936739</v>
      </c>
      <c r="H2257" t="n">
        <v>0.009429369675785599</v>
      </c>
      <c r="I2257" t="n">
        <v>0.6961057411787998</v>
      </c>
      <c r="J2257" t="n">
        <v>0.4216215367217441</v>
      </c>
      <c r="K2257" t="n">
        <v>0.07764076588184909</v>
      </c>
      <c r="L2257" t="b">
        <v>0</v>
      </c>
      <c r="M2257" t="b">
        <v>0</v>
      </c>
      <c r="N2257" t="inlineStr">
        <is>
          <t>alt</t>
        </is>
      </c>
      <c r="O2257" t="n">
        <v>-20</v>
      </c>
      <c r="P2257" t="n">
        <v>0.00415</v>
      </c>
      <c r="Q2257" t="n">
        <v>-5</v>
      </c>
      <c r="R2257" t="n">
        <v>0.010254</v>
      </c>
      <c r="S2257">
        <f>IMAGE("https://mitra.stanford.edu/kundaje/oak/projects/neuro-variants/variant_position/credible/roussos_2024/variant_figures/roussos_2024.childhood.GABA/rs4668081_count_position.png",4,220,900)</f>
        <v/>
      </c>
      <c r="T2257">
        <f>IMAGE("https://mitra.stanford.edu/kundaje/oak/projects/neuro-variants/variant_position/credible/roussos_2024/variant_figures/roussos_2024.childhood.GABA/rs4668081_profile_position.png",4,220,900)</f>
        <v/>
      </c>
    </row>
    <row r="2258">
      <c r="A2258" t="inlineStr">
        <is>
          <t>chr2</t>
        </is>
      </c>
      <c r="B2258" t="n">
        <v>168637414</v>
      </c>
      <c r="C2258" t="inlineStr">
        <is>
          <t>G</t>
        </is>
      </c>
      <c r="D2258" t="inlineStr">
        <is>
          <t>A</t>
        </is>
      </c>
      <c r="E2258" t="inlineStr">
        <is>
          <t>rs4277491</t>
        </is>
      </c>
      <c r="F2258" t="n">
        <v>-0.0599924294</v>
      </c>
      <c r="G2258" t="n">
        <v>0.1013324642092838</v>
      </c>
      <c r="H2258" t="n">
        <v>0.0127623517824323</v>
      </c>
      <c r="I2258" t="n">
        <v>0.3722545671764803</v>
      </c>
      <c r="J2258" t="n">
        <v>0.0123358673116792</v>
      </c>
      <c r="K2258" t="n">
        <v>0.712566489384718</v>
      </c>
      <c r="L2258" t="b">
        <v>0</v>
      </c>
      <c r="M2258" t="b">
        <v>0</v>
      </c>
      <c r="N2258" t="inlineStr">
        <is>
          <t>ref</t>
        </is>
      </c>
      <c r="O2258" t="n">
        <v>-100</v>
      </c>
      <c r="P2258" t="n">
        <v>0.009480000000000001</v>
      </c>
      <c r="Q2258" t="n">
        <v>20</v>
      </c>
      <c r="R2258" t="n">
        <v>0.00058</v>
      </c>
      <c r="S2258">
        <f>IMAGE("https://mitra.stanford.edu/kundaje/oak/projects/neuro-variants/variant_position/credible/roussos_2024/variant_figures/roussos_2024.childhood.GABA/rs4277491_count_position.png",4,220,900)</f>
        <v/>
      </c>
      <c r="T2258">
        <f>IMAGE("https://mitra.stanford.edu/kundaje/oak/projects/neuro-variants/variant_position/credible/roussos_2024/variant_figures/roussos_2024.childhood.GABA/rs4277491_profile_position.png",4,220,900)</f>
        <v/>
      </c>
    </row>
    <row r="2259">
      <c r="A2259" t="inlineStr">
        <is>
          <t>chr2</t>
        </is>
      </c>
      <c r="B2259" t="n">
        <v>168638121</v>
      </c>
      <c r="C2259" t="inlineStr">
        <is>
          <t>C</t>
        </is>
      </c>
      <c r="D2259" t="inlineStr">
        <is>
          <t>T</t>
        </is>
      </c>
      <c r="E2259" t="inlineStr">
        <is>
          <t>rs75696288</t>
        </is>
      </c>
      <c r="F2259" t="n">
        <v>-0.079652876</v>
      </c>
      <c r="G2259" t="n">
        <v>0.0557647685882249</v>
      </c>
      <c r="H2259" t="n">
        <v>0.0161750365923029</v>
      </c>
      <c r="I2259" t="n">
        <v>0.1719854293531735</v>
      </c>
      <c r="J2259" t="n">
        <v>0.0527957529685241</v>
      </c>
      <c r="K2259" t="n">
        <v>0.4782850165747916</v>
      </c>
      <c r="L2259" t="b">
        <v>0</v>
      </c>
      <c r="M2259" t="b">
        <v>0</v>
      </c>
      <c r="N2259" t="inlineStr">
        <is>
          <t>ref</t>
        </is>
      </c>
      <c r="O2259" t="n">
        <v>25</v>
      </c>
      <c r="P2259" t="n">
        <v>0.003937</v>
      </c>
      <c r="Q2259" t="n">
        <v>70</v>
      </c>
      <c r="R2259" t="n">
        <v>0.05566</v>
      </c>
      <c r="S2259">
        <f>IMAGE("https://mitra.stanford.edu/kundaje/oak/projects/neuro-variants/variant_position/credible/roussos_2024/variant_figures/roussos_2024.childhood.GABA/rs75696288_count_position.png",4,220,900)</f>
        <v/>
      </c>
      <c r="T2259">
        <f>IMAGE("https://mitra.stanford.edu/kundaje/oak/projects/neuro-variants/variant_position/credible/roussos_2024/variant_figures/roussos_2024.childhood.GABA/rs75696288_profile_position.png",4,220,900)</f>
        <v/>
      </c>
    </row>
    <row r="2260">
      <c r="A2260" t="inlineStr">
        <is>
          <t>chr2</t>
        </is>
      </c>
      <c r="B2260" t="n">
        <v>172047370</v>
      </c>
      <c r="C2260" t="inlineStr">
        <is>
          <t>G</t>
        </is>
      </c>
      <c r="D2260" t="inlineStr">
        <is>
          <t>A</t>
        </is>
      </c>
      <c r="E2260" t="inlineStr">
        <is>
          <t>rs1008151</t>
        </is>
      </c>
      <c r="F2260" t="n">
        <v>-0.0358459396</v>
      </c>
      <c r="G2260" t="n">
        <v>0.2475290588909576</v>
      </c>
      <c r="H2260" t="n">
        <v>0.009596165240979801</v>
      </c>
      <c r="I2260" t="n">
        <v>0.6835447473677002</v>
      </c>
      <c r="J2260" t="n">
        <v>0.0844956126573265</v>
      </c>
      <c r="K2260" t="n">
        <v>0.3902369451411629</v>
      </c>
      <c r="L2260" t="b">
        <v>0</v>
      </c>
      <c r="M2260" t="b">
        <v>0</v>
      </c>
      <c r="N2260" t="inlineStr">
        <is>
          <t>ref</t>
        </is>
      </c>
      <c r="O2260" t="n">
        <v>-40</v>
      </c>
      <c r="P2260" t="n">
        <v>0.003029</v>
      </c>
      <c r="Q2260" t="n">
        <v>50</v>
      </c>
      <c r="R2260" t="n">
        <v>0.034</v>
      </c>
      <c r="S2260">
        <f>IMAGE("https://mitra.stanford.edu/kundaje/oak/projects/neuro-variants/variant_position/credible/roussos_2024/variant_figures/roussos_2024.childhood.GABA/rs1008151_count_position.png",4,220,900)</f>
        <v/>
      </c>
      <c r="T2260">
        <f>IMAGE("https://mitra.stanford.edu/kundaje/oak/projects/neuro-variants/variant_position/credible/roussos_2024/variant_figures/roussos_2024.childhood.GABA/rs1008151_profile_position.png",4,220,900)</f>
        <v/>
      </c>
    </row>
    <row r="2261">
      <c r="A2261" t="inlineStr">
        <is>
          <t>chr2</t>
        </is>
      </c>
      <c r="B2261" t="n">
        <v>172107630</v>
      </c>
      <c r="C2261" t="inlineStr">
        <is>
          <t>G</t>
        </is>
      </c>
      <c r="D2261" t="inlineStr">
        <is>
          <t>T</t>
        </is>
      </c>
      <c r="E2261" t="inlineStr">
        <is>
          <t>rs1001780</t>
        </is>
      </c>
      <c r="F2261" t="n">
        <v>0.00257804296</v>
      </c>
      <c r="G2261" t="n">
        <v>0.8342104607685511</v>
      </c>
      <c r="H2261" t="n">
        <v>0.0231012695430066</v>
      </c>
      <c r="I2261" t="n">
        <v>0.0422923556636239</v>
      </c>
      <c r="J2261" t="n">
        <v>0.5614971414211221</v>
      </c>
      <c r="K2261" t="n">
        <v>0.0359155958201379</v>
      </c>
      <c r="L2261" t="b">
        <v>0</v>
      </c>
      <c r="M2261" t="b">
        <v>0</v>
      </c>
      <c r="N2261" t="inlineStr">
        <is>
          <t>alt</t>
        </is>
      </c>
      <c r="O2261" t="n">
        <v>-30</v>
      </c>
      <c r="P2261" t="n">
        <v>0.002563</v>
      </c>
      <c r="Q2261" t="n">
        <v>100</v>
      </c>
      <c r="R2261" t="n">
        <v>0.02441</v>
      </c>
      <c r="S2261">
        <f>IMAGE("https://mitra.stanford.edu/kundaje/oak/projects/neuro-variants/variant_position/credible/roussos_2024/variant_figures/roussos_2024.childhood.GABA/rs1001780_count_position.png",4,220,900)</f>
        <v/>
      </c>
      <c r="T2261">
        <f>IMAGE("https://mitra.stanford.edu/kundaje/oak/projects/neuro-variants/variant_position/credible/roussos_2024/variant_figures/roussos_2024.childhood.GABA/rs1001780_profile_position.png",4,220,900)</f>
        <v/>
      </c>
    </row>
    <row r="2262">
      <c r="A2262" t="inlineStr">
        <is>
          <t>chr2</t>
        </is>
      </c>
      <c r="B2262" t="n">
        <v>172110061</v>
      </c>
      <c r="C2262" t="inlineStr">
        <is>
          <t>C</t>
        </is>
      </c>
      <c r="D2262" t="inlineStr">
        <is>
          <t>T</t>
        </is>
      </c>
      <c r="E2262" t="inlineStr">
        <is>
          <t>rs62184960</t>
        </is>
      </c>
      <c r="F2262" t="n">
        <v>-0.1108053239999999</v>
      </c>
      <c r="G2262" t="n">
        <v>0.0249900356050682</v>
      </c>
      <c r="H2262" t="n">
        <v>0.0171044176694341</v>
      </c>
      <c r="I2262" t="n">
        <v>0.1402445712315972</v>
      </c>
      <c r="J2262" t="n">
        <v>0.552131892525811</v>
      </c>
      <c r="K2262" t="n">
        <v>0.0385670550690587</v>
      </c>
      <c r="L2262" t="b">
        <v>0</v>
      </c>
      <c r="M2262" t="b">
        <v>0</v>
      </c>
      <c r="N2262" t="inlineStr">
        <is>
          <t>ref</t>
        </is>
      </c>
      <c r="O2262" t="n">
        <v>-100</v>
      </c>
      <c r="P2262" t="n">
        <v>0.0015335</v>
      </c>
      <c r="Q2262" t="n">
        <v>55</v>
      </c>
      <c r="R2262" t="n">
        <v>0.0746</v>
      </c>
      <c r="S2262">
        <f>IMAGE("https://mitra.stanford.edu/kundaje/oak/projects/neuro-variants/variant_position/credible/roussos_2024/variant_figures/roussos_2024.childhood.GABA/rs62184960_count_position.png",4,220,900)</f>
        <v/>
      </c>
      <c r="T2262">
        <f>IMAGE("https://mitra.stanford.edu/kundaje/oak/projects/neuro-variants/variant_position/credible/roussos_2024/variant_figures/roussos_2024.childhood.GABA/rs62184960_profile_position.png",4,220,900)</f>
        <v/>
      </c>
    </row>
    <row r="2263">
      <c r="A2263" t="inlineStr">
        <is>
          <t>chr2</t>
        </is>
      </c>
      <c r="B2263" t="n">
        <v>184751506</v>
      </c>
      <c r="C2263" t="inlineStr">
        <is>
          <t>A</t>
        </is>
      </c>
      <c r="D2263" t="inlineStr">
        <is>
          <t>G</t>
        </is>
      </c>
      <c r="E2263" t="inlineStr">
        <is>
          <t>rs145078188</t>
        </is>
      </c>
      <c r="F2263" t="n">
        <v>-0.220733986</v>
      </c>
      <c r="G2263" t="n">
        <v>0.0034276925696938</v>
      </c>
      <c r="H2263" t="n">
        <v>0.0320790406989441</v>
      </c>
      <c r="I2263" t="n">
        <v>0.0115433038746967</v>
      </c>
      <c r="J2263" t="n">
        <v>0.0325145023140876</v>
      </c>
      <c r="K2263" t="n">
        <v>0.5781466261612948</v>
      </c>
      <c r="L2263" t="b">
        <v>1</v>
      </c>
      <c r="M2263" t="b">
        <v>1</v>
      </c>
      <c r="N2263" t="inlineStr">
        <is>
          <t>ref</t>
        </is>
      </c>
      <c r="O2263" t="n">
        <v>-85</v>
      </c>
      <c r="P2263" t="n">
        <v>0.003643</v>
      </c>
      <c r="Q2263" t="n">
        <v>-90</v>
      </c>
      <c r="R2263" t="n">
        <v>0.08276</v>
      </c>
      <c r="S2263">
        <f>IMAGE("https://mitra.stanford.edu/kundaje/oak/projects/neuro-variants/variant_position/credible/roussos_2024/variant_figures/roussos_2024.childhood.GABA/rs145078188_count_position.png",4,220,900)</f>
        <v/>
      </c>
      <c r="T2263">
        <f>IMAGE("https://mitra.stanford.edu/kundaje/oak/projects/neuro-variants/variant_position/credible/roussos_2024/variant_figures/roussos_2024.childhood.GABA/rs145078188_profile_position.png",4,220,900)</f>
        <v/>
      </c>
    </row>
    <row r="2264">
      <c r="A2264" t="inlineStr">
        <is>
          <t>chr2</t>
        </is>
      </c>
      <c r="B2264" t="n">
        <v>184787402</v>
      </c>
      <c r="C2264" t="inlineStr">
        <is>
          <t>A</t>
        </is>
      </c>
      <c r="D2264" t="inlineStr">
        <is>
          <t>G</t>
        </is>
      </c>
      <c r="E2264" t="inlineStr">
        <is>
          <t>rs11675794</t>
        </is>
      </c>
      <c r="F2264" t="n">
        <v>0.1481757172</v>
      </c>
      <c r="G2264" t="n">
        <v>0.0116420225357676</v>
      </c>
      <c r="H2264" t="n">
        <v>0.0172919046530507</v>
      </c>
      <c r="I2264" t="n">
        <v>0.1330171256524514</v>
      </c>
      <c r="J2264" t="n">
        <v>0.0048972796381227</v>
      </c>
      <c r="K2264" t="n">
        <v>0.8205606259071212</v>
      </c>
      <c r="L2264" t="b">
        <v>1</v>
      </c>
      <c r="M2264" t="b">
        <v>0</v>
      </c>
      <c r="N2264" t="inlineStr">
        <is>
          <t>alt</t>
        </is>
      </c>
      <c r="O2264" t="n">
        <v>15</v>
      </c>
      <c r="P2264" t="n">
        <v>0.002165</v>
      </c>
      <c r="Q2264" t="n">
        <v>100</v>
      </c>
      <c r="R2264" t="n">
        <v>0.119</v>
      </c>
      <c r="S2264">
        <f>IMAGE("https://mitra.stanford.edu/kundaje/oak/projects/neuro-variants/variant_position/credible/roussos_2024/variant_figures/roussos_2024.childhood.GABA/rs11675794_count_position.png",4,220,900)</f>
        <v/>
      </c>
      <c r="T2264">
        <f>IMAGE("https://mitra.stanford.edu/kundaje/oak/projects/neuro-variants/variant_position/credible/roussos_2024/variant_figures/roussos_2024.childhood.GABA/rs11675794_profile_position.png",4,220,900)</f>
        <v/>
      </c>
    </row>
    <row r="2265">
      <c r="A2265" t="inlineStr">
        <is>
          <t>chr2</t>
        </is>
      </c>
      <c r="B2265" t="n">
        <v>184937190</v>
      </c>
      <c r="C2265" t="inlineStr">
        <is>
          <t>A</t>
        </is>
      </c>
      <c r="D2265" t="inlineStr">
        <is>
          <t>G</t>
        </is>
      </c>
      <c r="E2265" t="inlineStr">
        <is>
          <t>rs728534</t>
        </is>
      </c>
      <c r="F2265" t="n">
        <v>0.01402715856</v>
      </c>
      <c r="G2265" t="n">
        <v>0.505030089617037</v>
      </c>
      <c r="H2265" t="n">
        <v>0.017737762352881</v>
      </c>
      <c r="I2265" t="n">
        <v>0.1200190204682945</v>
      </c>
      <c r="J2265" t="n">
        <v>0.1822935645326799</v>
      </c>
      <c r="K2265" t="n">
        <v>0.2280286175891386</v>
      </c>
      <c r="L2265" t="b">
        <v>0</v>
      </c>
      <c r="M2265" t="b">
        <v>0</v>
      </c>
      <c r="N2265" t="inlineStr">
        <is>
          <t>alt</t>
        </is>
      </c>
      <c r="O2265" t="n">
        <v>35</v>
      </c>
      <c r="P2265" t="n">
        <v>0.012054</v>
      </c>
      <c r="Q2265" t="n">
        <v>70</v>
      </c>
      <c r="R2265" t="n">
        <v>0.2231</v>
      </c>
      <c r="S2265">
        <f>IMAGE("https://mitra.stanford.edu/kundaje/oak/projects/neuro-variants/variant_position/credible/roussos_2024/variant_figures/roussos_2024.childhood.GABA/rs728534_count_position.png",4,220,900)</f>
        <v/>
      </c>
      <c r="T2265">
        <f>IMAGE("https://mitra.stanford.edu/kundaje/oak/projects/neuro-variants/variant_position/credible/roussos_2024/variant_figures/roussos_2024.childhood.GABA/rs728534_profile_position.png",4,220,900)</f>
        <v/>
      </c>
    </row>
    <row r="2266">
      <c r="A2266" t="inlineStr">
        <is>
          <t>chr2</t>
        </is>
      </c>
      <c r="B2266" t="n">
        <v>192886081</v>
      </c>
      <c r="C2266" t="inlineStr">
        <is>
          <t>C</t>
        </is>
      </c>
      <c r="D2266" t="inlineStr">
        <is>
          <t>T</t>
        </is>
      </c>
      <c r="E2266" t="inlineStr">
        <is>
          <t>rs1445542</t>
        </is>
      </c>
      <c r="F2266" t="n">
        <v>0.02126771778</v>
      </c>
      <c r="G2266" t="n">
        <v>0.4115919751201304</v>
      </c>
      <c r="H2266" t="n">
        <v>0.0288026573332913</v>
      </c>
      <c r="I2266" t="n">
        <v>0.0152153372635244</v>
      </c>
      <c r="J2266" t="n">
        <v>0.017182886222278</v>
      </c>
      <c r="K2266" t="n">
        <v>0.6721296156269133</v>
      </c>
      <c r="L2266" t="b">
        <v>1</v>
      </c>
      <c r="M2266" t="b">
        <v>0</v>
      </c>
      <c r="N2266" t="inlineStr">
        <is>
          <t>alt</t>
        </is>
      </c>
      <c r="O2266" t="n">
        <v>-45</v>
      </c>
      <c r="P2266" t="n">
        <v>0.004154</v>
      </c>
      <c r="Q2266" t="n">
        <v>-90</v>
      </c>
      <c r="R2266" t="n">
        <v>0.1265</v>
      </c>
      <c r="S2266">
        <f>IMAGE("https://mitra.stanford.edu/kundaje/oak/projects/neuro-variants/variant_position/credible/roussos_2024/variant_figures/roussos_2024.childhood.GABA/rs1445542_count_position.png",4,220,900)</f>
        <v/>
      </c>
      <c r="T2266">
        <f>IMAGE("https://mitra.stanford.edu/kundaje/oak/projects/neuro-variants/variant_position/credible/roussos_2024/variant_figures/roussos_2024.childhood.GABA/rs1445542_profile_position.png",4,220,900)</f>
        <v/>
      </c>
    </row>
    <row r="2267">
      <c r="A2267" t="inlineStr">
        <is>
          <t>chr2</t>
        </is>
      </c>
      <c r="B2267" t="n">
        <v>192982358</v>
      </c>
      <c r="C2267" t="inlineStr">
        <is>
          <t>T</t>
        </is>
      </c>
      <c r="D2267" t="inlineStr">
        <is>
          <t>G</t>
        </is>
      </c>
      <c r="E2267" t="inlineStr">
        <is>
          <t>rs11680198</t>
        </is>
      </c>
      <c r="F2267" t="n">
        <v>0.0191467757999999</v>
      </c>
      <c r="G2267" t="n">
        <v>0.4308889699963584</v>
      </c>
      <c r="H2267" t="n">
        <v>0.0169627164142332</v>
      </c>
      <c r="I2267" t="n">
        <v>0.1461448171105795</v>
      </c>
      <c r="J2267" t="n">
        <v>3.036585621243534e-05</v>
      </c>
      <c r="K2267" t="n">
        <v>0.9916763023151846</v>
      </c>
      <c r="L2267" t="b">
        <v>0</v>
      </c>
      <c r="M2267" t="b">
        <v>0</v>
      </c>
      <c r="N2267" t="inlineStr">
        <is>
          <t>alt</t>
        </is>
      </c>
      <c r="O2267" t="n">
        <v>100</v>
      </c>
      <c r="P2267" t="n">
        <v>0.01434</v>
      </c>
      <c r="Q2267" t="n">
        <v>100</v>
      </c>
      <c r="R2267" t="n">
        <v>0.06042</v>
      </c>
      <c r="S2267">
        <f>IMAGE("https://mitra.stanford.edu/kundaje/oak/projects/neuro-variants/variant_position/credible/roussos_2024/variant_figures/roussos_2024.childhood.GABA/rs11680198_count_position.png",4,220,900)</f>
        <v/>
      </c>
      <c r="T2267">
        <f>IMAGE("https://mitra.stanford.edu/kundaje/oak/projects/neuro-variants/variant_position/credible/roussos_2024/variant_figures/roussos_2024.childhood.GABA/rs11680198_profile_position.png",4,220,900)</f>
        <v/>
      </c>
    </row>
    <row r="2268">
      <c r="A2268" t="inlineStr">
        <is>
          <t>chr2</t>
        </is>
      </c>
      <c r="B2268" t="n">
        <v>192986694</v>
      </c>
      <c r="C2268" t="inlineStr">
        <is>
          <t>G</t>
        </is>
      </c>
      <c r="D2268" t="inlineStr">
        <is>
          <t>A</t>
        </is>
      </c>
      <c r="E2268" t="inlineStr">
        <is>
          <t>rs968109</t>
        </is>
      </c>
      <c r="F2268" t="n">
        <v>0.0814464446</v>
      </c>
      <c r="G2268" t="n">
        <v>0.0605825340755407</v>
      </c>
      <c r="H2268" t="n">
        <v>0.0256727725320083</v>
      </c>
      <c r="I2268" t="n">
        <v>0.0301368796095841</v>
      </c>
      <c r="J2268" t="n">
        <v>0.0013277208854264</v>
      </c>
      <c r="K2268" t="n">
        <v>0.9050031492611118</v>
      </c>
      <c r="L2268" t="b">
        <v>0</v>
      </c>
      <c r="M2268" t="b">
        <v>0</v>
      </c>
      <c r="N2268" t="inlineStr">
        <is>
          <t>alt</t>
        </is>
      </c>
      <c r="O2268" t="n">
        <v>100</v>
      </c>
      <c r="P2268" t="n">
        <v>0.02844</v>
      </c>
      <c r="Q2268" t="n">
        <v>-100</v>
      </c>
      <c r="R2268" t="n">
        <v>0.0515</v>
      </c>
      <c r="S2268">
        <f>IMAGE("https://mitra.stanford.edu/kundaje/oak/projects/neuro-variants/variant_position/credible/roussos_2024/variant_figures/roussos_2024.childhood.GABA/rs968109_count_position.png",4,220,900)</f>
        <v/>
      </c>
      <c r="T2268">
        <f>IMAGE("https://mitra.stanford.edu/kundaje/oak/projects/neuro-variants/variant_position/credible/roussos_2024/variant_figures/roussos_2024.childhood.GABA/rs968109_profile_position.png",4,220,900)</f>
        <v/>
      </c>
    </row>
    <row r="2269">
      <c r="A2269" t="inlineStr">
        <is>
          <t>chr2</t>
        </is>
      </c>
      <c r="B2269" t="n">
        <v>193005369</v>
      </c>
      <c r="C2269" t="inlineStr">
        <is>
          <t>G</t>
        </is>
      </c>
      <c r="D2269" t="inlineStr">
        <is>
          <t>A</t>
        </is>
      </c>
      <c r="E2269" t="inlineStr">
        <is>
          <t>rs4471907</t>
        </is>
      </c>
      <c r="F2269" t="n">
        <v>-0.0090812333</v>
      </c>
      <c r="G2269" t="n">
        <v>0.6756984661005322</v>
      </c>
      <c r="H2269" t="n">
        <v>0.013898750678523</v>
      </c>
      <c r="I2269" t="n">
        <v>0.2913766119926906</v>
      </c>
      <c r="J2269" t="n">
        <v>0.007840673493748699</v>
      </c>
      <c r="K2269" t="n">
        <v>0.7668995347490504</v>
      </c>
      <c r="L2269" t="b">
        <v>0</v>
      </c>
      <c r="M2269" t="b">
        <v>0</v>
      </c>
      <c r="N2269" t="inlineStr">
        <is>
          <t>ref</t>
        </is>
      </c>
      <c r="O2269" t="n">
        <v>-100</v>
      </c>
      <c r="P2269" t="n">
        <v>0.00988</v>
      </c>
      <c r="Q2269" t="n">
        <v>5</v>
      </c>
      <c r="R2269" t="n">
        <v>0.006836</v>
      </c>
      <c r="S2269">
        <f>IMAGE("https://mitra.stanford.edu/kundaje/oak/projects/neuro-variants/variant_position/credible/roussos_2024/variant_figures/roussos_2024.childhood.GABA/rs4471907_count_position.png",4,220,900)</f>
        <v/>
      </c>
      <c r="T2269">
        <f>IMAGE("https://mitra.stanford.edu/kundaje/oak/projects/neuro-variants/variant_position/credible/roussos_2024/variant_figures/roussos_2024.childhood.GABA/rs4471907_profile_position.png",4,220,900)</f>
        <v/>
      </c>
    </row>
    <row r="2270">
      <c r="A2270" t="inlineStr">
        <is>
          <t>chr2</t>
        </is>
      </c>
      <c r="B2270" t="n">
        <v>193015267</v>
      </c>
      <c r="C2270" t="inlineStr">
        <is>
          <t>G</t>
        </is>
      </c>
      <c r="D2270" t="inlineStr">
        <is>
          <t>A</t>
        </is>
      </c>
      <c r="E2270" t="inlineStr">
        <is>
          <t>rs10175759</t>
        </is>
      </c>
      <c r="F2270" t="n">
        <v>0.0135012730999999</v>
      </c>
      <c r="G2270" t="n">
        <v>0.5478286575680796</v>
      </c>
      <c r="H2270" t="n">
        <v>0.020954186454887</v>
      </c>
      <c r="I2270" t="n">
        <v>0.060881421539092</v>
      </c>
      <c r="J2270" t="n">
        <v>0.000486900797889</v>
      </c>
      <c r="K2270" t="n">
        <v>0.9506862068292804</v>
      </c>
      <c r="L2270" t="b">
        <v>0</v>
      </c>
      <c r="M2270" t="b">
        <v>0</v>
      </c>
      <c r="N2270" t="inlineStr">
        <is>
          <t>alt</t>
        </is>
      </c>
      <c r="O2270" t="n">
        <v>-40</v>
      </c>
      <c r="P2270" t="n">
        <v>0.001671</v>
      </c>
      <c r="Q2270" t="n">
        <v>80</v>
      </c>
      <c r="R2270" t="n">
        <v>0.05975</v>
      </c>
      <c r="S2270">
        <f>IMAGE("https://mitra.stanford.edu/kundaje/oak/projects/neuro-variants/variant_position/credible/roussos_2024/variant_figures/roussos_2024.childhood.GABA/rs10175759_count_position.png",4,220,900)</f>
        <v/>
      </c>
      <c r="T2270">
        <f>IMAGE("https://mitra.stanford.edu/kundaje/oak/projects/neuro-variants/variant_position/credible/roussos_2024/variant_figures/roussos_2024.childhood.GABA/rs10175759_profile_position.png",4,220,900)</f>
        <v/>
      </c>
    </row>
    <row r="2271">
      <c r="A2271" t="inlineStr">
        <is>
          <t>chr2</t>
        </is>
      </c>
      <c r="B2271" t="n">
        <v>193017382</v>
      </c>
      <c r="C2271" t="inlineStr">
        <is>
          <t>G</t>
        </is>
      </c>
      <c r="D2271" t="inlineStr">
        <is>
          <t>A</t>
        </is>
      </c>
      <c r="E2271" t="inlineStr">
        <is>
          <t>rs6712343</t>
        </is>
      </c>
      <c r="F2271" t="n">
        <v>0.0287555796799999</v>
      </c>
      <c r="G2271" t="n">
        <v>0.3305594765264449</v>
      </c>
      <c r="H2271" t="n">
        <v>0.023457931251196</v>
      </c>
      <c r="I2271" t="n">
        <v>0.0377861782561054</v>
      </c>
      <c r="J2271" t="n">
        <v>0.0238120667629996</v>
      </c>
      <c r="K2271" t="n">
        <v>0.6227460705366547</v>
      </c>
      <c r="L2271" t="b">
        <v>0</v>
      </c>
      <c r="M2271" t="b">
        <v>0</v>
      </c>
      <c r="N2271" t="inlineStr">
        <is>
          <t>alt</t>
        </is>
      </c>
      <c r="O2271" t="n">
        <v>-70</v>
      </c>
      <c r="P2271" t="n">
        <v>0.005386</v>
      </c>
      <c r="Q2271" t="n">
        <v>-45</v>
      </c>
      <c r="R2271" t="n">
        <v>0.1044</v>
      </c>
      <c r="S2271">
        <f>IMAGE("https://mitra.stanford.edu/kundaje/oak/projects/neuro-variants/variant_position/credible/roussos_2024/variant_figures/roussos_2024.childhood.GABA/rs6712343_count_position.png",4,220,900)</f>
        <v/>
      </c>
      <c r="T2271">
        <f>IMAGE("https://mitra.stanford.edu/kundaje/oak/projects/neuro-variants/variant_position/credible/roussos_2024/variant_figures/roussos_2024.childhood.GABA/rs6712343_profile_position.png",4,220,900)</f>
        <v/>
      </c>
    </row>
    <row r="2272">
      <c r="A2272" t="inlineStr">
        <is>
          <t>chr2</t>
        </is>
      </c>
      <c r="B2272" t="n">
        <v>193030136</v>
      </c>
      <c r="C2272" t="inlineStr">
        <is>
          <t>A</t>
        </is>
      </c>
      <c r="D2272" t="inlineStr">
        <is>
          <t>G</t>
        </is>
      </c>
      <c r="E2272" t="inlineStr">
        <is>
          <t>rs6714301</t>
        </is>
      </c>
      <c r="F2272" t="n">
        <v>-0.208255202</v>
      </c>
      <c r="G2272" t="n">
        <v>0.0040657599417776</v>
      </c>
      <c r="H2272" t="n">
        <v>0.0233854775089174</v>
      </c>
      <c r="I2272" t="n">
        <v>0.039549853138235</v>
      </c>
      <c r="J2272" t="n">
        <v>0.0182697744549851</v>
      </c>
      <c r="K2272" t="n">
        <v>0.6586074070917064</v>
      </c>
      <c r="L2272" t="b">
        <v>1</v>
      </c>
      <c r="M2272" t="b">
        <v>1</v>
      </c>
      <c r="N2272" t="inlineStr">
        <is>
          <t>ref</t>
        </is>
      </c>
      <c r="O2272" t="n">
        <v>0</v>
      </c>
      <c r="P2272" t="n">
        <v>0</v>
      </c>
      <c r="Q2272" t="n">
        <v>100</v>
      </c>
      <c r="R2272" t="n">
        <v>0.013916</v>
      </c>
      <c r="S2272">
        <f>IMAGE("https://mitra.stanford.edu/kundaje/oak/projects/neuro-variants/variant_position/credible/roussos_2024/variant_figures/roussos_2024.childhood.GABA/rs6714301_count_position.png",4,220,900)</f>
        <v/>
      </c>
      <c r="T2272">
        <f>IMAGE("https://mitra.stanford.edu/kundaje/oak/projects/neuro-variants/variant_position/credible/roussos_2024/variant_figures/roussos_2024.childhood.GABA/rs6714301_profile_position.png",4,220,900)</f>
        <v/>
      </c>
    </row>
    <row r="2273">
      <c r="A2273" t="inlineStr">
        <is>
          <t>chr2</t>
        </is>
      </c>
      <c r="B2273" t="n">
        <v>193031520</v>
      </c>
      <c r="C2273" t="inlineStr">
        <is>
          <t>T</t>
        </is>
      </c>
      <c r="D2273" t="inlineStr">
        <is>
          <t>C</t>
        </is>
      </c>
      <c r="E2273" t="inlineStr">
        <is>
          <t>rs7557329</t>
        </is>
      </c>
      <c r="F2273" t="n">
        <v>0.00216532244</v>
      </c>
      <c r="G2273" t="n">
        <v>0.8655188282619635</v>
      </c>
      <c r="H2273" t="n">
        <v>0.0193864496080741</v>
      </c>
      <c r="I2273" t="n">
        <v>0.085314815239834</v>
      </c>
      <c r="J2273" t="n">
        <v>0.0007905593600133</v>
      </c>
      <c r="K2273" t="n">
        <v>0.9205256325830244</v>
      </c>
      <c r="L2273" t="b">
        <v>0</v>
      </c>
      <c r="M2273" t="b">
        <v>0</v>
      </c>
      <c r="N2273" t="inlineStr">
        <is>
          <t>alt</t>
        </is>
      </c>
      <c r="O2273" t="n">
        <v>-75</v>
      </c>
      <c r="P2273" t="n">
        <v>0.01132</v>
      </c>
      <c r="Q2273" t="n">
        <v>-15</v>
      </c>
      <c r="R2273" t="n">
        <v>0.0065</v>
      </c>
      <c r="S2273">
        <f>IMAGE("https://mitra.stanford.edu/kundaje/oak/projects/neuro-variants/variant_position/credible/roussos_2024/variant_figures/roussos_2024.childhood.GABA/rs7557329_count_position.png",4,220,900)</f>
        <v/>
      </c>
      <c r="T2273">
        <f>IMAGE("https://mitra.stanford.edu/kundaje/oak/projects/neuro-variants/variant_position/credible/roussos_2024/variant_figures/roussos_2024.childhood.GABA/rs7557329_profile_position.png",4,220,900)</f>
        <v/>
      </c>
    </row>
    <row r="2274">
      <c r="A2274" t="inlineStr">
        <is>
          <t>chr2</t>
        </is>
      </c>
      <c r="B2274" t="n">
        <v>193105038</v>
      </c>
      <c r="C2274" t="inlineStr">
        <is>
          <t>G</t>
        </is>
      </c>
      <c r="D2274" t="inlineStr">
        <is>
          <t>T</t>
        </is>
      </c>
      <c r="E2274" t="inlineStr">
        <is>
          <t>rs1902746</t>
        </is>
      </c>
      <c r="F2274" t="n">
        <v>0.0106096874</v>
      </c>
      <c r="G2274" t="n">
        <v>0.6070978835741379</v>
      </c>
      <c r="H2274" t="n">
        <v>0.021953173527063</v>
      </c>
      <c r="I2274" t="n">
        <v>0.0516886957312985</v>
      </c>
      <c r="J2274" t="n">
        <v>1.989487131159557e-05</v>
      </c>
      <c r="K2274" t="n">
        <v>0.9981191577673008</v>
      </c>
      <c r="L2274" t="b">
        <v>0</v>
      </c>
      <c r="M2274" t="b">
        <v>0</v>
      </c>
      <c r="N2274" t="inlineStr">
        <is>
          <t>alt</t>
        </is>
      </c>
      <c r="O2274" t="n">
        <v>5</v>
      </c>
      <c r="P2274" t="n">
        <v>0.0006866</v>
      </c>
      <c r="Q2274" t="n">
        <v>-15</v>
      </c>
      <c r="R2274" t="n">
        <v>0.007477</v>
      </c>
      <c r="S2274">
        <f>IMAGE("https://mitra.stanford.edu/kundaje/oak/projects/neuro-variants/variant_position/credible/roussos_2024/variant_figures/roussos_2024.childhood.GABA/rs1902746_count_position.png",4,220,900)</f>
        <v/>
      </c>
      <c r="T2274">
        <f>IMAGE("https://mitra.stanford.edu/kundaje/oak/projects/neuro-variants/variant_position/credible/roussos_2024/variant_figures/roussos_2024.childhood.GABA/rs1902746_profile_position.png",4,220,900)</f>
        <v/>
      </c>
    </row>
    <row r="2275">
      <c r="A2275" t="inlineStr">
        <is>
          <t>chr2</t>
        </is>
      </c>
      <c r="B2275" t="n">
        <v>193108463</v>
      </c>
      <c r="C2275" t="inlineStr">
        <is>
          <t>A</t>
        </is>
      </c>
      <c r="D2275" t="inlineStr">
        <is>
          <t>G</t>
        </is>
      </c>
      <c r="E2275" t="inlineStr">
        <is>
          <t>rs1037708</t>
        </is>
      </c>
      <c r="F2275" t="n">
        <v>0.0212559744</v>
      </c>
      <c r="G2275" t="n">
        <v>0.3959239704039002</v>
      </c>
      <c r="H2275" t="n">
        <v>0.0212574133516373</v>
      </c>
      <c r="I2275" t="n">
        <v>0.0576432886331334</v>
      </c>
      <c r="J2275" t="n">
        <v>0.0012219639379279</v>
      </c>
      <c r="K2275" t="n">
        <v>0.905692454584146</v>
      </c>
      <c r="L2275" t="b">
        <v>0</v>
      </c>
      <c r="M2275" t="b">
        <v>0</v>
      </c>
      <c r="N2275" t="inlineStr">
        <is>
          <t>alt</t>
        </is>
      </c>
      <c r="O2275" t="n">
        <v>-15</v>
      </c>
      <c r="P2275" t="n">
        <v>0.00029</v>
      </c>
      <c r="Q2275" t="n">
        <v>100</v>
      </c>
      <c r="R2275" t="n">
        <v>0.1117</v>
      </c>
      <c r="S2275">
        <f>IMAGE("https://mitra.stanford.edu/kundaje/oak/projects/neuro-variants/variant_position/credible/roussos_2024/variant_figures/roussos_2024.childhood.GABA/rs1037708_count_position.png",4,220,900)</f>
        <v/>
      </c>
      <c r="T2275">
        <f>IMAGE("https://mitra.stanford.edu/kundaje/oak/projects/neuro-variants/variant_position/credible/roussos_2024/variant_figures/roussos_2024.childhood.GABA/rs1037708_profile_position.png",4,220,900)</f>
        <v/>
      </c>
    </row>
    <row r="2276">
      <c r="A2276" t="inlineStr">
        <is>
          <t>chr2</t>
        </is>
      </c>
      <c r="B2276" t="n">
        <v>193124314</v>
      </c>
      <c r="C2276" t="inlineStr">
        <is>
          <t>C</t>
        </is>
      </c>
      <c r="D2276" t="inlineStr">
        <is>
          <t>A</t>
        </is>
      </c>
      <c r="E2276" t="inlineStr">
        <is>
          <t>rs12617537</t>
        </is>
      </c>
      <c r="F2276" t="n">
        <v>0.006550927194</v>
      </c>
      <c r="G2276" t="n">
        <v>0.7131624594976107</v>
      </c>
      <c r="H2276" t="n">
        <v>0.0363736029888771</v>
      </c>
      <c r="I2276" t="n">
        <v>0.0055214730764144</v>
      </c>
      <c r="J2276" t="n">
        <v>8.06265837364358e-05</v>
      </c>
      <c r="K2276" t="n">
        <v>0.9892592441981928</v>
      </c>
      <c r="L2276" t="b">
        <v>0</v>
      </c>
      <c r="M2276" t="b">
        <v>0</v>
      </c>
      <c r="N2276" t="inlineStr">
        <is>
          <t>alt</t>
        </is>
      </c>
      <c r="O2276" t="n">
        <v>75</v>
      </c>
      <c r="P2276" t="n">
        <v>0.005844</v>
      </c>
      <c r="Q2276" t="n">
        <v>95</v>
      </c>
      <c r="R2276" t="n">
        <v>0.0406</v>
      </c>
      <c r="S2276">
        <f>IMAGE("https://mitra.stanford.edu/kundaje/oak/projects/neuro-variants/variant_position/credible/roussos_2024/variant_figures/roussos_2024.childhood.GABA/rs12617537_count_position.png",4,220,900)</f>
        <v/>
      </c>
      <c r="T2276">
        <f>IMAGE("https://mitra.stanford.edu/kundaje/oak/projects/neuro-variants/variant_position/credible/roussos_2024/variant_figures/roussos_2024.childhood.GABA/rs12617537_profile_position.png",4,220,900)</f>
        <v/>
      </c>
    </row>
    <row r="2277">
      <c r="A2277" t="inlineStr">
        <is>
          <t>chr2</t>
        </is>
      </c>
      <c r="B2277" t="n">
        <v>197126458</v>
      </c>
      <c r="C2277" t="inlineStr">
        <is>
          <t>G</t>
        </is>
      </c>
      <c r="D2277" t="inlineStr">
        <is>
          <t>A</t>
        </is>
      </c>
      <c r="E2277" t="inlineStr">
        <is>
          <t>rs62279220</t>
        </is>
      </c>
      <c r="F2277" t="n">
        <v>-0.003876744148</v>
      </c>
      <c r="G2277" t="n">
        <v>0.5068055849382402</v>
      </c>
      <c r="H2277" t="n">
        <v>0.0192038195233232</v>
      </c>
      <c r="I2277" t="n">
        <v>0.09023081955128059</v>
      </c>
      <c r="J2277" t="n">
        <v>0.0237251575883227</v>
      </c>
      <c r="K2277" t="n">
        <v>0.6371631596314487</v>
      </c>
      <c r="L2277" t="b">
        <v>0</v>
      </c>
      <c r="M2277" t="b">
        <v>0</v>
      </c>
      <c r="N2277" t="inlineStr">
        <is>
          <t>ref</t>
        </is>
      </c>
      <c r="O2277" t="n">
        <v>65</v>
      </c>
      <c r="P2277" t="n">
        <v>0.002264</v>
      </c>
      <c r="Q2277" t="n">
        <v>-90</v>
      </c>
      <c r="R2277" t="n">
        <v>0.10864</v>
      </c>
      <c r="S2277">
        <f>IMAGE("https://mitra.stanford.edu/kundaje/oak/projects/neuro-variants/variant_position/credible/roussos_2024/variant_figures/roussos_2024.childhood.GABA/rs62279220_count_position.png",4,220,900)</f>
        <v/>
      </c>
      <c r="T2277">
        <f>IMAGE("https://mitra.stanford.edu/kundaje/oak/projects/neuro-variants/variant_position/credible/roussos_2024/variant_figures/roussos_2024.childhood.GABA/rs62279220_profile_position.png",4,220,900)</f>
        <v/>
      </c>
    </row>
    <row r="2278">
      <c r="A2278" t="inlineStr">
        <is>
          <t>chr2</t>
        </is>
      </c>
      <c r="B2278" t="n">
        <v>197135526</v>
      </c>
      <c r="C2278" t="inlineStr">
        <is>
          <t>C</t>
        </is>
      </c>
      <c r="D2278" t="inlineStr">
        <is>
          <t>A</t>
        </is>
      </c>
      <c r="E2278" t="inlineStr">
        <is>
          <t>rs10191006</t>
        </is>
      </c>
      <c r="F2278" t="n">
        <v>-0.0331330136</v>
      </c>
      <c r="G2278" t="n">
        <v>0.2740662535636646</v>
      </c>
      <c r="H2278" t="n">
        <v>0.0177665251271035</v>
      </c>
      <c r="I2278" t="n">
        <v>0.1218431321065952</v>
      </c>
      <c r="J2278" t="n">
        <v>0.0392640991811689</v>
      </c>
      <c r="K2278" t="n">
        <v>0.5420551818452704</v>
      </c>
      <c r="L2278" t="b">
        <v>0</v>
      </c>
      <c r="M2278" t="b">
        <v>0</v>
      </c>
      <c r="N2278" t="inlineStr">
        <is>
          <t>ref</t>
        </is>
      </c>
      <c r="O2278" t="n">
        <v>5</v>
      </c>
      <c r="P2278" t="n">
        <v>0.0004044</v>
      </c>
      <c r="Q2278" t="n">
        <v>100</v>
      </c>
      <c r="R2278" t="n">
        <v>0.0931</v>
      </c>
      <c r="S2278">
        <f>IMAGE("https://mitra.stanford.edu/kundaje/oak/projects/neuro-variants/variant_position/credible/roussos_2024/variant_figures/roussos_2024.childhood.GABA/rs10191006_count_position.png",4,220,900)</f>
        <v/>
      </c>
      <c r="T2278">
        <f>IMAGE("https://mitra.stanford.edu/kundaje/oak/projects/neuro-variants/variant_position/credible/roussos_2024/variant_figures/roussos_2024.childhood.GABA/rs10191006_profile_position.png",4,220,900)</f>
        <v/>
      </c>
    </row>
    <row r="2279">
      <c r="A2279" t="inlineStr">
        <is>
          <t>chr2</t>
        </is>
      </c>
      <c r="B2279" t="n">
        <v>197140324</v>
      </c>
      <c r="C2279" t="inlineStr">
        <is>
          <t>T</t>
        </is>
      </c>
      <c r="D2279" t="inlineStr">
        <is>
          <t>C</t>
        </is>
      </c>
      <c r="E2279" t="inlineStr">
        <is>
          <t>rs2697260</t>
        </is>
      </c>
      <c r="F2279" t="n">
        <v>0.0112708692</v>
      </c>
      <c r="G2279" t="n">
        <v>0.5692818206658445</v>
      </c>
      <c r="H2279" t="n">
        <v>0.0182698726480775</v>
      </c>
      <c r="I2279" t="n">
        <v>0.1082658017677593</v>
      </c>
      <c r="J2279" t="n">
        <v>0.0132164771418399</v>
      </c>
      <c r="K2279" t="n">
        <v>0.7046261351076588</v>
      </c>
      <c r="L2279" t="b">
        <v>0</v>
      </c>
      <c r="M2279" t="b">
        <v>0</v>
      </c>
      <c r="N2279" t="inlineStr">
        <is>
          <t>alt</t>
        </is>
      </c>
      <c r="O2279" t="n">
        <v>50</v>
      </c>
      <c r="P2279" t="n">
        <v>0.01938</v>
      </c>
      <c r="Q2279" t="n">
        <v>35</v>
      </c>
      <c r="R2279" t="n">
        <v>0.0261</v>
      </c>
      <c r="S2279">
        <f>IMAGE("https://mitra.stanford.edu/kundaje/oak/projects/neuro-variants/variant_position/credible/roussos_2024/variant_figures/roussos_2024.childhood.GABA/rs2697260_count_position.png",4,220,900)</f>
        <v/>
      </c>
      <c r="T2279">
        <f>IMAGE("https://mitra.stanford.edu/kundaje/oak/projects/neuro-variants/variant_position/credible/roussos_2024/variant_figures/roussos_2024.childhood.GABA/rs2697260_profile_position.png",4,220,900)</f>
        <v/>
      </c>
    </row>
    <row r="2280">
      <c r="A2280" t="inlineStr">
        <is>
          <t>chr2</t>
        </is>
      </c>
      <c r="B2280" t="n">
        <v>197166561</v>
      </c>
      <c r="C2280" t="inlineStr">
        <is>
          <t>C</t>
        </is>
      </c>
      <c r="D2280" t="inlineStr">
        <is>
          <t>A</t>
        </is>
      </c>
      <c r="E2280" t="inlineStr">
        <is>
          <t>rs7595352</t>
        </is>
      </c>
      <c r="F2280" t="n">
        <v>-0.0176440686</v>
      </c>
      <c r="G2280" t="n">
        <v>0.4600572545389205</v>
      </c>
      <c r="H2280" t="n">
        <v>0.0127751374195625</v>
      </c>
      <c r="I2280" t="n">
        <v>0.3618106689836287</v>
      </c>
      <c r="J2280" t="n">
        <v>0.0112877217231052</v>
      </c>
      <c r="K2280" t="n">
        <v>0.7311014642765968</v>
      </c>
      <c r="L2280" t="b">
        <v>0</v>
      </c>
      <c r="M2280" t="b">
        <v>0</v>
      </c>
      <c r="N2280" t="inlineStr">
        <is>
          <t>ref</t>
        </is>
      </c>
      <c r="O2280" t="n">
        <v>95</v>
      </c>
      <c r="P2280" t="n">
        <v>0.00872</v>
      </c>
      <c r="Q2280" t="n">
        <v>90</v>
      </c>
      <c r="R2280" t="n">
        <v>0.04745</v>
      </c>
      <c r="S2280">
        <f>IMAGE("https://mitra.stanford.edu/kundaje/oak/projects/neuro-variants/variant_position/credible/roussos_2024/variant_figures/roussos_2024.childhood.GABA/rs7595352_count_position.png",4,220,900)</f>
        <v/>
      </c>
      <c r="T2280">
        <f>IMAGE("https://mitra.stanford.edu/kundaje/oak/projects/neuro-variants/variant_position/credible/roussos_2024/variant_figures/roussos_2024.childhood.GABA/rs7595352_profile_position.png",4,220,900)</f>
        <v/>
      </c>
    </row>
    <row r="2281">
      <c r="A2281" t="inlineStr">
        <is>
          <t>chr2</t>
        </is>
      </c>
      <c r="B2281" t="n">
        <v>197368952</v>
      </c>
      <c r="C2281" t="inlineStr">
        <is>
          <t>T</t>
        </is>
      </c>
      <c r="D2281" t="inlineStr">
        <is>
          <t>G</t>
        </is>
      </c>
      <c r="E2281" t="inlineStr">
        <is>
          <t>rs788007</t>
        </is>
      </c>
      <c r="F2281" t="n">
        <v>0.0119909731</v>
      </c>
      <c r="G2281" t="n">
        <v>0.5500303180198649</v>
      </c>
      <c r="H2281" t="n">
        <v>0.0226095927919601</v>
      </c>
      <c r="I2281" t="n">
        <v>0.0443637619312851</v>
      </c>
      <c r="J2281" t="n">
        <v>0.07224141902787359</v>
      </c>
      <c r="K2281" t="n">
        <v>0.4336845478753559</v>
      </c>
      <c r="L2281" t="b">
        <v>0</v>
      </c>
      <c r="M2281" t="b">
        <v>0</v>
      </c>
      <c r="N2281" t="inlineStr">
        <is>
          <t>alt</t>
        </is>
      </c>
      <c r="O2281" t="n">
        <v>20</v>
      </c>
      <c r="P2281" t="n">
        <v>0.0004225</v>
      </c>
      <c r="Q2281" t="n">
        <v>100</v>
      </c>
      <c r="R2281" t="n">
        <v>0.0854</v>
      </c>
      <c r="S2281">
        <f>IMAGE("https://mitra.stanford.edu/kundaje/oak/projects/neuro-variants/variant_position/credible/roussos_2024/variant_figures/roussos_2024.childhood.GABA/rs788007_count_position.png",4,220,900)</f>
        <v/>
      </c>
      <c r="T2281">
        <f>IMAGE("https://mitra.stanford.edu/kundaje/oak/projects/neuro-variants/variant_position/credible/roussos_2024/variant_figures/roussos_2024.childhood.GABA/rs788007_profile_position.png",4,220,900)</f>
        <v/>
      </c>
    </row>
    <row r="2282">
      <c r="A2282" t="inlineStr">
        <is>
          <t>chr2</t>
        </is>
      </c>
      <c r="B2282" t="n">
        <v>197381241</v>
      </c>
      <c r="C2282" t="inlineStr">
        <is>
          <t>C</t>
        </is>
      </c>
      <c r="D2282" t="inlineStr">
        <is>
          <t>T</t>
        </is>
      </c>
      <c r="E2282" t="inlineStr">
        <is>
          <t>rs55775495</t>
        </is>
      </c>
      <c r="F2282" t="n">
        <v>-0.0316864328</v>
      </c>
      <c r="G2282" t="n">
        <v>0.2826175535785625</v>
      </c>
      <c r="H2282" t="n">
        <v>0.0227435307462992</v>
      </c>
      <c r="I2282" t="n">
        <v>0.0433559134382886</v>
      </c>
      <c r="J2282" t="n">
        <v>0.0836631693577097</v>
      </c>
      <c r="K2282" t="n">
        <v>0.4226691548737604</v>
      </c>
      <c r="L2282" t="b">
        <v>0</v>
      </c>
      <c r="M2282" t="b">
        <v>0</v>
      </c>
      <c r="N2282" t="inlineStr">
        <is>
          <t>ref</t>
        </is>
      </c>
      <c r="O2282" t="n">
        <v>-65</v>
      </c>
      <c r="P2282" t="n">
        <v>0.002518</v>
      </c>
      <c r="Q2282" t="n">
        <v>100</v>
      </c>
      <c r="R2282" t="n">
        <v>0.03873</v>
      </c>
      <c r="S2282">
        <f>IMAGE("https://mitra.stanford.edu/kundaje/oak/projects/neuro-variants/variant_position/credible/roussos_2024/variant_figures/roussos_2024.childhood.GABA/rs55775495_count_position.png",4,220,900)</f>
        <v/>
      </c>
      <c r="T2282">
        <f>IMAGE("https://mitra.stanford.edu/kundaje/oak/projects/neuro-variants/variant_position/credible/roussos_2024/variant_figures/roussos_2024.childhood.GABA/rs55775495_profile_position.png",4,220,900)</f>
        <v/>
      </c>
    </row>
    <row r="2283">
      <c r="A2283" t="inlineStr">
        <is>
          <t>chr2</t>
        </is>
      </c>
      <c r="B2283" t="n">
        <v>197418581</v>
      </c>
      <c r="C2283" t="inlineStr">
        <is>
          <t>T</t>
        </is>
      </c>
      <c r="D2283" t="inlineStr">
        <is>
          <t>C</t>
        </is>
      </c>
      <c r="E2283" t="inlineStr">
        <is>
          <t>rs788023</t>
        </is>
      </c>
      <c r="F2283" t="n">
        <v>-0.0119588071</v>
      </c>
      <c r="G2283" t="n">
        <v>0.5728251149719111</v>
      </c>
      <c r="H2283" t="n">
        <v>0.020682664229503</v>
      </c>
      <c r="I2283" t="n">
        <v>0.0662421579471727</v>
      </c>
      <c r="J2283" t="n">
        <v>0.0047569684404514</v>
      </c>
      <c r="K2283" t="n">
        <v>0.8140400268020956</v>
      </c>
      <c r="L2283" t="b">
        <v>0</v>
      </c>
      <c r="M2283" t="b">
        <v>0</v>
      </c>
      <c r="N2283" t="inlineStr">
        <is>
          <t>ref</t>
        </is>
      </c>
      <c r="O2283" t="n">
        <v>100</v>
      </c>
      <c r="P2283" t="n">
        <v>0.009544</v>
      </c>
      <c r="Q2283" t="n">
        <v>-35</v>
      </c>
      <c r="R2283" t="n">
        <v>0.02264</v>
      </c>
      <c r="S2283">
        <f>IMAGE("https://mitra.stanford.edu/kundaje/oak/projects/neuro-variants/variant_position/credible/roussos_2024/variant_figures/roussos_2024.childhood.GABA/rs788023_count_position.png",4,220,900)</f>
        <v/>
      </c>
      <c r="T2283">
        <f>IMAGE("https://mitra.stanford.edu/kundaje/oak/projects/neuro-variants/variant_position/credible/roussos_2024/variant_figures/roussos_2024.childhood.GABA/rs788023_profile_position.png",4,220,900)</f>
        <v/>
      </c>
    </row>
    <row r="2284">
      <c r="A2284" t="inlineStr">
        <is>
          <t>chr2</t>
        </is>
      </c>
      <c r="B2284" t="n">
        <v>197500319</v>
      </c>
      <c r="C2284" t="inlineStr">
        <is>
          <t>C</t>
        </is>
      </c>
      <c r="D2284" t="inlineStr">
        <is>
          <t>G</t>
        </is>
      </c>
      <c r="E2284" t="inlineStr">
        <is>
          <t>rs1116734</t>
        </is>
      </c>
      <c r="F2284" t="n">
        <v>0.0125480165999999</v>
      </c>
      <c r="G2284" t="n">
        <v>0.3724653216422277</v>
      </c>
      <c r="H2284" t="n">
        <v>0.0176938432852001</v>
      </c>
      <c r="I2284" t="n">
        <v>0.1229151253539114</v>
      </c>
      <c r="J2284" t="n">
        <v>0.97194613725367</v>
      </c>
      <c r="K2284" t="n">
        <v>7.243454086428586e-05</v>
      </c>
      <c r="L2284" t="b">
        <v>0</v>
      </c>
      <c r="M2284" t="b">
        <v>0</v>
      </c>
      <c r="N2284" t="inlineStr">
        <is>
          <t>alt</t>
        </is>
      </c>
      <c r="O2284" t="n">
        <v>-65</v>
      </c>
      <c r="P2284" t="n">
        <v>0.012085</v>
      </c>
      <c r="Q2284" t="n">
        <v>-100</v>
      </c>
      <c r="R2284" t="n">
        <v>0.1743</v>
      </c>
      <c r="S2284">
        <f>IMAGE("https://mitra.stanford.edu/kundaje/oak/projects/neuro-variants/variant_position/credible/roussos_2024/variant_figures/roussos_2024.childhood.GABA/rs1116734_count_position.png",4,220,900)</f>
        <v/>
      </c>
      <c r="T2284">
        <f>IMAGE("https://mitra.stanford.edu/kundaje/oak/projects/neuro-variants/variant_position/credible/roussos_2024/variant_figures/roussos_2024.childhood.GABA/rs1116734_profile_position.png",4,220,900)</f>
        <v/>
      </c>
    </row>
    <row r="2285">
      <c r="A2285" t="inlineStr">
        <is>
          <t>chr2</t>
        </is>
      </c>
      <c r="B2285" t="n">
        <v>197545160</v>
      </c>
      <c r="C2285" t="inlineStr">
        <is>
          <t>A</t>
        </is>
      </c>
      <c r="D2285" t="inlineStr">
        <is>
          <t>G</t>
        </is>
      </c>
      <c r="E2285" t="inlineStr">
        <is>
          <t>rs11680291</t>
        </is>
      </c>
      <c r="F2285" t="n">
        <v>0.157783028</v>
      </c>
      <c r="G2285" t="n">
        <v>0.008407005242839299</v>
      </c>
      <c r="H2285" t="n">
        <v>0.0256122352951321</v>
      </c>
      <c r="I2285" t="n">
        <v>0.0277779154508733</v>
      </c>
      <c r="J2285" t="n">
        <v>0.0439592888107054</v>
      </c>
      <c r="K2285" t="n">
        <v>0.516887183738507</v>
      </c>
      <c r="L2285" t="b">
        <v>1</v>
      </c>
      <c r="M2285" t="b">
        <v>1</v>
      </c>
      <c r="N2285" t="inlineStr">
        <is>
          <t>alt</t>
        </is>
      </c>
      <c r="O2285" t="n">
        <v>25</v>
      </c>
      <c r="P2285" t="n">
        <v>0.00278</v>
      </c>
      <c r="Q2285" t="n">
        <v>-75</v>
      </c>
      <c r="R2285" t="n">
        <v>0.08069999999999999</v>
      </c>
      <c r="S2285">
        <f>IMAGE("https://mitra.stanford.edu/kundaje/oak/projects/neuro-variants/variant_position/credible/roussos_2024/variant_figures/roussos_2024.childhood.GABA/rs11680291_count_position.png",4,220,900)</f>
        <v/>
      </c>
      <c r="T2285">
        <f>IMAGE("https://mitra.stanford.edu/kundaje/oak/projects/neuro-variants/variant_position/credible/roussos_2024/variant_figures/roussos_2024.childhood.GABA/rs11680291_profile_position.png",4,220,900)</f>
        <v/>
      </c>
    </row>
    <row r="2286">
      <c r="A2286" t="inlineStr">
        <is>
          <t>chr2</t>
        </is>
      </c>
      <c r="B2286" t="n">
        <v>197613596</v>
      </c>
      <c r="C2286" t="inlineStr">
        <is>
          <t>G</t>
        </is>
      </c>
      <c r="D2286" t="inlineStr">
        <is>
          <t>A</t>
        </is>
      </c>
      <c r="E2286" t="inlineStr">
        <is>
          <t>rs1455653</t>
        </is>
      </c>
      <c r="F2286" t="n">
        <v>-0.046001175</v>
      </c>
      <c r="G2286" t="n">
        <v>0.1729272597154508</v>
      </c>
      <c r="H2286" t="n">
        <v>0.010856044761869</v>
      </c>
      <c r="I2286" t="n">
        <v>0.5545135440613627</v>
      </c>
      <c r="J2286" t="n">
        <v>0.0542868212184037</v>
      </c>
      <c r="K2286" t="n">
        <v>0.4823998219415312</v>
      </c>
      <c r="L2286" t="b">
        <v>0</v>
      </c>
      <c r="M2286" t="b">
        <v>0</v>
      </c>
      <c r="N2286" t="inlineStr">
        <is>
          <t>ref</t>
        </is>
      </c>
      <c r="O2286" t="n">
        <v>-100</v>
      </c>
      <c r="P2286" t="n">
        <v>0.00757</v>
      </c>
      <c r="Q2286" t="n">
        <v>-55</v>
      </c>
      <c r="R2286" t="n">
        <v>0.1924</v>
      </c>
      <c r="S2286">
        <f>IMAGE("https://mitra.stanford.edu/kundaje/oak/projects/neuro-variants/variant_position/credible/roussos_2024/variant_figures/roussos_2024.childhood.GABA/rs1455653_count_position.png",4,220,900)</f>
        <v/>
      </c>
      <c r="T2286">
        <f>IMAGE("https://mitra.stanford.edu/kundaje/oak/projects/neuro-variants/variant_position/credible/roussos_2024/variant_figures/roussos_2024.childhood.GABA/rs1455653_profile_position.png",4,220,900)</f>
        <v/>
      </c>
    </row>
    <row r="2287">
      <c r="A2287" t="inlineStr">
        <is>
          <t>chr2</t>
        </is>
      </c>
      <c r="B2287" t="n">
        <v>197624529</v>
      </c>
      <c r="C2287" t="inlineStr">
        <is>
          <t>C</t>
        </is>
      </c>
      <c r="D2287" t="inlineStr">
        <is>
          <t>T</t>
        </is>
      </c>
      <c r="E2287" t="inlineStr">
        <is>
          <t>rs34139878</t>
        </is>
      </c>
      <c r="F2287" t="n">
        <v>-0.0583301906</v>
      </c>
      <c r="G2287" t="n">
        <v>0.1017860512274921</v>
      </c>
      <c r="H2287" t="n">
        <v>0.0143551115350352</v>
      </c>
      <c r="I2287" t="n">
        <v>0.2614538451903492</v>
      </c>
      <c r="J2287" t="n">
        <v>0.109664719063475</v>
      </c>
      <c r="K2287" t="n">
        <v>0.3576919463589303</v>
      </c>
      <c r="L2287" t="b">
        <v>0</v>
      </c>
      <c r="M2287" t="b">
        <v>0</v>
      </c>
      <c r="N2287" t="inlineStr">
        <is>
          <t>ref</t>
        </is>
      </c>
      <c r="O2287" t="n">
        <v>25</v>
      </c>
      <c r="P2287" t="n">
        <v>0.006958</v>
      </c>
      <c r="Q2287" t="n">
        <v>50</v>
      </c>
      <c r="R2287" t="n">
        <v>0.10645</v>
      </c>
      <c r="S2287">
        <f>IMAGE("https://mitra.stanford.edu/kundaje/oak/projects/neuro-variants/variant_position/credible/roussos_2024/variant_figures/roussos_2024.childhood.GABA/rs34139878_count_position.png",4,220,900)</f>
        <v/>
      </c>
      <c r="T2287">
        <f>IMAGE("https://mitra.stanford.edu/kundaje/oak/projects/neuro-variants/variant_position/credible/roussos_2024/variant_figures/roussos_2024.childhood.GABA/rs34139878_profile_position.png",4,220,900)</f>
        <v/>
      </c>
    </row>
    <row r="2288">
      <c r="A2288" t="inlineStr">
        <is>
          <t>chr2</t>
        </is>
      </c>
      <c r="B2288" t="n">
        <v>199144171</v>
      </c>
      <c r="C2288" t="inlineStr">
        <is>
          <t>A</t>
        </is>
      </c>
      <c r="D2288" t="inlineStr">
        <is>
          <t>G</t>
        </is>
      </c>
      <c r="E2288" t="inlineStr">
        <is>
          <t>rs1376584</t>
        </is>
      </c>
      <c r="F2288" t="n">
        <v>-0.006048162432</v>
      </c>
      <c r="G2288" t="n">
        <v>0.7739837998763717</v>
      </c>
      <c r="H2288" t="n">
        <v>0.0251529550137803</v>
      </c>
      <c r="I2288" t="n">
        <v>0.0280520030866797</v>
      </c>
      <c r="J2288" t="n">
        <v>0.1864138970911603</v>
      </c>
      <c r="K2288" t="n">
        <v>0.2290058758817806</v>
      </c>
      <c r="L2288" t="b">
        <v>0</v>
      </c>
      <c r="M2288" t="b">
        <v>0</v>
      </c>
      <c r="N2288" t="inlineStr">
        <is>
          <t>ref</t>
        </is>
      </c>
      <c r="O2288" t="n">
        <v>100</v>
      </c>
      <c r="P2288" t="n">
        <v>0.01654</v>
      </c>
      <c r="Q2288" t="n">
        <v>100</v>
      </c>
      <c r="R2288" t="n">
        <v>0.1277</v>
      </c>
      <c r="S2288">
        <f>IMAGE("https://mitra.stanford.edu/kundaje/oak/projects/neuro-variants/variant_position/credible/roussos_2024/variant_figures/roussos_2024.childhood.GABA/rs1376584_count_position.png",4,220,900)</f>
        <v/>
      </c>
      <c r="T2288">
        <f>IMAGE("https://mitra.stanford.edu/kundaje/oak/projects/neuro-variants/variant_position/credible/roussos_2024/variant_figures/roussos_2024.childhood.GABA/rs1376584_profile_position.png",4,220,900)</f>
        <v/>
      </c>
    </row>
    <row r="2289">
      <c r="A2289" t="inlineStr">
        <is>
          <t>chr2</t>
        </is>
      </c>
      <c r="B2289" t="n">
        <v>199146723</v>
      </c>
      <c r="C2289" t="inlineStr">
        <is>
          <t>G</t>
        </is>
      </c>
      <c r="D2289" t="inlineStr">
        <is>
          <t>T</t>
        </is>
      </c>
      <c r="E2289" t="inlineStr">
        <is>
          <t>rs6733580</t>
        </is>
      </c>
      <c r="F2289" t="n">
        <v>-0.0031877903799999</v>
      </c>
      <c r="G2289" t="n">
        <v>0.800758822217284</v>
      </c>
      <c r="H2289" t="n">
        <v>0.017650643455675</v>
      </c>
      <c r="I2289" t="n">
        <v>0.1240571708503616</v>
      </c>
      <c r="J2289" t="n">
        <v>0.1559087767795438</v>
      </c>
      <c r="K2289" t="n">
        <v>0.2662831260765519</v>
      </c>
      <c r="L2289" t="b">
        <v>0</v>
      </c>
      <c r="M2289" t="b">
        <v>0</v>
      </c>
      <c r="N2289" t="inlineStr">
        <is>
          <t>ref</t>
        </is>
      </c>
      <c r="O2289" t="n">
        <v>-100</v>
      </c>
      <c r="P2289" t="n">
        <v>0.01518</v>
      </c>
      <c r="Q2289" t="n">
        <v>100</v>
      </c>
      <c r="R2289" t="n">
        <v>0.08813</v>
      </c>
      <c r="S2289">
        <f>IMAGE("https://mitra.stanford.edu/kundaje/oak/projects/neuro-variants/variant_position/credible/roussos_2024/variant_figures/roussos_2024.childhood.GABA/rs6733580_count_position.png",4,220,900)</f>
        <v/>
      </c>
      <c r="T2289">
        <f>IMAGE("https://mitra.stanford.edu/kundaje/oak/projects/neuro-variants/variant_position/credible/roussos_2024/variant_figures/roussos_2024.childhood.GABA/rs6733580_profile_position.png",4,220,900)</f>
        <v/>
      </c>
    </row>
    <row r="2290">
      <c r="A2290" t="inlineStr">
        <is>
          <t>chr2</t>
        </is>
      </c>
      <c r="B2290" t="n">
        <v>199149294</v>
      </c>
      <c r="C2290" t="inlineStr">
        <is>
          <t>G</t>
        </is>
      </c>
      <c r="D2290" t="inlineStr">
        <is>
          <t>T</t>
        </is>
      </c>
      <c r="E2290" t="inlineStr">
        <is>
          <t>rs2345458</t>
        </is>
      </c>
      <c r="F2290" t="n">
        <v>-0.0352966056</v>
      </c>
      <c r="G2290" t="n">
        <v>0.248914225821905</v>
      </c>
      <c r="H2290" t="n">
        <v>0.0107700821275977</v>
      </c>
      <c r="I2290" t="n">
        <v>0.5515904231554383</v>
      </c>
      <c r="J2290" t="n">
        <v>0.0030355385227533</v>
      </c>
      <c r="K2290" t="n">
        <v>0.8526222546304306</v>
      </c>
      <c r="L2290" t="b">
        <v>0</v>
      </c>
      <c r="M2290" t="b">
        <v>0</v>
      </c>
      <c r="N2290" t="inlineStr">
        <is>
          <t>ref</t>
        </is>
      </c>
      <c r="O2290" t="n">
        <v>-85</v>
      </c>
      <c r="P2290" t="n">
        <v>0.00895</v>
      </c>
      <c r="Q2290" t="n">
        <v>45</v>
      </c>
      <c r="R2290" t="n">
        <v>0.035</v>
      </c>
      <c r="S2290">
        <f>IMAGE("https://mitra.stanford.edu/kundaje/oak/projects/neuro-variants/variant_position/credible/roussos_2024/variant_figures/roussos_2024.childhood.GABA/rs2345458_count_position.png",4,220,900)</f>
        <v/>
      </c>
      <c r="T2290">
        <f>IMAGE("https://mitra.stanford.edu/kundaje/oak/projects/neuro-variants/variant_position/credible/roussos_2024/variant_figures/roussos_2024.childhood.GABA/rs2345458_profile_position.png",4,220,900)</f>
        <v/>
      </c>
    </row>
    <row r="2291">
      <c r="A2291" t="inlineStr">
        <is>
          <t>chr2</t>
        </is>
      </c>
      <c r="B2291" t="n">
        <v>199150705</v>
      </c>
      <c r="C2291" t="inlineStr">
        <is>
          <t>G</t>
        </is>
      </c>
      <c r="D2291" t="inlineStr">
        <is>
          <t>T</t>
        </is>
      </c>
      <c r="E2291" t="inlineStr">
        <is>
          <t>rs921465</t>
        </is>
      </c>
      <c r="F2291" t="n">
        <v>0.042120584</v>
      </c>
      <c r="G2291" t="n">
        <v>0.1867195667674985</v>
      </c>
      <c r="H2291" t="n">
        <v>0.0146968381228493</v>
      </c>
      <c r="I2291" t="n">
        <v>0.2411494299502697</v>
      </c>
      <c r="J2291" t="n">
        <v>0.0229733408724424</v>
      </c>
      <c r="K2291" t="n">
        <v>0.6261754606076509</v>
      </c>
      <c r="L2291" t="b">
        <v>0</v>
      </c>
      <c r="M2291" t="b">
        <v>0</v>
      </c>
      <c r="N2291" t="inlineStr">
        <is>
          <t>alt</t>
        </is>
      </c>
      <c r="O2291" t="n">
        <v>-80</v>
      </c>
      <c r="P2291" t="n">
        <v>0.001957</v>
      </c>
      <c r="Q2291" t="n">
        <v>-30</v>
      </c>
      <c r="R2291" t="n">
        <v>0.03308</v>
      </c>
      <c r="S2291">
        <f>IMAGE("https://mitra.stanford.edu/kundaje/oak/projects/neuro-variants/variant_position/credible/roussos_2024/variant_figures/roussos_2024.childhood.GABA/rs921465_count_position.png",4,220,900)</f>
        <v/>
      </c>
      <c r="T2291">
        <f>IMAGE("https://mitra.stanford.edu/kundaje/oak/projects/neuro-variants/variant_position/credible/roussos_2024/variant_figures/roussos_2024.childhood.GABA/rs921465_profile_position.png",4,220,900)</f>
        <v/>
      </c>
    </row>
    <row r="2292">
      <c r="A2292" t="inlineStr">
        <is>
          <t>chr2</t>
        </is>
      </c>
      <c r="B2292" t="n">
        <v>199150838</v>
      </c>
      <c r="C2292" t="inlineStr">
        <is>
          <t>C</t>
        </is>
      </c>
      <c r="D2292" t="inlineStr">
        <is>
          <t>A</t>
        </is>
      </c>
      <c r="E2292" t="inlineStr">
        <is>
          <t>rs1868915</t>
        </is>
      </c>
      <c r="F2292" t="n">
        <v>-0.02463364814</v>
      </c>
      <c r="G2292" t="n">
        <v>0.2398510208365581</v>
      </c>
      <c r="H2292" t="n">
        <v>0.0163741695090602</v>
      </c>
      <c r="I2292" t="n">
        <v>0.1677673456331381</v>
      </c>
      <c r="J2292" t="n">
        <v>0.0380128164855185</v>
      </c>
      <c r="K2292" t="n">
        <v>0.5389173295136375</v>
      </c>
      <c r="L2292" t="b">
        <v>0</v>
      </c>
      <c r="M2292" t="b">
        <v>0</v>
      </c>
      <c r="N2292" t="inlineStr">
        <is>
          <t>ref</t>
        </is>
      </c>
      <c r="O2292" t="n">
        <v>100</v>
      </c>
      <c r="P2292" t="n">
        <v>0.01271</v>
      </c>
      <c r="Q2292" t="n">
        <v>-100</v>
      </c>
      <c r="R2292" t="n">
        <v>0.0506</v>
      </c>
      <c r="S2292">
        <f>IMAGE("https://mitra.stanford.edu/kundaje/oak/projects/neuro-variants/variant_position/credible/roussos_2024/variant_figures/roussos_2024.childhood.GABA/rs1868915_count_position.png",4,220,900)</f>
        <v/>
      </c>
      <c r="T2292">
        <f>IMAGE("https://mitra.stanford.edu/kundaje/oak/projects/neuro-variants/variant_position/credible/roussos_2024/variant_figures/roussos_2024.childhood.GABA/rs1868915_profile_position.png",4,220,900)</f>
        <v/>
      </c>
    </row>
    <row r="2293">
      <c r="A2293" t="inlineStr">
        <is>
          <t>chr2</t>
        </is>
      </c>
      <c r="B2293" t="n">
        <v>199154272</v>
      </c>
      <c r="C2293" t="inlineStr">
        <is>
          <t>G</t>
        </is>
      </c>
      <c r="D2293" t="inlineStr">
        <is>
          <t>A</t>
        </is>
      </c>
      <c r="E2293" t="inlineStr">
        <is>
          <t>rs1376593</t>
        </is>
      </c>
      <c r="F2293" t="n">
        <v>-0.0832218259999999</v>
      </c>
      <c r="G2293" t="n">
        <v>0.0462461063889716</v>
      </c>
      <c r="H2293" t="n">
        <v>0.0154072034646995</v>
      </c>
      <c r="I2293" t="n">
        <v>0.2051773175453505</v>
      </c>
      <c r="J2293" t="n">
        <v>0.0619798538250507</v>
      </c>
      <c r="K2293" t="n">
        <v>0.4599810964097258</v>
      </c>
      <c r="L2293" t="b">
        <v>0</v>
      </c>
      <c r="M2293" t="b">
        <v>0</v>
      </c>
      <c r="N2293" t="inlineStr">
        <is>
          <t>ref</t>
        </is>
      </c>
      <c r="O2293" t="n">
        <v>-10</v>
      </c>
      <c r="P2293" t="n">
        <v>0.0003395</v>
      </c>
      <c r="Q2293" t="n">
        <v>35</v>
      </c>
      <c r="R2293" t="n">
        <v>0.02069</v>
      </c>
      <c r="S2293">
        <f>IMAGE("https://mitra.stanford.edu/kundaje/oak/projects/neuro-variants/variant_position/credible/roussos_2024/variant_figures/roussos_2024.childhood.GABA/rs1376593_count_position.png",4,220,900)</f>
        <v/>
      </c>
      <c r="T2293">
        <f>IMAGE("https://mitra.stanford.edu/kundaje/oak/projects/neuro-variants/variant_position/credible/roussos_2024/variant_figures/roussos_2024.childhood.GABA/rs1376593_profile_position.png",4,220,900)</f>
        <v/>
      </c>
    </row>
    <row r="2294">
      <c r="A2294" t="inlineStr">
        <is>
          <t>chr2</t>
        </is>
      </c>
      <c r="B2294" t="n">
        <v>199158357</v>
      </c>
      <c r="C2294" t="inlineStr">
        <is>
          <t>A</t>
        </is>
      </c>
      <c r="D2294" t="inlineStr">
        <is>
          <t>C</t>
        </is>
      </c>
      <c r="E2294" t="inlineStr">
        <is>
          <t>rs6731445</t>
        </is>
      </c>
      <c r="F2294" t="n">
        <v>0.224300218</v>
      </c>
      <c r="G2294" t="n">
        <v>0.0037008468861338</v>
      </c>
      <c r="H2294" t="n">
        <v>0.0303314300053533</v>
      </c>
      <c r="I2294" t="n">
        <v>0.012602520530107</v>
      </c>
      <c r="J2294" t="n">
        <v>0.0538124856023957</v>
      </c>
      <c r="K2294" t="n">
        <v>0.478772111415296</v>
      </c>
      <c r="L2294" t="b">
        <v>1</v>
      </c>
      <c r="M2294" t="b">
        <v>1</v>
      </c>
      <c r="N2294" t="inlineStr">
        <is>
          <t>alt</t>
        </is>
      </c>
      <c r="O2294" t="n">
        <v>-65</v>
      </c>
      <c r="P2294" t="n">
        <v>0.0008583</v>
      </c>
      <c r="Q2294" t="n">
        <v>-15</v>
      </c>
      <c r="R2294" t="n">
        <v>0.006836</v>
      </c>
      <c r="S2294">
        <f>IMAGE("https://mitra.stanford.edu/kundaje/oak/projects/neuro-variants/variant_position/credible/roussos_2024/variant_figures/roussos_2024.childhood.GABA/rs6731445_count_position.png",4,220,900)</f>
        <v/>
      </c>
      <c r="T2294">
        <f>IMAGE("https://mitra.stanford.edu/kundaje/oak/projects/neuro-variants/variant_position/credible/roussos_2024/variant_figures/roussos_2024.childhood.GABA/rs6731445_profile_position.png",4,220,900)</f>
        <v/>
      </c>
    </row>
    <row r="2295">
      <c r="A2295" t="inlineStr">
        <is>
          <t>chr2</t>
        </is>
      </c>
      <c r="B2295" t="n">
        <v>199161140</v>
      </c>
      <c r="C2295" t="inlineStr">
        <is>
          <t>A</t>
        </is>
      </c>
      <c r="D2295" t="inlineStr">
        <is>
          <t>T</t>
        </is>
      </c>
      <c r="E2295" t="inlineStr">
        <is>
          <t>rs6743084</t>
        </is>
      </c>
      <c r="F2295" t="n">
        <v>-0.00801253236</v>
      </c>
      <c r="G2295" t="n">
        <v>0.7168342549172275</v>
      </c>
      <c r="H2295" t="n">
        <v>0.0111179209471176</v>
      </c>
      <c r="I2295" t="n">
        <v>0.5061515790449183</v>
      </c>
      <c r="J2295" t="n">
        <v>0.0392337333249564</v>
      </c>
      <c r="K2295" t="n">
        <v>0.5359478781070098</v>
      </c>
      <c r="L2295" t="b">
        <v>0</v>
      </c>
      <c r="M2295" t="b">
        <v>0</v>
      </c>
      <c r="N2295" t="inlineStr">
        <is>
          <t>ref</t>
        </is>
      </c>
      <c r="O2295" t="n">
        <v>100</v>
      </c>
      <c r="P2295" t="n">
        <v>0.01624</v>
      </c>
      <c r="Q2295" t="n">
        <v>15</v>
      </c>
      <c r="R2295" t="n">
        <v>0.02515</v>
      </c>
      <c r="S2295">
        <f>IMAGE("https://mitra.stanford.edu/kundaje/oak/projects/neuro-variants/variant_position/credible/roussos_2024/variant_figures/roussos_2024.childhood.GABA/rs6743084_count_position.png",4,220,900)</f>
        <v/>
      </c>
      <c r="T2295">
        <f>IMAGE("https://mitra.stanford.edu/kundaje/oak/projects/neuro-variants/variant_position/credible/roussos_2024/variant_figures/roussos_2024.childhood.GABA/rs6743084_profile_position.png",4,220,900)</f>
        <v/>
      </c>
    </row>
    <row r="2296">
      <c r="A2296" t="inlineStr">
        <is>
          <t>chr2</t>
        </is>
      </c>
      <c r="B2296" t="n">
        <v>199163975</v>
      </c>
      <c r="C2296" t="inlineStr">
        <is>
          <t>T</t>
        </is>
      </c>
      <c r="D2296" t="inlineStr">
        <is>
          <t>C</t>
        </is>
      </c>
      <c r="E2296" t="inlineStr">
        <is>
          <t>rs60642146</t>
        </is>
      </c>
      <c r="F2296" t="n">
        <v>-0.0139475549199999</v>
      </c>
      <c r="G2296" t="n">
        <v>0.2892239763814547</v>
      </c>
      <c r="H2296" t="n">
        <v>0.0131481337968359</v>
      </c>
      <c r="I2296" t="n">
        <v>0.3314345451156533</v>
      </c>
      <c r="J2296" t="n">
        <v>0.1970471822579632</v>
      </c>
      <c r="K2296" t="n">
        <v>0.2140412164958364</v>
      </c>
      <c r="L2296" t="b">
        <v>0</v>
      </c>
      <c r="M2296" t="b">
        <v>0</v>
      </c>
      <c r="N2296" t="inlineStr">
        <is>
          <t>ref</t>
        </is>
      </c>
      <c r="O2296" t="n">
        <v>30</v>
      </c>
      <c r="P2296" t="n">
        <v>0.008359999999999999</v>
      </c>
      <c r="Q2296" t="n">
        <v>60</v>
      </c>
      <c r="R2296" t="n">
        <v>0.04297</v>
      </c>
      <c r="S2296">
        <f>IMAGE("https://mitra.stanford.edu/kundaje/oak/projects/neuro-variants/variant_position/credible/roussos_2024/variant_figures/roussos_2024.childhood.GABA/rs60642146_count_position.png",4,220,900)</f>
        <v/>
      </c>
      <c r="T2296">
        <f>IMAGE("https://mitra.stanford.edu/kundaje/oak/projects/neuro-variants/variant_position/credible/roussos_2024/variant_figures/roussos_2024.childhood.GABA/rs60642146_profile_position.png",4,220,900)</f>
        <v/>
      </c>
    </row>
    <row r="2297">
      <c r="A2297" t="inlineStr">
        <is>
          <t>chr2</t>
        </is>
      </c>
      <c r="B2297" t="n">
        <v>199163981</v>
      </c>
      <c r="C2297" t="inlineStr">
        <is>
          <t>G</t>
        </is>
      </c>
      <c r="D2297" t="inlineStr">
        <is>
          <t>A</t>
        </is>
      </c>
      <c r="E2297" t="inlineStr">
        <is>
          <t>rs896350</t>
        </is>
      </c>
      <c r="F2297" t="n">
        <v>-0.07222434679999989</v>
      </c>
      <c r="G2297" t="n">
        <v>0.0729276309695364</v>
      </c>
      <c r="H2297" t="n">
        <v>0.012871269370593</v>
      </c>
      <c r="I2297" t="n">
        <v>0.3594216170198774</v>
      </c>
      <c r="J2297" t="n">
        <v>0.1934912357856379</v>
      </c>
      <c r="K2297" t="n">
        <v>0.2175894806752742</v>
      </c>
      <c r="L2297" t="b">
        <v>0</v>
      </c>
      <c r="M2297" t="b">
        <v>0</v>
      </c>
      <c r="N2297" t="inlineStr">
        <is>
          <t>ref</t>
        </is>
      </c>
      <c r="O2297" t="n">
        <v>25</v>
      </c>
      <c r="P2297" t="n">
        <v>0.007324</v>
      </c>
      <c r="Q2297" t="n">
        <v>55</v>
      </c>
      <c r="R2297" t="n">
        <v>0.05078</v>
      </c>
      <c r="S2297">
        <f>IMAGE("https://mitra.stanford.edu/kundaje/oak/projects/neuro-variants/variant_position/credible/roussos_2024/variant_figures/roussos_2024.childhood.GABA/rs896350_count_position.png",4,220,900)</f>
        <v/>
      </c>
      <c r="T2297">
        <f>IMAGE("https://mitra.stanford.edu/kundaje/oak/projects/neuro-variants/variant_position/credible/roussos_2024/variant_figures/roussos_2024.childhood.GABA/rs896350_profile_position.png",4,220,900)</f>
        <v/>
      </c>
    </row>
    <row r="2298">
      <c r="A2298" t="inlineStr">
        <is>
          <t>chr2</t>
        </is>
      </c>
      <c r="B2298" t="n">
        <v>199167672</v>
      </c>
      <c r="C2298" t="inlineStr">
        <is>
          <t>C</t>
        </is>
      </c>
      <c r="D2298" t="inlineStr">
        <is>
          <t>T</t>
        </is>
      </c>
      <c r="E2298" t="inlineStr">
        <is>
          <t>rs2122844</t>
        </is>
      </c>
      <c r="F2298" t="n">
        <v>-0.0675387326</v>
      </c>
      <c r="G2298" t="n">
        <v>0.0862189072928542</v>
      </c>
      <c r="H2298" t="n">
        <v>0.0135584765143296</v>
      </c>
      <c r="I2298" t="n">
        <v>0.3112280794271829</v>
      </c>
      <c r="J2298" t="n">
        <v>0.0311564155724487</v>
      </c>
      <c r="K2298" t="n">
        <v>0.5761222068715544</v>
      </c>
      <c r="L2298" t="b">
        <v>0</v>
      </c>
      <c r="M2298" t="b">
        <v>0</v>
      </c>
      <c r="N2298" t="inlineStr">
        <is>
          <t>ref</t>
        </is>
      </c>
      <c r="O2298" t="n">
        <v>50</v>
      </c>
      <c r="P2298" t="n">
        <v>0.003036</v>
      </c>
      <c r="Q2298" t="n">
        <v>-85</v>
      </c>
      <c r="R2298" t="n">
        <v>0.12</v>
      </c>
      <c r="S2298">
        <f>IMAGE("https://mitra.stanford.edu/kundaje/oak/projects/neuro-variants/variant_position/credible/roussos_2024/variant_figures/roussos_2024.childhood.GABA/rs2122844_count_position.png",4,220,900)</f>
        <v/>
      </c>
      <c r="T2298">
        <f>IMAGE("https://mitra.stanford.edu/kundaje/oak/projects/neuro-variants/variant_position/credible/roussos_2024/variant_figures/roussos_2024.childhood.GABA/rs2122844_profile_position.png",4,220,900)</f>
        <v/>
      </c>
    </row>
    <row r="2299">
      <c r="A2299" t="inlineStr">
        <is>
          <t>chr2</t>
        </is>
      </c>
      <c r="B2299" t="n">
        <v>199923081</v>
      </c>
      <c r="C2299" t="inlineStr">
        <is>
          <t>A</t>
        </is>
      </c>
      <c r="D2299" t="inlineStr">
        <is>
          <t>G</t>
        </is>
      </c>
      <c r="E2299" t="inlineStr">
        <is>
          <t>rs281760</t>
        </is>
      </c>
      <c r="F2299" t="n">
        <v>0.01710667984</v>
      </c>
      <c r="G2299" t="n">
        <v>0.4813377689541512</v>
      </c>
      <c r="H2299" t="n">
        <v>0.0106946616890566</v>
      </c>
      <c r="I2299" t="n">
        <v>0.5529320246629589</v>
      </c>
      <c r="J2299" t="n">
        <v>0.0446032543821071</v>
      </c>
      <c r="K2299" t="n">
        <v>0.5091146914868339</v>
      </c>
      <c r="L2299" t="b">
        <v>0</v>
      </c>
      <c r="M2299" t="b">
        <v>0</v>
      </c>
      <c r="N2299" t="inlineStr">
        <is>
          <t>alt</t>
        </is>
      </c>
      <c r="O2299" t="n">
        <v>45</v>
      </c>
      <c r="P2299" t="n">
        <v>0.0008050000000000001</v>
      </c>
      <c r="Q2299" t="n">
        <v>-95</v>
      </c>
      <c r="R2299" t="n">
        <v>0.1805</v>
      </c>
      <c r="S2299">
        <f>IMAGE("https://mitra.stanford.edu/kundaje/oak/projects/neuro-variants/variant_position/credible/roussos_2024/variant_figures/roussos_2024.childhood.GABA/rs281760_count_position.png",4,220,900)</f>
        <v/>
      </c>
      <c r="T2299">
        <f>IMAGE("https://mitra.stanford.edu/kundaje/oak/projects/neuro-variants/variant_position/credible/roussos_2024/variant_figures/roussos_2024.childhood.GABA/rs281760_profile_position.png",4,220,900)</f>
        <v/>
      </c>
    </row>
    <row r="2300">
      <c r="A2300" t="inlineStr">
        <is>
          <t>chr2</t>
        </is>
      </c>
      <c r="B2300" t="n">
        <v>199949997</v>
      </c>
      <c r="C2300" t="inlineStr">
        <is>
          <t>A</t>
        </is>
      </c>
      <c r="D2300" t="inlineStr">
        <is>
          <t>T</t>
        </is>
      </c>
      <c r="E2300" t="inlineStr">
        <is>
          <t>rs176008</t>
        </is>
      </c>
      <c r="F2300" t="n">
        <v>-0.0195444066</v>
      </c>
      <c r="G2300" t="n">
        <v>0.4493076418902932</v>
      </c>
      <c r="H2300" t="n">
        <v>0.0180146931153938</v>
      </c>
      <c r="I2300" t="n">
        <v>0.1128478884325187</v>
      </c>
      <c r="J2300" t="n">
        <v>0.0548658666834201</v>
      </c>
      <c r="K2300" t="n">
        <v>0.4780418972507145</v>
      </c>
      <c r="L2300" t="b">
        <v>0</v>
      </c>
      <c r="M2300" t="b">
        <v>0</v>
      </c>
      <c r="N2300" t="inlineStr">
        <is>
          <t>ref</t>
        </is>
      </c>
      <c r="O2300" t="n">
        <v>-100</v>
      </c>
      <c r="P2300" t="n">
        <v>0.02394</v>
      </c>
      <c r="Q2300" t="n">
        <v>-95</v>
      </c>
      <c r="R2300" t="n">
        <v>0.0631</v>
      </c>
      <c r="S2300">
        <f>IMAGE("https://mitra.stanford.edu/kundaje/oak/projects/neuro-variants/variant_position/credible/roussos_2024/variant_figures/roussos_2024.childhood.GABA/rs176008_count_position.png",4,220,900)</f>
        <v/>
      </c>
      <c r="T2300">
        <f>IMAGE("https://mitra.stanford.edu/kundaje/oak/projects/neuro-variants/variant_position/credible/roussos_2024/variant_figures/roussos_2024.childhood.GABA/rs176008_profile_position.png",4,220,900)</f>
        <v/>
      </c>
    </row>
    <row r="2301">
      <c r="A2301" t="inlineStr">
        <is>
          <t>chr2</t>
        </is>
      </c>
      <c r="B2301" t="n">
        <v>199955782</v>
      </c>
      <c r="C2301" t="inlineStr">
        <is>
          <t>T</t>
        </is>
      </c>
      <c r="D2301" t="inlineStr">
        <is>
          <t>G</t>
        </is>
      </c>
      <c r="E2301" t="inlineStr">
        <is>
          <t>rs281766</t>
        </is>
      </c>
      <c r="F2301" t="n">
        <v>-0.0332695384</v>
      </c>
      <c r="G2301" t="n">
        <v>0.2719874683454923</v>
      </c>
      <c r="H2301" t="n">
        <v>0.0136590721693803</v>
      </c>
      <c r="I2301" t="n">
        <v>0.2943949575408291</v>
      </c>
      <c r="J2301" t="n">
        <v>0.775972230948043</v>
      </c>
      <c r="K2301" t="n">
        <v>0.008124329394078899</v>
      </c>
      <c r="L2301" t="b">
        <v>0</v>
      </c>
      <c r="M2301" t="b">
        <v>0</v>
      </c>
      <c r="N2301" t="inlineStr">
        <is>
          <t>ref</t>
        </is>
      </c>
      <c r="O2301" t="n">
        <v>-100</v>
      </c>
      <c r="P2301" t="n">
        <v>0.01697</v>
      </c>
      <c r="Q2301" t="n">
        <v>75</v>
      </c>
      <c r="R2301" t="n">
        <v>0.144</v>
      </c>
      <c r="S2301">
        <f>IMAGE("https://mitra.stanford.edu/kundaje/oak/projects/neuro-variants/variant_position/credible/roussos_2024/variant_figures/roussos_2024.childhood.GABA/rs281766_count_position.png",4,220,900)</f>
        <v/>
      </c>
      <c r="T2301">
        <f>IMAGE("https://mitra.stanford.edu/kundaje/oak/projects/neuro-variants/variant_position/credible/roussos_2024/variant_figures/roussos_2024.childhood.GABA/rs281766_profile_position.png",4,220,900)</f>
        <v/>
      </c>
    </row>
    <row r="2302">
      <c r="A2302" t="inlineStr">
        <is>
          <t>chr2</t>
        </is>
      </c>
      <c r="B2302" t="n">
        <v>199965270</v>
      </c>
      <c r="C2302" t="inlineStr">
        <is>
          <t>G</t>
        </is>
      </c>
      <c r="D2302" t="inlineStr">
        <is>
          <t>A</t>
        </is>
      </c>
      <c r="E2302" t="inlineStr">
        <is>
          <t>rs10178177</t>
        </is>
      </c>
      <c r="F2302" t="n">
        <v>-0.051766391</v>
      </c>
      <c r="G2302" t="n">
        <v>0.1337293592160572</v>
      </c>
      <c r="H2302" t="n">
        <v>0.011103606978515</v>
      </c>
      <c r="I2302" t="n">
        <v>0.5208252755668432</v>
      </c>
      <c r="J2302" t="n">
        <v>0.0002293145693283</v>
      </c>
      <c r="K2302" t="n">
        <v>0.9633829202616579</v>
      </c>
      <c r="L2302" t="b">
        <v>0</v>
      </c>
      <c r="M2302" t="b">
        <v>0</v>
      </c>
      <c r="N2302" t="inlineStr">
        <is>
          <t>ref</t>
        </is>
      </c>
      <c r="O2302" t="n">
        <v>40</v>
      </c>
      <c r="P2302" t="n">
        <v>0.003094</v>
      </c>
      <c r="Q2302" t="n">
        <v>15</v>
      </c>
      <c r="R2302" t="n">
        <v>0.021</v>
      </c>
      <c r="S2302">
        <f>IMAGE("https://mitra.stanford.edu/kundaje/oak/projects/neuro-variants/variant_position/credible/roussos_2024/variant_figures/roussos_2024.childhood.GABA/rs10178177_count_position.png",4,220,900)</f>
        <v/>
      </c>
      <c r="T2302">
        <f>IMAGE("https://mitra.stanford.edu/kundaje/oak/projects/neuro-variants/variant_position/credible/roussos_2024/variant_figures/roussos_2024.childhood.GABA/rs10178177_profile_position.png",4,220,900)</f>
        <v/>
      </c>
    </row>
    <row r="2303">
      <c r="A2303" t="inlineStr">
        <is>
          <t>chr2</t>
        </is>
      </c>
      <c r="B2303" t="n">
        <v>199983267</v>
      </c>
      <c r="C2303" t="inlineStr">
        <is>
          <t>G</t>
        </is>
      </c>
      <c r="D2303" t="inlineStr">
        <is>
          <t>A</t>
        </is>
      </c>
      <c r="E2303" t="inlineStr">
        <is>
          <t>rs281793</t>
        </is>
      </c>
      <c r="F2303" t="n">
        <v>-0.09834295559999991</v>
      </c>
      <c r="G2303" t="n">
        <v>0.0332979309849822</v>
      </c>
      <c r="H2303" t="n">
        <v>0.0122526693521684</v>
      </c>
      <c r="I2303" t="n">
        <v>0.4040750894183185</v>
      </c>
      <c r="J2303" t="n">
        <v>0.1241094427341835</v>
      </c>
      <c r="K2303" t="n">
        <v>0.3218599645573432</v>
      </c>
      <c r="L2303" t="b">
        <v>0</v>
      </c>
      <c r="M2303" t="b">
        <v>0</v>
      </c>
      <c r="N2303" t="inlineStr">
        <is>
          <t>ref</t>
        </is>
      </c>
      <c r="O2303" t="n">
        <v>85</v>
      </c>
      <c r="P2303" t="n">
        <v>0.01366</v>
      </c>
      <c r="Q2303" t="n">
        <v>85</v>
      </c>
      <c r="R2303" t="n">
        <v>0.04904</v>
      </c>
      <c r="S2303">
        <f>IMAGE("https://mitra.stanford.edu/kundaje/oak/projects/neuro-variants/variant_position/credible/roussos_2024/variant_figures/roussos_2024.childhood.GABA/rs281793_count_position.png",4,220,900)</f>
        <v/>
      </c>
      <c r="T2303">
        <f>IMAGE("https://mitra.stanford.edu/kundaje/oak/projects/neuro-variants/variant_position/credible/roussos_2024/variant_figures/roussos_2024.childhood.GABA/rs281793_profile_position.png",4,220,900)</f>
        <v/>
      </c>
    </row>
    <row r="2304">
      <c r="A2304" t="inlineStr">
        <is>
          <t>chr2</t>
        </is>
      </c>
      <c r="B2304" t="n">
        <v>200017887</v>
      </c>
      <c r="C2304" t="inlineStr">
        <is>
          <t>C</t>
        </is>
      </c>
      <c r="D2304" t="inlineStr">
        <is>
          <t>T</t>
        </is>
      </c>
      <c r="E2304" t="inlineStr">
        <is>
          <t>rs2202922</t>
        </is>
      </c>
      <c r="F2304" t="n">
        <v>-0.01044239002</v>
      </c>
      <c r="G2304" t="n">
        <v>0.3215520253326883</v>
      </c>
      <c r="H2304" t="n">
        <v>0.0129830255991035</v>
      </c>
      <c r="I2304" t="n">
        <v>0.3490574652362048</v>
      </c>
      <c r="J2304" t="n">
        <v>0.0917509580951183</v>
      </c>
      <c r="K2304" t="n">
        <v>0.3859123965469372</v>
      </c>
      <c r="L2304" t="b">
        <v>0</v>
      </c>
      <c r="M2304" t="b">
        <v>0</v>
      </c>
      <c r="N2304" t="inlineStr">
        <is>
          <t>ref</t>
        </is>
      </c>
      <c r="O2304" t="n">
        <v>-10</v>
      </c>
      <c r="P2304" t="n">
        <v>0.0003052</v>
      </c>
      <c r="Q2304" t="n">
        <v>5</v>
      </c>
      <c r="R2304" t="n">
        <v>0.01074</v>
      </c>
      <c r="S2304">
        <f>IMAGE("https://mitra.stanford.edu/kundaje/oak/projects/neuro-variants/variant_position/credible/roussos_2024/variant_figures/roussos_2024.childhood.GABA/rs2202922_count_position.png",4,220,900)</f>
        <v/>
      </c>
      <c r="T2304">
        <f>IMAGE("https://mitra.stanford.edu/kundaje/oak/projects/neuro-variants/variant_position/credible/roussos_2024/variant_figures/roussos_2024.childhood.GABA/rs2202922_profile_position.png",4,220,900)</f>
        <v/>
      </c>
    </row>
    <row r="2305">
      <c r="A2305" t="inlineStr">
        <is>
          <t>chr2</t>
        </is>
      </c>
      <c r="B2305" t="n">
        <v>200019892</v>
      </c>
      <c r="C2305" t="inlineStr">
        <is>
          <t>A</t>
        </is>
      </c>
      <c r="D2305" t="inlineStr">
        <is>
          <t>C</t>
        </is>
      </c>
      <c r="E2305" t="inlineStr">
        <is>
          <t>rs3106089</t>
        </is>
      </c>
      <c r="F2305" t="n">
        <v>-0.007509996734</v>
      </c>
      <c r="G2305" t="n">
        <v>0.6165727749445312</v>
      </c>
      <c r="H2305" t="n">
        <v>0.0290332400901599</v>
      </c>
      <c r="I2305" t="n">
        <v>0.0148011563085828</v>
      </c>
      <c r="J2305" t="n">
        <v>0.0063632175242402</v>
      </c>
      <c r="K2305" t="n">
        <v>0.7928806560272754</v>
      </c>
      <c r="L2305" t="b">
        <v>0</v>
      </c>
      <c r="M2305" t="b">
        <v>0</v>
      </c>
      <c r="N2305" t="inlineStr">
        <is>
          <t>ref</t>
        </is>
      </c>
      <c r="O2305" t="n">
        <v>60</v>
      </c>
      <c r="P2305" t="n">
        <v>0.001892</v>
      </c>
      <c r="Q2305" t="n">
        <v>65</v>
      </c>
      <c r="R2305" t="n">
        <v>0.0439</v>
      </c>
      <c r="S2305">
        <f>IMAGE("https://mitra.stanford.edu/kundaje/oak/projects/neuro-variants/variant_position/credible/roussos_2024/variant_figures/roussos_2024.childhood.GABA/rs3106089_count_position.png",4,220,900)</f>
        <v/>
      </c>
      <c r="T2305">
        <f>IMAGE("https://mitra.stanford.edu/kundaje/oak/projects/neuro-variants/variant_position/credible/roussos_2024/variant_figures/roussos_2024.childhood.GABA/rs3106089_profile_position.png",4,220,900)</f>
        <v/>
      </c>
    </row>
    <row r="2306">
      <c r="A2306" t="inlineStr">
        <is>
          <t>chr2</t>
        </is>
      </c>
      <c r="B2306" t="n">
        <v>200043420</v>
      </c>
      <c r="C2306" t="inlineStr">
        <is>
          <t>G</t>
        </is>
      </c>
      <c r="D2306" t="inlineStr">
        <is>
          <t>A</t>
        </is>
      </c>
      <c r="E2306" t="inlineStr">
        <is>
          <t>rs1509830</t>
        </is>
      </c>
      <c r="F2306" t="n">
        <v>-0.00680102826</v>
      </c>
      <c r="G2306" t="n">
        <v>0.7215499824209834</v>
      </c>
      <c r="H2306" t="n">
        <v>0.0178128508684278</v>
      </c>
      <c r="I2306" t="n">
        <v>0.1190670958155793</v>
      </c>
      <c r="J2306" t="n">
        <v>0.0022805805114028</v>
      </c>
      <c r="K2306" t="n">
        <v>0.8743578184340958</v>
      </c>
      <c r="L2306" t="b">
        <v>0</v>
      </c>
      <c r="M2306" t="b">
        <v>0</v>
      </c>
      <c r="N2306" t="inlineStr">
        <is>
          <t>ref</t>
        </is>
      </c>
      <c r="O2306" t="n">
        <v>-100</v>
      </c>
      <c r="P2306" t="n">
        <v>0.00604</v>
      </c>
      <c r="Q2306" t="n">
        <v>100</v>
      </c>
      <c r="R2306" t="n">
        <v>0.0356</v>
      </c>
      <c r="S2306">
        <f>IMAGE("https://mitra.stanford.edu/kundaje/oak/projects/neuro-variants/variant_position/credible/roussos_2024/variant_figures/roussos_2024.childhood.GABA/rs1509830_count_position.png",4,220,900)</f>
        <v/>
      </c>
      <c r="T2306">
        <f>IMAGE("https://mitra.stanford.edu/kundaje/oak/projects/neuro-variants/variant_position/credible/roussos_2024/variant_figures/roussos_2024.childhood.GABA/rs1509830_profile_position.png",4,220,900)</f>
        <v/>
      </c>
    </row>
    <row r="2307">
      <c r="A2307" t="inlineStr">
        <is>
          <t>chr2</t>
        </is>
      </c>
      <c r="B2307" t="n">
        <v>200046051</v>
      </c>
      <c r="C2307" t="inlineStr">
        <is>
          <t>C</t>
        </is>
      </c>
      <c r="D2307" t="inlineStr">
        <is>
          <t>A</t>
        </is>
      </c>
      <c r="E2307" t="inlineStr">
        <is>
          <t>rs2079196</t>
        </is>
      </c>
      <c r="F2307" t="n">
        <v>-0.01070233404</v>
      </c>
      <c r="G2307" t="n">
        <v>0.6123903406197989</v>
      </c>
      <c r="H2307" t="n">
        <v>0.0176279587529585</v>
      </c>
      <c r="I2307" t="n">
        <v>0.1251405998413405</v>
      </c>
      <c r="J2307" t="n">
        <v>0.0940105966367196</v>
      </c>
      <c r="K2307" t="n">
        <v>0.3780670466692795</v>
      </c>
      <c r="L2307" t="b">
        <v>0</v>
      </c>
      <c r="M2307" t="b">
        <v>0</v>
      </c>
      <c r="N2307" t="inlineStr">
        <is>
          <t>ref</t>
        </is>
      </c>
      <c r="O2307" t="n">
        <v>100</v>
      </c>
      <c r="P2307" t="n">
        <v>0.08154</v>
      </c>
      <c r="Q2307" t="n">
        <v>85</v>
      </c>
      <c r="R2307" t="n">
        <v>0.236</v>
      </c>
      <c r="S2307">
        <f>IMAGE("https://mitra.stanford.edu/kundaje/oak/projects/neuro-variants/variant_position/credible/roussos_2024/variant_figures/roussos_2024.childhood.GABA/rs2079196_count_position.png",4,220,900)</f>
        <v/>
      </c>
      <c r="T2307">
        <f>IMAGE("https://mitra.stanford.edu/kundaje/oak/projects/neuro-variants/variant_position/credible/roussos_2024/variant_figures/roussos_2024.childhood.GABA/rs2079196_profile_position.png",4,220,900)</f>
        <v/>
      </c>
    </row>
    <row r="2308">
      <c r="A2308" t="inlineStr">
        <is>
          <t>chr2</t>
        </is>
      </c>
      <c r="B2308" t="n">
        <v>200048521</v>
      </c>
      <c r="C2308" t="inlineStr">
        <is>
          <t>A</t>
        </is>
      </c>
      <c r="D2308" t="inlineStr">
        <is>
          <t>C</t>
        </is>
      </c>
      <c r="E2308" t="inlineStr">
        <is>
          <t>rs3115414</t>
        </is>
      </c>
      <c r="F2308" t="n">
        <v>0.0474434284</v>
      </c>
      <c r="G2308" t="n">
        <v>0.1614566021618005</v>
      </c>
      <c r="H2308" t="n">
        <v>0.0139041794595645</v>
      </c>
      <c r="I2308" t="n">
        <v>0.2934082404992076</v>
      </c>
      <c r="J2308" t="n">
        <v>0.0028983686205523</v>
      </c>
      <c r="K2308" t="n">
        <v>0.856906323884331</v>
      </c>
      <c r="L2308" t="b">
        <v>0</v>
      </c>
      <c r="M2308" t="b">
        <v>0</v>
      </c>
      <c r="N2308" t="inlineStr">
        <is>
          <t>alt</t>
        </is>
      </c>
      <c r="O2308" t="n">
        <v>90</v>
      </c>
      <c r="P2308" t="n">
        <v>0.003254</v>
      </c>
      <c r="Q2308" t="n">
        <v>45</v>
      </c>
      <c r="R2308" t="n">
        <v>0.06696000000000001</v>
      </c>
      <c r="S2308">
        <f>IMAGE("https://mitra.stanford.edu/kundaje/oak/projects/neuro-variants/variant_position/credible/roussos_2024/variant_figures/roussos_2024.childhood.GABA/rs3115414_count_position.png",4,220,900)</f>
        <v/>
      </c>
      <c r="T2308">
        <f>IMAGE("https://mitra.stanford.edu/kundaje/oak/projects/neuro-variants/variant_position/credible/roussos_2024/variant_figures/roussos_2024.childhood.GABA/rs3115414_profile_position.png",4,220,900)</f>
        <v/>
      </c>
    </row>
    <row r="2309">
      <c r="A2309" t="inlineStr">
        <is>
          <t>chr2</t>
        </is>
      </c>
      <c r="B2309" t="n">
        <v>200064808</v>
      </c>
      <c r="C2309" t="inlineStr">
        <is>
          <t>C</t>
        </is>
      </c>
      <c r="D2309" t="inlineStr">
        <is>
          <t>T</t>
        </is>
      </c>
      <c r="E2309" t="inlineStr">
        <is>
          <t>rs76568708</t>
        </is>
      </c>
      <c r="F2309" t="n">
        <v>0.0929932343999999</v>
      </c>
      <c r="G2309" t="n">
        <v>0.0410486559247295</v>
      </c>
      <c r="H2309" t="n">
        <v>0.0192848241644591</v>
      </c>
      <c r="I2309" t="n">
        <v>0.0872505773340326</v>
      </c>
      <c r="J2309" t="n">
        <v>0.0747418902221942</v>
      </c>
      <c r="K2309" t="n">
        <v>0.4150221382216494</v>
      </c>
      <c r="L2309" t="b">
        <v>0</v>
      </c>
      <c r="M2309" t="b">
        <v>0</v>
      </c>
      <c r="N2309" t="inlineStr">
        <is>
          <t>alt</t>
        </is>
      </c>
      <c r="O2309" t="n">
        <v>-55</v>
      </c>
      <c r="P2309" t="n">
        <v>0.00477</v>
      </c>
      <c r="Q2309" t="n">
        <v>-10</v>
      </c>
      <c r="R2309" t="n">
        <v>0.004883</v>
      </c>
      <c r="S2309">
        <f>IMAGE("https://mitra.stanford.edu/kundaje/oak/projects/neuro-variants/variant_position/credible/roussos_2024/variant_figures/roussos_2024.childhood.GABA/rs76568708_count_position.png",4,220,900)</f>
        <v/>
      </c>
      <c r="T2309">
        <f>IMAGE("https://mitra.stanford.edu/kundaje/oak/projects/neuro-variants/variant_position/credible/roussos_2024/variant_figures/roussos_2024.childhood.GABA/rs76568708_profile_position.png",4,220,900)</f>
        <v/>
      </c>
    </row>
    <row r="2310">
      <c r="A2310" t="inlineStr">
        <is>
          <t>chr2</t>
        </is>
      </c>
      <c r="B2310" t="n">
        <v>200104182</v>
      </c>
      <c r="C2310" t="inlineStr">
        <is>
          <t>G</t>
        </is>
      </c>
      <c r="D2310" t="inlineStr">
        <is>
          <t>A</t>
        </is>
      </c>
      <c r="E2310" t="inlineStr">
        <is>
          <t>rs10931887</t>
        </is>
      </c>
      <c r="F2310" t="n">
        <v>-0.0509671098999999</v>
      </c>
      <c r="G2310" t="n">
        <v>0.1707259278803237</v>
      </c>
      <c r="H2310" t="n">
        <v>0.0121564222867117</v>
      </c>
      <c r="I2310" t="n">
        <v>0.4173829802866264</v>
      </c>
      <c r="J2310" t="n">
        <v>0.07816380808778869</v>
      </c>
      <c r="K2310" t="n">
        <v>0.4018529076702515</v>
      </c>
      <c r="L2310" t="b">
        <v>0</v>
      </c>
      <c r="M2310" t="b">
        <v>0</v>
      </c>
      <c r="N2310" t="inlineStr">
        <is>
          <t>ref</t>
        </is>
      </c>
      <c r="O2310" t="n">
        <v>75</v>
      </c>
      <c r="P2310" t="n">
        <v>0.00206</v>
      </c>
      <c r="Q2310" t="n">
        <v>-70</v>
      </c>
      <c r="R2310" t="n">
        <v>0.03247</v>
      </c>
      <c r="S2310">
        <f>IMAGE("https://mitra.stanford.edu/kundaje/oak/projects/neuro-variants/variant_position/credible/roussos_2024/variant_figures/roussos_2024.childhood.GABA/rs10931887_count_position.png",4,220,900)</f>
        <v/>
      </c>
      <c r="T2310">
        <f>IMAGE("https://mitra.stanford.edu/kundaje/oak/projects/neuro-variants/variant_position/credible/roussos_2024/variant_figures/roussos_2024.childhood.GABA/rs10931887_profile_position.png",4,220,900)</f>
        <v/>
      </c>
    </row>
    <row r="2311">
      <c r="A2311" t="inlineStr">
        <is>
          <t>chr2</t>
        </is>
      </c>
      <c r="B2311" t="n">
        <v>200114365</v>
      </c>
      <c r="C2311" t="inlineStr">
        <is>
          <t>G</t>
        </is>
      </c>
      <c r="D2311" t="inlineStr">
        <is>
          <t>A</t>
        </is>
      </c>
      <c r="E2311" t="inlineStr">
        <is>
          <t>rs112403441</t>
        </is>
      </c>
      <c r="F2311" t="n">
        <v>-0.0542970424</v>
      </c>
      <c r="G2311" t="n">
        <v>0.132924898624644</v>
      </c>
      <c r="H2311" t="n">
        <v>0.0150061735368312</v>
      </c>
      <c r="I2311" t="n">
        <v>0.2252978805189019</v>
      </c>
      <c r="J2311" t="n">
        <v>0.0015538941592845</v>
      </c>
      <c r="K2311" t="n">
        <v>0.901275694504846</v>
      </c>
      <c r="L2311" t="b">
        <v>0</v>
      </c>
      <c r="M2311" t="b">
        <v>0</v>
      </c>
      <c r="N2311" t="inlineStr">
        <is>
          <t>ref</t>
        </is>
      </c>
      <c r="O2311" t="n">
        <v>-95</v>
      </c>
      <c r="P2311" t="n">
        <v>0.003517</v>
      </c>
      <c r="Q2311" t="n">
        <v>30</v>
      </c>
      <c r="R2311" t="n">
        <v>0.0348</v>
      </c>
      <c r="S2311">
        <f>IMAGE("https://mitra.stanford.edu/kundaje/oak/projects/neuro-variants/variant_position/credible/roussos_2024/variant_figures/roussos_2024.childhood.GABA/rs112403441_count_position.png",4,220,900)</f>
        <v/>
      </c>
      <c r="T2311">
        <f>IMAGE("https://mitra.stanford.edu/kundaje/oak/projects/neuro-variants/variant_position/credible/roussos_2024/variant_figures/roussos_2024.childhood.GABA/rs112403441_profile_position.png",4,220,900)</f>
        <v/>
      </c>
    </row>
    <row r="2312">
      <c r="A2312" t="inlineStr">
        <is>
          <t>chr2</t>
        </is>
      </c>
      <c r="B2312" t="n">
        <v>200141009</v>
      </c>
      <c r="C2312" t="inlineStr">
        <is>
          <t>G</t>
        </is>
      </c>
      <c r="D2312" t="inlineStr">
        <is>
          <t>A</t>
        </is>
      </c>
      <c r="E2312" t="inlineStr">
        <is>
          <t>rs74266489</t>
        </is>
      </c>
      <c r="F2312" t="n">
        <v>0.0036089320599999</v>
      </c>
      <c r="G2312" t="n">
        <v>0.7798601997496962</v>
      </c>
      <c r="H2312" t="n">
        <v>0.0282403306585432</v>
      </c>
      <c r="I2312" t="n">
        <v>0.0166147496333859</v>
      </c>
      <c r="J2312" t="n">
        <v>0.0095757156918179</v>
      </c>
      <c r="K2312" t="n">
        <v>0.7429716342501749</v>
      </c>
      <c r="L2312" t="b">
        <v>0</v>
      </c>
      <c r="M2312" t="b">
        <v>0</v>
      </c>
      <c r="N2312" t="inlineStr">
        <is>
          <t>alt</t>
        </is>
      </c>
      <c r="O2312" t="n">
        <v>-75</v>
      </c>
      <c r="P2312" t="n">
        <v>0.002087</v>
      </c>
      <c r="Q2312" t="n">
        <v>-45</v>
      </c>
      <c r="R2312" t="n">
        <v>0.03403</v>
      </c>
      <c r="S2312">
        <f>IMAGE("https://mitra.stanford.edu/kundaje/oak/projects/neuro-variants/variant_position/credible/roussos_2024/variant_figures/roussos_2024.childhood.GABA/rs74266489_count_position.png",4,220,900)</f>
        <v/>
      </c>
      <c r="T2312">
        <f>IMAGE("https://mitra.stanford.edu/kundaje/oak/projects/neuro-variants/variant_position/credible/roussos_2024/variant_figures/roussos_2024.childhood.GABA/rs74266489_profile_position.png",4,220,900)</f>
        <v/>
      </c>
    </row>
    <row r="2313">
      <c r="A2313" t="inlineStr">
        <is>
          <t>chr2</t>
        </is>
      </c>
      <c r="B2313" t="n">
        <v>200144413</v>
      </c>
      <c r="C2313" t="inlineStr">
        <is>
          <t>C</t>
        </is>
      </c>
      <c r="D2313" t="inlineStr">
        <is>
          <t>T</t>
        </is>
      </c>
      <c r="E2313" t="inlineStr">
        <is>
          <t>rs11684942</t>
        </is>
      </c>
      <c r="F2313" t="n">
        <v>-0.0353497636</v>
      </c>
      <c r="G2313" t="n">
        <v>0.2467152465167017</v>
      </c>
      <c r="H2313" t="n">
        <v>0.0136671886053345</v>
      </c>
      <c r="I2313" t="n">
        <v>0.3102896490317868</v>
      </c>
      <c r="J2313" t="n">
        <v>0.0920640405436534</v>
      </c>
      <c r="K2313" t="n">
        <v>0.3764555284370335</v>
      </c>
      <c r="L2313" t="b">
        <v>0</v>
      </c>
      <c r="M2313" t="b">
        <v>0</v>
      </c>
      <c r="N2313" t="inlineStr">
        <is>
          <t>ref</t>
        </is>
      </c>
      <c r="O2313" t="n">
        <v>5</v>
      </c>
      <c r="P2313" t="n">
        <v>0.0005226</v>
      </c>
      <c r="Q2313" t="n">
        <v>-75</v>
      </c>
      <c r="R2313" t="n">
        <v>0.05743</v>
      </c>
      <c r="S2313">
        <f>IMAGE("https://mitra.stanford.edu/kundaje/oak/projects/neuro-variants/variant_position/credible/roussos_2024/variant_figures/roussos_2024.childhood.GABA/rs11684942_count_position.png",4,220,900)</f>
        <v/>
      </c>
      <c r="T2313">
        <f>IMAGE("https://mitra.stanford.edu/kundaje/oak/projects/neuro-variants/variant_position/credible/roussos_2024/variant_figures/roussos_2024.childhood.GABA/rs11684942_profile_position.png",4,220,900)</f>
        <v/>
      </c>
    </row>
    <row r="2314">
      <c r="A2314" t="inlineStr">
        <is>
          <t>chr2</t>
        </is>
      </c>
      <c r="B2314" t="n">
        <v>200154353</v>
      </c>
      <c r="C2314" t="inlineStr">
        <is>
          <t>G</t>
        </is>
      </c>
      <c r="D2314" t="inlineStr">
        <is>
          <t>A</t>
        </is>
      </c>
      <c r="E2314" t="inlineStr">
        <is>
          <t>rs72932296</t>
        </is>
      </c>
      <c r="F2314" t="n">
        <v>-0.009672503159999899</v>
      </c>
      <c r="G2314" t="n">
        <v>0.5227654352925013</v>
      </c>
      <c r="H2314" t="n">
        <v>0.0086326666510984</v>
      </c>
      <c r="I2314" t="n">
        <v>0.798721338637004</v>
      </c>
      <c r="J2314" t="n">
        <v>0.1199953927666435</v>
      </c>
      <c r="K2314" t="n">
        <v>0.3212247981130917</v>
      </c>
      <c r="L2314" t="b">
        <v>0</v>
      </c>
      <c r="M2314" t="b">
        <v>0</v>
      </c>
      <c r="N2314" t="inlineStr">
        <is>
          <t>ref</t>
        </is>
      </c>
      <c r="O2314" t="n">
        <v>-45</v>
      </c>
      <c r="P2314" t="n">
        <v>0.02895</v>
      </c>
      <c r="Q2314" t="n">
        <v>100</v>
      </c>
      <c r="R2314" t="n">
        <v>0.1318</v>
      </c>
      <c r="S2314">
        <f>IMAGE("https://mitra.stanford.edu/kundaje/oak/projects/neuro-variants/variant_position/credible/roussos_2024/variant_figures/roussos_2024.childhood.GABA/rs72932296_count_position.png",4,220,900)</f>
        <v/>
      </c>
      <c r="T2314">
        <f>IMAGE("https://mitra.stanford.edu/kundaje/oak/projects/neuro-variants/variant_position/credible/roussos_2024/variant_figures/roussos_2024.childhood.GABA/rs72932296_profile_position.png",4,220,900)</f>
        <v/>
      </c>
    </row>
    <row r="2315">
      <c r="A2315" t="inlineStr">
        <is>
          <t>chr2</t>
        </is>
      </c>
      <c r="B2315" t="n">
        <v>200159789</v>
      </c>
      <c r="C2315" t="inlineStr">
        <is>
          <t>T</t>
        </is>
      </c>
      <c r="D2315" t="inlineStr">
        <is>
          <t>C</t>
        </is>
      </c>
      <c r="E2315" t="inlineStr">
        <is>
          <t>rs1569178</t>
        </is>
      </c>
      <c r="F2315" t="n">
        <v>-0.0522337832</v>
      </c>
      <c r="G2315" t="n">
        <v>0.1364508509829921</v>
      </c>
      <c r="H2315" t="n">
        <v>0.0196730957092288</v>
      </c>
      <c r="I2315" t="n">
        <v>0.08347922618793679</v>
      </c>
      <c r="J2315" t="n">
        <v>0.1745733073652907</v>
      </c>
      <c r="K2315" t="n">
        <v>0.2457932552580461</v>
      </c>
      <c r="L2315" t="b">
        <v>0</v>
      </c>
      <c r="M2315" t="b">
        <v>0</v>
      </c>
      <c r="N2315" t="inlineStr">
        <is>
          <t>ref</t>
        </is>
      </c>
      <c r="O2315" t="n">
        <v>35</v>
      </c>
      <c r="P2315" t="n">
        <v>0.001999</v>
      </c>
      <c r="Q2315" t="n">
        <v>35</v>
      </c>
      <c r="R2315" t="n">
        <v>0.03784</v>
      </c>
      <c r="S2315">
        <f>IMAGE("https://mitra.stanford.edu/kundaje/oak/projects/neuro-variants/variant_position/credible/roussos_2024/variant_figures/roussos_2024.childhood.GABA/rs1569178_count_position.png",4,220,900)</f>
        <v/>
      </c>
      <c r="T2315">
        <f>IMAGE("https://mitra.stanford.edu/kundaje/oak/projects/neuro-variants/variant_position/credible/roussos_2024/variant_figures/roussos_2024.childhood.GABA/rs1569178_profile_position.png",4,220,900)</f>
        <v/>
      </c>
    </row>
    <row r="2316">
      <c r="A2316" t="inlineStr">
        <is>
          <t>chr2</t>
        </is>
      </c>
      <c r="B2316" t="n">
        <v>200176258</v>
      </c>
      <c r="C2316" t="inlineStr">
        <is>
          <t>C</t>
        </is>
      </c>
      <c r="D2316" t="inlineStr">
        <is>
          <t>T</t>
        </is>
      </c>
      <c r="E2316" t="inlineStr">
        <is>
          <t>rs11679676</t>
        </is>
      </c>
      <c r="F2316" t="n">
        <v>-0.08709968880000001</v>
      </c>
      <c r="G2316" t="n">
        <v>0.04178505244878</v>
      </c>
      <c r="H2316" t="n">
        <v>0.0169270524445593</v>
      </c>
      <c r="I2316" t="n">
        <v>0.1444371532540563</v>
      </c>
      <c r="J2316" t="n">
        <v>0.06561119138866189</v>
      </c>
      <c r="K2316" t="n">
        <v>0.4656378782786922</v>
      </c>
      <c r="L2316" t="b">
        <v>0</v>
      </c>
      <c r="M2316" t="b">
        <v>0</v>
      </c>
      <c r="N2316" t="inlineStr">
        <is>
          <t>ref</t>
        </is>
      </c>
      <c r="O2316" t="n">
        <v>-35</v>
      </c>
      <c r="P2316" t="n">
        <v>0.0006695</v>
      </c>
      <c r="Q2316" t="n">
        <v>5</v>
      </c>
      <c r="R2316" t="n">
        <v>0.00354</v>
      </c>
      <c r="S2316">
        <f>IMAGE("https://mitra.stanford.edu/kundaje/oak/projects/neuro-variants/variant_position/credible/roussos_2024/variant_figures/roussos_2024.childhood.GABA/rs11679676_count_position.png",4,220,900)</f>
        <v/>
      </c>
      <c r="T2316">
        <f>IMAGE("https://mitra.stanford.edu/kundaje/oak/projects/neuro-variants/variant_position/credible/roussos_2024/variant_figures/roussos_2024.childhood.GABA/rs11679676_profile_position.png",4,220,900)</f>
        <v/>
      </c>
    </row>
    <row r="2317">
      <c r="A2317" t="inlineStr">
        <is>
          <t>chr2</t>
        </is>
      </c>
      <c r="B2317" t="n">
        <v>200184663</v>
      </c>
      <c r="C2317" t="inlineStr">
        <is>
          <t>A</t>
        </is>
      </c>
      <c r="D2317" t="inlineStr">
        <is>
          <t>G</t>
        </is>
      </c>
      <c r="E2317" t="inlineStr">
        <is>
          <t>rs55906940</t>
        </is>
      </c>
      <c r="F2317" t="n">
        <v>0.0006888014399999</v>
      </c>
      <c r="G2317" t="n">
        <v>0.8427589415740643</v>
      </c>
      <c r="H2317" t="n">
        <v>0.0235273878251734</v>
      </c>
      <c r="I2317" t="n">
        <v>0.0373129087384751</v>
      </c>
      <c r="J2317" t="n">
        <v>0.0971916818495947</v>
      </c>
      <c r="K2317" t="n">
        <v>0.3707681026397481</v>
      </c>
      <c r="L2317" t="b">
        <v>0</v>
      </c>
      <c r="M2317" t="b">
        <v>0</v>
      </c>
      <c r="N2317" t="inlineStr">
        <is>
          <t>alt</t>
        </is>
      </c>
      <c r="O2317" t="n">
        <v>-55</v>
      </c>
      <c r="P2317" t="n">
        <v>0.01872</v>
      </c>
      <c r="Q2317" t="n">
        <v>90</v>
      </c>
      <c r="R2317" t="n">
        <v>0.1349</v>
      </c>
      <c r="S2317">
        <f>IMAGE("https://mitra.stanford.edu/kundaje/oak/projects/neuro-variants/variant_position/credible/roussos_2024/variant_figures/roussos_2024.childhood.GABA/rs55906940_count_position.png",4,220,900)</f>
        <v/>
      </c>
      <c r="T2317">
        <f>IMAGE("https://mitra.stanford.edu/kundaje/oak/projects/neuro-variants/variant_position/credible/roussos_2024/variant_figures/roussos_2024.childhood.GABA/rs55906940_profile_position.png",4,220,900)</f>
        <v/>
      </c>
    </row>
    <row r="2318">
      <c r="A2318" t="inlineStr">
        <is>
          <t>chr2</t>
        </is>
      </c>
      <c r="B2318" t="n">
        <v>200206248</v>
      </c>
      <c r="C2318" t="inlineStr">
        <is>
          <t>C</t>
        </is>
      </c>
      <c r="D2318" t="inlineStr">
        <is>
          <t>T</t>
        </is>
      </c>
      <c r="E2318" t="inlineStr">
        <is>
          <t>rs149828043</t>
        </is>
      </c>
      <c r="F2318" t="n">
        <v>0.01364858826</v>
      </c>
      <c r="G2318" t="n">
        <v>0.531016980429166</v>
      </c>
      <c r="H2318" t="n">
        <v>0.0201168290895649</v>
      </c>
      <c r="I2318" t="n">
        <v>0.0728382244019419</v>
      </c>
      <c r="J2318" t="n">
        <v>0.0003361186153169</v>
      </c>
      <c r="K2318" t="n">
        <v>0.947583284023602</v>
      </c>
      <c r="L2318" t="b">
        <v>0</v>
      </c>
      <c r="M2318" t="b">
        <v>0</v>
      </c>
      <c r="N2318" t="inlineStr">
        <is>
          <t>alt</t>
        </is>
      </c>
      <c r="O2318" t="n">
        <v>50</v>
      </c>
      <c r="P2318" t="n">
        <v>0.002396</v>
      </c>
      <c r="Q2318" t="n">
        <v>100</v>
      </c>
      <c r="R2318" t="n">
        <v>0.0781</v>
      </c>
      <c r="S2318">
        <f>IMAGE("https://mitra.stanford.edu/kundaje/oak/projects/neuro-variants/variant_position/credible/roussos_2024/variant_figures/roussos_2024.childhood.GABA/rs149828043_count_position.png",4,220,900)</f>
        <v/>
      </c>
      <c r="T2318">
        <f>IMAGE("https://mitra.stanford.edu/kundaje/oak/projects/neuro-variants/variant_position/credible/roussos_2024/variant_figures/roussos_2024.childhood.GABA/rs149828043_profile_position.png",4,220,900)</f>
        <v/>
      </c>
    </row>
    <row r="2319">
      <c r="A2319" t="inlineStr">
        <is>
          <t>chr2</t>
        </is>
      </c>
      <c r="B2319" t="n">
        <v>200252130</v>
      </c>
      <c r="C2319" t="inlineStr">
        <is>
          <t>A</t>
        </is>
      </c>
      <c r="D2319" t="inlineStr">
        <is>
          <t>G</t>
        </is>
      </c>
      <c r="E2319" t="inlineStr">
        <is>
          <t>rs77089299</t>
        </is>
      </c>
      <c r="F2319" t="n">
        <v>0.0003070216</v>
      </c>
      <c r="G2319" t="n">
        <v>0.7908604072696646</v>
      </c>
      <c r="H2319" t="n">
        <v>0.0222488944574924</v>
      </c>
      <c r="I2319" t="n">
        <v>0.048610151966119</v>
      </c>
      <c r="J2319" t="n">
        <v>0.08761073066532631</v>
      </c>
      <c r="K2319" t="n">
        <v>0.3749708740158661</v>
      </c>
      <c r="L2319" t="b">
        <v>0</v>
      </c>
      <c r="M2319" t="b">
        <v>0</v>
      </c>
      <c r="N2319" t="inlineStr">
        <is>
          <t>alt</t>
        </is>
      </c>
      <c r="O2319" t="n">
        <v>40</v>
      </c>
      <c r="P2319" t="n">
        <v>0.00482</v>
      </c>
      <c r="Q2319" t="n">
        <v>-25</v>
      </c>
      <c r="R2319" t="n">
        <v>0.03021</v>
      </c>
      <c r="S2319">
        <f>IMAGE("https://mitra.stanford.edu/kundaje/oak/projects/neuro-variants/variant_position/credible/roussos_2024/variant_figures/roussos_2024.childhood.GABA/rs77089299_count_position.png",4,220,900)</f>
        <v/>
      </c>
      <c r="T2319">
        <f>IMAGE("https://mitra.stanford.edu/kundaje/oak/projects/neuro-variants/variant_position/credible/roussos_2024/variant_figures/roussos_2024.childhood.GABA/rs77089299_profile_position.png",4,220,900)</f>
        <v/>
      </c>
    </row>
    <row r="2320">
      <c r="A2320" t="inlineStr">
        <is>
          <t>chr2</t>
        </is>
      </c>
      <c r="B2320" t="n">
        <v>200278008</v>
      </c>
      <c r="C2320" t="inlineStr">
        <is>
          <t>G</t>
        </is>
      </c>
      <c r="D2320" t="inlineStr">
        <is>
          <t>A</t>
        </is>
      </c>
      <c r="E2320" t="inlineStr">
        <is>
          <t>rs66621598</t>
        </is>
      </c>
      <c r="F2320" t="n">
        <v>0.041223681</v>
      </c>
      <c r="G2320" t="n">
        <v>0.2226848112894106</v>
      </c>
      <c r="H2320" t="n">
        <v>0.0111688673423317</v>
      </c>
      <c r="I2320" t="n">
        <v>0.4751578287443527</v>
      </c>
      <c r="J2320" t="n">
        <v>0.0189828485267323</v>
      </c>
      <c r="K2320" t="n">
        <v>0.6693880604402422</v>
      </c>
      <c r="L2320" t="b">
        <v>0</v>
      </c>
      <c r="M2320" t="b">
        <v>0</v>
      </c>
      <c r="N2320" t="inlineStr">
        <is>
          <t>alt</t>
        </is>
      </c>
      <c r="O2320" t="n">
        <v>-100</v>
      </c>
      <c r="P2320" t="n">
        <v>0.003595</v>
      </c>
      <c r="Q2320" t="n">
        <v>100</v>
      </c>
      <c r="R2320" t="n">
        <v>0.06909999999999999</v>
      </c>
      <c r="S2320">
        <f>IMAGE("https://mitra.stanford.edu/kundaje/oak/projects/neuro-variants/variant_position/credible/roussos_2024/variant_figures/roussos_2024.childhood.GABA/rs66621598_count_position.png",4,220,900)</f>
        <v/>
      </c>
      <c r="T2320">
        <f>IMAGE("https://mitra.stanford.edu/kundaje/oak/projects/neuro-variants/variant_position/credible/roussos_2024/variant_figures/roussos_2024.childhood.GABA/rs66621598_profile_position.png",4,220,900)</f>
        <v/>
      </c>
    </row>
    <row r="2321">
      <c r="A2321" t="inlineStr">
        <is>
          <t>chr2</t>
        </is>
      </c>
      <c r="B2321" t="n">
        <v>200278601</v>
      </c>
      <c r="C2321" t="inlineStr">
        <is>
          <t>T</t>
        </is>
      </c>
      <c r="D2321" t="inlineStr">
        <is>
          <t>C</t>
        </is>
      </c>
      <c r="E2321" t="inlineStr">
        <is>
          <t>rs4673871</t>
        </is>
      </c>
      <c r="F2321" t="n">
        <v>-0.02789238652</v>
      </c>
      <c r="G2321" t="n">
        <v>0.3564118016817154</v>
      </c>
      <c r="H2321" t="n">
        <v>0.0328085968717507</v>
      </c>
      <c r="I2321" t="n">
        <v>0.0087292517955103</v>
      </c>
      <c r="J2321" t="n">
        <v>0.0759146405310883</v>
      </c>
      <c r="K2321" t="n">
        <v>0.421838391143477</v>
      </c>
      <c r="L2321" t="b">
        <v>1</v>
      </c>
      <c r="M2321" t="b">
        <v>1</v>
      </c>
      <c r="N2321" t="inlineStr">
        <is>
          <t>ref</t>
        </is>
      </c>
      <c r="O2321" t="n">
        <v>25</v>
      </c>
      <c r="P2321" t="n">
        <v>0.001602</v>
      </c>
      <c r="Q2321" t="n">
        <v>85</v>
      </c>
      <c r="R2321" t="n">
        <v>0.12177</v>
      </c>
      <c r="S2321">
        <f>IMAGE("https://mitra.stanford.edu/kundaje/oak/projects/neuro-variants/variant_position/credible/roussos_2024/variant_figures/roussos_2024.childhood.GABA/rs4673871_count_position.png",4,220,900)</f>
        <v/>
      </c>
      <c r="T2321">
        <f>IMAGE("https://mitra.stanford.edu/kundaje/oak/projects/neuro-variants/variant_position/credible/roussos_2024/variant_figures/roussos_2024.childhood.GABA/rs4673871_profile_position.png",4,220,900)</f>
        <v/>
      </c>
    </row>
    <row r="2322">
      <c r="A2322" t="inlineStr">
        <is>
          <t>chr2</t>
        </is>
      </c>
      <c r="B2322" t="n">
        <v>200278686</v>
      </c>
      <c r="C2322" t="inlineStr">
        <is>
          <t>T</t>
        </is>
      </c>
      <c r="D2322" t="inlineStr">
        <is>
          <t>C</t>
        </is>
      </c>
      <c r="E2322" t="inlineStr">
        <is>
          <t>rs11688415</t>
        </is>
      </c>
      <c r="F2322" t="n">
        <v>-0.08464524259999991</v>
      </c>
      <c r="G2322" t="n">
        <v>0.0491054737939911</v>
      </c>
      <c r="H2322" t="n">
        <v>0.0244487613335922</v>
      </c>
      <c r="I2322" t="n">
        <v>0.0328144144107196</v>
      </c>
      <c r="J2322" t="n">
        <v>0.0846097463927456</v>
      </c>
      <c r="K2322" t="n">
        <v>0.3987107626466579</v>
      </c>
      <c r="L2322" t="b">
        <v>0</v>
      </c>
      <c r="M2322" t="b">
        <v>0</v>
      </c>
      <c r="N2322" t="inlineStr">
        <is>
          <t>ref</t>
        </is>
      </c>
      <c r="O2322" t="n">
        <v>-60</v>
      </c>
      <c r="P2322" t="n">
        <v>0.00631</v>
      </c>
      <c r="Q2322" t="n">
        <v>85</v>
      </c>
      <c r="R2322" t="n">
        <v>0.05872</v>
      </c>
      <c r="S2322">
        <f>IMAGE("https://mitra.stanford.edu/kundaje/oak/projects/neuro-variants/variant_position/credible/roussos_2024/variant_figures/roussos_2024.childhood.GABA/rs11688415_count_position.png",4,220,900)</f>
        <v/>
      </c>
      <c r="T2322">
        <f>IMAGE("https://mitra.stanford.edu/kundaje/oak/projects/neuro-variants/variant_position/credible/roussos_2024/variant_figures/roussos_2024.childhood.GABA/rs11688415_profile_position.png",4,220,900)</f>
        <v/>
      </c>
    </row>
    <row r="2323">
      <c r="A2323" t="inlineStr">
        <is>
          <t>chr2</t>
        </is>
      </c>
      <c r="B2323" t="n">
        <v>200279387</v>
      </c>
      <c r="C2323" t="inlineStr">
        <is>
          <t>C</t>
        </is>
      </c>
      <c r="D2323" t="inlineStr">
        <is>
          <t>T</t>
        </is>
      </c>
      <c r="E2323" t="inlineStr">
        <is>
          <t>rs55826210</t>
        </is>
      </c>
      <c r="F2323" t="n">
        <v>-0.0094030727199999</v>
      </c>
      <c r="G2323" t="n">
        <v>0.6758614493835674</v>
      </c>
      <c r="H2323" t="n">
        <v>0.0090648496891857</v>
      </c>
      <c r="I2323" t="n">
        <v>0.7447737349360081</v>
      </c>
      <c r="J2323" t="n">
        <v>0.0225094762413352</v>
      </c>
      <c r="K2323" t="n">
        <v>0.6288011137202512</v>
      </c>
      <c r="L2323" t="b">
        <v>0</v>
      </c>
      <c r="M2323" t="b">
        <v>0</v>
      </c>
      <c r="N2323" t="inlineStr">
        <is>
          <t>ref</t>
        </is>
      </c>
      <c r="O2323" t="n">
        <v>-55</v>
      </c>
      <c r="P2323" t="n">
        <v>0.001587</v>
      </c>
      <c r="Q2323" t="n">
        <v>100</v>
      </c>
      <c r="R2323" t="n">
        <v>0.1263</v>
      </c>
      <c r="S2323">
        <f>IMAGE("https://mitra.stanford.edu/kundaje/oak/projects/neuro-variants/variant_position/credible/roussos_2024/variant_figures/roussos_2024.childhood.GABA/rs55826210_count_position.png",4,220,900)</f>
        <v/>
      </c>
      <c r="T2323">
        <f>IMAGE("https://mitra.stanford.edu/kundaje/oak/projects/neuro-variants/variant_position/credible/roussos_2024/variant_figures/roussos_2024.childhood.GABA/rs55826210_profile_position.png",4,220,900)</f>
        <v/>
      </c>
    </row>
    <row r="2324">
      <c r="A2324" t="inlineStr">
        <is>
          <t>chr2</t>
        </is>
      </c>
      <c r="B2324" t="n">
        <v>200285346</v>
      </c>
      <c r="C2324" t="inlineStr">
        <is>
          <t>A</t>
        </is>
      </c>
      <c r="D2324" t="inlineStr">
        <is>
          <t>C</t>
        </is>
      </c>
      <c r="E2324" t="inlineStr">
        <is>
          <t>rs1436162</t>
        </is>
      </c>
      <c r="F2324" t="n">
        <v>-0.0050433610399999</v>
      </c>
      <c r="G2324" t="n">
        <v>0.712606488753227</v>
      </c>
      <c r="H2324" t="n">
        <v>0.024757962947178</v>
      </c>
      <c r="I2324" t="n">
        <v>0.0304205898721446</v>
      </c>
      <c r="J2324" t="n">
        <v>0.0489529015099159</v>
      </c>
      <c r="K2324" t="n">
        <v>0.4994375490874482</v>
      </c>
      <c r="L2324" t="b">
        <v>0</v>
      </c>
      <c r="M2324" t="b">
        <v>0</v>
      </c>
      <c r="N2324" t="inlineStr">
        <is>
          <t>ref</t>
        </is>
      </c>
      <c r="O2324" t="n">
        <v>100</v>
      </c>
      <c r="P2324" t="n">
        <v>0.006912</v>
      </c>
      <c r="Q2324" t="n">
        <v>-100</v>
      </c>
      <c r="R2324" t="n">
        <v>0.1873</v>
      </c>
      <c r="S2324">
        <f>IMAGE("https://mitra.stanford.edu/kundaje/oak/projects/neuro-variants/variant_position/credible/roussos_2024/variant_figures/roussos_2024.childhood.GABA/rs1436162_count_position.png",4,220,900)</f>
        <v/>
      </c>
      <c r="T2324">
        <f>IMAGE("https://mitra.stanford.edu/kundaje/oak/projects/neuro-variants/variant_position/credible/roussos_2024/variant_figures/roussos_2024.childhood.GABA/rs1436162_profile_position.png",4,220,900)</f>
        <v/>
      </c>
    </row>
    <row r="2325">
      <c r="A2325" t="inlineStr">
        <is>
          <t>chr2</t>
        </is>
      </c>
      <c r="B2325" t="n">
        <v>200308897</v>
      </c>
      <c r="C2325" t="inlineStr">
        <is>
          <t>A</t>
        </is>
      </c>
      <c r="D2325" t="inlineStr">
        <is>
          <t>G</t>
        </is>
      </c>
      <c r="E2325" t="inlineStr">
        <is>
          <t>rs3769481</t>
        </is>
      </c>
      <c r="F2325" t="n">
        <v>-0.1316749232</v>
      </c>
      <c r="G2325" t="n">
        <v>0.016975838530593</v>
      </c>
      <c r="H2325" t="n">
        <v>0.035638103251491</v>
      </c>
      <c r="I2325" t="n">
        <v>0.0135128709682332</v>
      </c>
      <c r="J2325" t="n">
        <v>0.2852558061611274</v>
      </c>
      <c r="K2325" t="n">
        <v>0.1466518986002944</v>
      </c>
      <c r="L2325" t="b">
        <v>1</v>
      </c>
      <c r="M2325" t="b">
        <v>0</v>
      </c>
      <c r="N2325" t="inlineStr">
        <is>
          <t>ref</t>
        </is>
      </c>
      <c r="O2325" t="n">
        <v>-85</v>
      </c>
      <c r="P2325" t="n">
        <v>0.02014</v>
      </c>
      <c r="Q2325" t="n">
        <v>70</v>
      </c>
      <c r="R2325" t="n">
        <v>0.10254</v>
      </c>
      <c r="S2325">
        <f>IMAGE("https://mitra.stanford.edu/kundaje/oak/projects/neuro-variants/variant_position/credible/roussos_2024/variant_figures/roussos_2024.childhood.GABA/rs3769481_count_position.png",4,220,900)</f>
        <v/>
      </c>
      <c r="T2325">
        <f>IMAGE("https://mitra.stanford.edu/kundaje/oak/projects/neuro-variants/variant_position/credible/roussos_2024/variant_figures/roussos_2024.childhood.GABA/rs3769481_profile_position.png",4,220,900)</f>
        <v/>
      </c>
    </row>
    <row r="2326">
      <c r="A2326" t="inlineStr">
        <is>
          <t>chr2</t>
        </is>
      </c>
      <c r="B2326" t="n">
        <v>200311348</v>
      </c>
      <c r="C2326" t="inlineStr">
        <is>
          <t>C</t>
        </is>
      </c>
      <c r="D2326" t="inlineStr">
        <is>
          <t>T</t>
        </is>
      </c>
      <c r="E2326" t="inlineStr">
        <is>
          <t>rs17592552</t>
        </is>
      </c>
      <c r="F2326" t="n">
        <v>-0.092453673</v>
      </c>
      <c r="G2326" t="n">
        <v>0.0384649379092595</v>
      </c>
      <c r="H2326" t="n">
        <v>0.0175544290647325</v>
      </c>
      <c r="I2326" t="n">
        <v>0.1257695356113522</v>
      </c>
      <c r="J2326" t="n">
        <v>0.144040962492932</v>
      </c>
      <c r="K2326" t="n">
        <v>0.2785430354626081</v>
      </c>
      <c r="L2326" t="b">
        <v>0</v>
      </c>
      <c r="M2326" t="b">
        <v>0</v>
      </c>
      <c r="N2326" t="inlineStr">
        <is>
          <t>ref</t>
        </is>
      </c>
      <c r="O2326" t="n">
        <v>-60</v>
      </c>
      <c r="P2326" t="n">
        <v>0.001709</v>
      </c>
      <c r="Q2326" t="n">
        <v>25</v>
      </c>
      <c r="R2326" t="n">
        <v>0.04297</v>
      </c>
      <c r="S2326">
        <f>IMAGE("https://mitra.stanford.edu/kundaje/oak/projects/neuro-variants/variant_position/credible/roussos_2024/variant_figures/roussos_2024.childhood.GABA/rs17592552_count_position.png",4,220,900)</f>
        <v/>
      </c>
      <c r="T2326">
        <f>IMAGE("https://mitra.stanford.edu/kundaje/oak/projects/neuro-variants/variant_position/credible/roussos_2024/variant_figures/roussos_2024.childhood.GABA/rs17592552_profile_position.png",4,220,900)</f>
        <v/>
      </c>
    </row>
    <row r="2327">
      <c r="A2327" t="inlineStr">
        <is>
          <t>chr2</t>
        </is>
      </c>
      <c r="B2327" t="n">
        <v>200317342</v>
      </c>
      <c r="C2327" t="inlineStr">
        <is>
          <t>C</t>
        </is>
      </c>
      <c r="D2327" t="inlineStr">
        <is>
          <t>T</t>
        </is>
      </c>
      <c r="E2327" t="inlineStr">
        <is>
          <t>rs67067836</t>
        </is>
      </c>
      <c r="F2327" t="n">
        <v>0.0027395809999999</v>
      </c>
      <c r="G2327" t="n">
        <v>0.3314128820343625</v>
      </c>
      <c r="H2327" t="n">
        <v>0.0153098310587876</v>
      </c>
      <c r="I2327" t="n">
        <v>0.2130080352150389</v>
      </c>
      <c r="J2327" t="n">
        <v>0.0235848463906514</v>
      </c>
      <c r="K2327" t="n">
        <v>0.627520061645371</v>
      </c>
      <c r="L2327" t="b">
        <v>0</v>
      </c>
      <c r="M2327" t="b">
        <v>0</v>
      </c>
      <c r="N2327" t="inlineStr">
        <is>
          <t>alt</t>
        </is>
      </c>
      <c r="O2327" t="n">
        <v>-45</v>
      </c>
      <c r="P2327" t="n">
        <v>0.002848</v>
      </c>
      <c r="Q2327" t="n">
        <v>-50</v>
      </c>
      <c r="R2327" t="n">
        <v>0.02777</v>
      </c>
      <c r="S2327">
        <f>IMAGE("https://mitra.stanford.edu/kundaje/oak/projects/neuro-variants/variant_position/credible/roussos_2024/variant_figures/roussos_2024.childhood.GABA/rs67067836_count_position.png",4,220,900)</f>
        <v/>
      </c>
      <c r="T2327">
        <f>IMAGE("https://mitra.stanford.edu/kundaje/oak/projects/neuro-variants/variant_position/credible/roussos_2024/variant_figures/roussos_2024.childhood.GABA/rs67067836_profile_position.png",4,220,900)</f>
        <v/>
      </c>
    </row>
    <row r="2328">
      <c r="A2328" t="inlineStr">
        <is>
          <t>chr2</t>
        </is>
      </c>
      <c r="B2328" t="n">
        <v>200322935</v>
      </c>
      <c r="C2328" t="inlineStr">
        <is>
          <t>A</t>
        </is>
      </c>
      <c r="D2328" t="inlineStr">
        <is>
          <t>G</t>
        </is>
      </c>
      <c r="E2328" t="inlineStr">
        <is>
          <t>rs3769474</t>
        </is>
      </c>
      <c r="F2328" t="n">
        <v>-0.0617936228</v>
      </c>
      <c r="G2328" t="n">
        <v>0.1098264690367732</v>
      </c>
      <c r="H2328" t="n">
        <v>0.0148764968336427</v>
      </c>
      <c r="I2328" t="n">
        <v>0.231592047107094</v>
      </c>
      <c r="J2328" t="n">
        <v>0.009952671148248099</v>
      </c>
      <c r="K2328" t="n">
        <v>0.7488996163160584</v>
      </c>
      <c r="L2328" t="b">
        <v>0</v>
      </c>
      <c r="M2328" t="b">
        <v>0</v>
      </c>
      <c r="N2328" t="inlineStr">
        <is>
          <t>ref</t>
        </is>
      </c>
      <c r="O2328" t="n">
        <v>-55</v>
      </c>
      <c r="P2328" t="n">
        <v>0.005898</v>
      </c>
      <c r="Q2328" t="n">
        <v>-5</v>
      </c>
      <c r="R2328" t="n">
        <v>0.009155</v>
      </c>
      <c r="S2328">
        <f>IMAGE("https://mitra.stanford.edu/kundaje/oak/projects/neuro-variants/variant_position/credible/roussos_2024/variant_figures/roussos_2024.childhood.GABA/rs3769474_count_position.png",4,220,900)</f>
        <v/>
      </c>
      <c r="T2328">
        <f>IMAGE("https://mitra.stanford.edu/kundaje/oak/projects/neuro-variants/variant_position/credible/roussos_2024/variant_figures/roussos_2024.childhood.GABA/rs3769474_profile_position.png",4,220,900)</f>
        <v/>
      </c>
    </row>
    <row r="2329">
      <c r="A2329" t="inlineStr">
        <is>
          <t>chr2</t>
        </is>
      </c>
      <c r="B2329" t="n">
        <v>200362466</v>
      </c>
      <c r="C2329" t="inlineStr">
        <is>
          <t>A</t>
        </is>
      </c>
      <c r="D2329" t="inlineStr">
        <is>
          <t>G</t>
        </is>
      </c>
      <c r="E2329" t="inlineStr">
        <is>
          <t>rs295127</t>
        </is>
      </c>
      <c r="F2329" t="n">
        <v>-0.0292912084</v>
      </c>
      <c r="G2329" t="n">
        <v>0.3301685207330039</v>
      </c>
      <c r="H2329" t="n">
        <v>0.0194666238042295</v>
      </c>
      <c r="I2329" t="n">
        <v>0.08480852820215699</v>
      </c>
      <c r="J2329" t="n">
        <v>0.0316129505141252</v>
      </c>
      <c r="K2329" t="n">
        <v>0.5759475100102099</v>
      </c>
      <c r="L2329" t="b">
        <v>0</v>
      </c>
      <c r="M2329" t="b">
        <v>0</v>
      </c>
      <c r="N2329" t="inlineStr">
        <is>
          <t>ref</t>
        </is>
      </c>
      <c r="O2329" t="n">
        <v>95</v>
      </c>
      <c r="P2329" t="n">
        <v>0.005283</v>
      </c>
      <c r="Q2329" t="n">
        <v>-70</v>
      </c>
      <c r="R2329" t="n">
        <v>0.1489</v>
      </c>
      <c r="S2329">
        <f>IMAGE("https://mitra.stanford.edu/kundaje/oak/projects/neuro-variants/variant_position/credible/roussos_2024/variant_figures/roussos_2024.childhood.GABA/rs295127_count_position.png",4,220,900)</f>
        <v/>
      </c>
      <c r="T2329">
        <f>IMAGE("https://mitra.stanford.edu/kundaje/oak/projects/neuro-variants/variant_position/credible/roussos_2024/variant_figures/roussos_2024.childhood.GABA/rs295127_profile_position.png",4,220,900)</f>
        <v/>
      </c>
    </row>
    <row r="2330">
      <c r="A2330" t="inlineStr">
        <is>
          <t>chr2</t>
        </is>
      </c>
      <c r="B2330" t="n">
        <v>200364340</v>
      </c>
      <c r="C2330" t="inlineStr">
        <is>
          <t>G</t>
        </is>
      </c>
      <c r="D2330" t="inlineStr">
        <is>
          <t>A</t>
        </is>
      </c>
      <c r="E2330" t="inlineStr">
        <is>
          <t>rs78412932</t>
        </is>
      </c>
      <c r="F2330" t="n">
        <v>0.01698322658</v>
      </c>
      <c r="G2330" t="n">
        <v>0.2605955517650505</v>
      </c>
      <c r="H2330" t="n">
        <v>0.0224644814514401</v>
      </c>
      <c r="I2330" t="n">
        <v>0.0472401228766284</v>
      </c>
      <c r="J2330" t="n">
        <v>0.0977225607840673</v>
      </c>
      <c r="K2330" t="n">
        <v>0.3674602875610808</v>
      </c>
      <c r="L2330" t="b">
        <v>0</v>
      </c>
      <c r="M2330" t="b">
        <v>0</v>
      </c>
      <c r="N2330" t="inlineStr">
        <is>
          <t>alt</t>
        </is>
      </c>
      <c r="O2330" t="n">
        <v>20</v>
      </c>
      <c r="P2330" t="n">
        <v>0.001648</v>
      </c>
      <c r="Q2330" t="n">
        <v>35</v>
      </c>
      <c r="R2330" t="n">
        <v>0.03906</v>
      </c>
      <c r="S2330">
        <f>IMAGE("https://mitra.stanford.edu/kundaje/oak/projects/neuro-variants/variant_position/credible/roussos_2024/variant_figures/roussos_2024.childhood.GABA/rs78412932_count_position.png",4,220,900)</f>
        <v/>
      </c>
      <c r="T2330">
        <f>IMAGE("https://mitra.stanford.edu/kundaje/oak/projects/neuro-variants/variant_position/credible/roussos_2024/variant_figures/roussos_2024.childhood.GABA/rs78412932_profile_position.png",4,220,900)</f>
        <v/>
      </c>
    </row>
    <row r="2331">
      <c r="A2331" t="inlineStr">
        <is>
          <t>chr2</t>
        </is>
      </c>
      <c r="B2331" t="n">
        <v>200365261</v>
      </c>
      <c r="C2331" t="inlineStr">
        <is>
          <t>T</t>
        </is>
      </c>
      <c r="D2331" t="inlineStr">
        <is>
          <t>C</t>
        </is>
      </c>
      <c r="E2331" t="inlineStr">
        <is>
          <t>rs295130</t>
        </is>
      </c>
      <c r="F2331" t="n">
        <v>0.0131163547999999</v>
      </c>
      <c r="G2331" t="n">
        <v>0.5339791916583622</v>
      </c>
      <c r="H2331" t="n">
        <v>0.0182508145022642</v>
      </c>
      <c r="I2331" t="n">
        <v>0.1096085811784238</v>
      </c>
      <c r="J2331" t="n">
        <v>0.0314705451194739</v>
      </c>
      <c r="K2331" t="n">
        <v>0.570921439175517</v>
      </c>
      <c r="L2331" t="b">
        <v>0</v>
      </c>
      <c r="M2331" t="b">
        <v>0</v>
      </c>
      <c r="N2331" t="inlineStr">
        <is>
          <t>alt</t>
        </is>
      </c>
      <c r="O2331" t="n">
        <v>55</v>
      </c>
      <c r="P2331" t="n">
        <v>0.004234</v>
      </c>
      <c r="Q2331" t="n">
        <v>100</v>
      </c>
      <c r="R2331" t="n">
        <v>0.1399</v>
      </c>
      <c r="S2331">
        <f>IMAGE("https://mitra.stanford.edu/kundaje/oak/projects/neuro-variants/variant_position/credible/roussos_2024/variant_figures/roussos_2024.childhood.GABA/rs295130_count_position.png",4,220,900)</f>
        <v/>
      </c>
      <c r="T2331">
        <f>IMAGE("https://mitra.stanford.edu/kundaje/oak/projects/neuro-variants/variant_position/credible/roussos_2024/variant_figures/roussos_2024.childhood.GABA/rs295130_profile_position.png",4,220,900)</f>
        <v/>
      </c>
    </row>
    <row r="2332">
      <c r="A2332" t="inlineStr">
        <is>
          <t>chr2</t>
        </is>
      </c>
      <c r="B2332" t="n">
        <v>200367999</v>
      </c>
      <c r="C2332" t="inlineStr">
        <is>
          <t>G</t>
        </is>
      </c>
      <c r="D2332" t="inlineStr">
        <is>
          <t>T</t>
        </is>
      </c>
      <c r="E2332" t="inlineStr">
        <is>
          <t>rs296789</t>
        </is>
      </c>
      <c r="F2332" t="n">
        <v>0.0113998228999999</v>
      </c>
      <c r="G2332" t="n">
        <v>0.5548107727519695</v>
      </c>
      <c r="H2332" t="n">
        <v>0.0221755999429396</v>
      </c>
      <c r="I2332" t="n">
        <v>0.0479283509974582</v>
      </c>
      <c r="J2332" t="n">
        <v>0.0324275931394106</v>
      </c>
      <c r="K2332" t="n">
        <v>0.5655174268099661</v>
      </c>
      <c r="L2332" t="b">
        <v>0</v>
      </c>
      <c r="M2332" t="b">
        <v>0</v>
      </c>
      <c r="N2332" t="inlineStr">
        <is>
          <t>alt</t>
        </is>
      </c>
      <c r="O2332" t="n">
        <v>-90</v>
      </c>
      <c r="P2332" t="n">
        <v>0.01049</v>
      </c>
      <c r="Q2332" t="n">
        <v>25</v>
      </c>
      <c r="R2332" t="n">
        <v>0.04773</v>
      </c>
      <c r="S2332">
        <f>IMAGE("https://mitra.stanford.edu/kundaje/oak/projects/neuro-variants/variant_position/credible/roussos_2024/variant_figures/roussos_2024.childhood.GABA/rs296789_count_position.png",4,220,900)</f>
        <v/>
      </c>
      <c r="T2332">
        <f>IMAGE("https://mitra.stanford.edu/kundaje/oak/projects/neuro-variants/variant_position/credible/roussos_2024/variant_figures/roussos_2024.childhood.GABA/rs296789_profile_position.png",4,220,900)</f>
        <v/>
      </c>
    </row>
    <row r="2333">
      <c r="A2333" t="inlineStr">
        <is>
          <t>chr2</t>
        </is>
      </c>
      <c r="B2333" t="n">
        <v>200369849</v>
      </c>
      <c r="C2333" t="inlineStr">
        <is>
          <t>T</t>
        </is>
      </c>
      <c r="D2333" t="inlineStr">
        <is>
          <t>G</t>
        </is>
      </c>
      <c r="E2333" t="inlineStr">
        <is>
          <t>rs3769459</t>
        </is>
      </c>
      <c r="F2333" t="n">
        <v>0.0041858959</v>
      </c>
      <c r="G2333" t="n">
        <v>0.6602345078600835</v>
      </c>
      <c r="H2333" t="n">
        <v>0.0183815672128159</v>
      </c>
      <c r="I2333" t="n">
        <v>0.1042414790618789</v>
      </c>
      <c r="J2333" t="n">
        <v>0.0130363762015454</v>
      </c>
      <c r="K2333" t="n">
        <v>0.704947459546327</v>
      </c>
      <c r="L2333" t="b">
        <v>0</v>
      </c>
      <c r="M2333" t="b">
        <v>0</v>
      </c>
      <c r="N2333" t="inlineStr">
        <is>
          <t>alt</t>
        </is>
      </c>
      <c r="O2333" t="n">
        <v>80</v>
      </c>
      <c r="P2333" t="n">
        <v>0.009900000000000001</v>
      </c>
      <c r="Q2333" t="n">
        <v>-30</v>
      </c>
      <c r="R2333" t="n">
        <v>0.02017</v>
      </c>
      <c r="S2333">
        <f>IMAGE("https://mitra.stanford.edu/kundaje/oak/projects/neuro-variants/variant_position/credible/roussos_2024/variant_figures/roussos_2024.childhood.GABA/rs3769459_count_position.png",4,220,900)</f>
        <v/>
      </c>
      <c r="T2333">
        <f>IMAGE("https://mitra.stanford.edu/kundaje/oak/projects/neuro-variants/variant_position/credible/roussos_2024/variant_figures/roussos_2024.childhood.GABA/rs3769459_profile_position.png",4,220,900)</f>
        <v/>
      </c>
    </row>
    <row r="2334">
      <c r="A2334" t="inlineStr">
        <is>
          <t>chr2</t>
        </is>
      </c>
      <c r="B2334" t="n">
        <v>211421177</v>
      </c>
      <c r="C2334" t="inlineStr">
        <is>
          <t>G</t>
        </is>
      </c>
      <c r="D2334" t="inlineStr">
        <is>
          <t>A</t>
        </is>
      </c>
      <c r="E2334" t="inlineStr">
        <is>
          <t>rs3791705</t>
        </is>
      </c>
      <c r="F2334" t="n">
        <v>-0.0041389217136</v>
      </c>
      <c r="G2334" t="n">
        <v>0.7691076122980177</v>
      </c>
      <c r="H2334" t="n">
        <v>0.0243001136719444</v>
      </c>
      <c r="I2334" t="n">
        <v>0.0322274097827244</v>
      </c>
      <c r="J2334" t="n">
        <v>0.0001109924399488</v>
      </c>
      <c r="K2334" t="n">
        <v>0.9748822080629446</v>
      </c>
      <c r="L2334" t="b">
        <v>0</v>
      </c>
      <c r="M2334" t="b">
        <v>0</v>
      </c>
      <c r="N2334" t="inlineStr">
        <is>
          <t>ref</t>
        </is>
      </c>
      <c r="O2334" t="n">
        <v>-40</v>
      </c>
      <c r="P2334" t="n">
        <v>0.008330000000000001</v>
      </c>
      <c r="Q2334" t="n">
        <v>0</v>
      </c>
      <c r="R2334" t="n">
        <v>0</v>
      </c>
      <c r="S2334">
        <f>IMAGE("https://mitra.stanford.edu/kundaje/oak/projects/neuro-variants/variant_position/credible/roussos_2024/variant_figures/roussos_2024.childhood.GABA/rs3791705_count_position.png",4,220,900)</f>
        <v/>
      </c>
      <c r="T2334">
        <f>IMAGE("https://mitra.stanford.edu/kundaje/oak/projects/neuro-variants/variant_position/credible/roussos_2024/variant_figures/roussos_2024.childhood.GABA/rs3791705_profile_position.png",4,220,900)</f>
        <v/>
      </c>
    </row>
    <row r="2335">
      <c r="A2335" t="inlineStr">
        <is>
          <t>chr2</t>
        </is>
      </c>
      <c r="B2335" t="n">
        <v>211436236</v>
      </c>
      <c r="C2335" t="inlineStr">
        <is>
          <t>A</t>
        </is>
      </c>
      <c r="D2335" t="inlineStr">
        <is>
          <t>G</t>
        </is>
      </c>
      <c r="E2335" t="inlineStr">
        <is>
          <t>rs6738323</t>
        </is>
      </c>
      <c r="F2335" t="n">
        <v>0.00037692348</v>
      </c>
      <c r="G2335" t="n">
        <v>0.7674742302493668</v>
      </c>
      <c r="H2335" t="n">
        <v>0.0195554738315225</v>
      </c>
      <c r="I2335" t="n">
        <v>0.0837006921466454</v>
      </c>
      <c r="J2335" t="n">
        <v>0.0166907499319385</v>
      </c>
      <c r="K2335" t="n">
        <v>0.6696172344846419</v>
      </c>
      <c r="L2335" t="b">
        <v>0</v>
      </c>
      <c r="M2335" t="b">
        <v>0</v>
      </c>
      <c r="N2335" t="inlineStr">
        <is>
          <t>alt</t>
        </is>
      </c>
      <c r="O2335" t="n">
        <v>55</v>
      </c>
      <c r="P2335" t="n">
        <v>0.000839</v>
      </c>
      <c r="Q2335" t="n">
        <v>100</v>
      </c>
      <c r="R2335" t="n">
        <v>0.06003</v>
      </c>
      <c r="S2335">
        <f>IMAGE("https://mitra.stanford.edu/kundaje/oak/projects/neuro-variants/variant_position/credible/roussos_2024/variant_figures/roussos_2024.childhood.GABA/rs6738323_count_position.png",4,220,900)</f>
        <v/>
      </c>
      <c r="T2335">
        <f>IMAGE("https://mitra.stanford.edu/kundaje/oak/projects/neuro-variants/variant_position/credible/roussos_2024/variant_figures/roussos_2024.childhood.GABA/rs6738323_profile_position.png",4,220,900)</f>
        <v/>
      </c>
    </row>
    <row r="2336">
      <c r="A2336" t="inlineStr">
        <is>
          <t>chr2</t>
        </is>
      </c>
      <c r="B2336" t="n">
        <v>212537917</v>
      </c>
      <c r="C2336" t="inlineStr">
        <is>
          <t>G</t>
        </is>
      </c>
      <c r="D2336" t="inlineStr">
        <is>
          <t>C</t>
        </is>
      </c>
      <c r="E2336" t="inlineStr">
        <is>
          <t>rs1384292</t>
        </is>
      </c>
      <c r="F2336" t="n">
        <v>-0.206189668</v>
      </c>
      <c r="G2336" t="n">
        <v>0.0041186977046617</v>
      </c>
      <c r="H2336" t="n">
        <v>0.0486410458298618</v>
      </c>
      <c r="I2336" t="n">
        <v>0.0020287752620422</v>
      </c>
      <c r="J2336" t="n">
        <v>0.7897279638122762</v>
      </c>
      <c r="K2336" t="n">
        <v>0.0074197471201933</v>
      </c>
      <c r="L2336" t="b">
        <v>1</v>
      </c>
      <c r="M2336" t="b">
        <v>1</v>
      </c>
      <c r="N2336" t="inlineStr">
        <is>
          <t>ref</t>
        </is>
      </c>
      <c r="O2336" t="n">
        <v>-95</v>
      </c>
      <c r="P2336" t="n">
        <v>0.006294</v>
      </c>
      <c r="Q2336" t="n">
        <v>25</v>
      </c>
      <c r="R2336" t="n">
        <v>0.0326</v>
      </c>
      <c r="S2336">
        <f>IMAGE("https://mitra.stanford.edu/kundaje/oak/projects/neuro-variants/variant_position/credible/roussos_2024/variant_figures/roussos_2024.childhood.GABA/rs1384292_count_position.png",4,220,900)</f>
        <v/>
      </c>
      <c r="T2336">
        <f>IMAGE("https://mitra.stanford.edu/kundaje/oak/projects/neuro-variants/variant_position/credible/roussos_2024/variant_figures/roussos_2024.childhood.GABA/rs1384292_profile_position.png",4,220,900)</f>
        <v/>
      </c>
    </row>
    <row r="2337">
      <c r="A2337" t="inlineStr">
        <is>
          <t>chr2</t>
        </is>
      </c>
      <c r="B2337" t="n">
        <v>212539248</v>
      </c>
      <c r="C2337" t="inlineStr">
        <is>
          <t>G</t>
        </is>
      </c>
      <c r="D2337" t="inlineStr">
        <is>
          <t>A</t>
        </is>
      </c>
      <c r="E2337" t="inlineStr">
        <is>
          <t>rs6735626</t>
        </is>
      </c>
      <c r="F2337" t="n">
        <v>-0.0636029576</v>
      </c>
      <c r="G2337" t="n">
        <v>0.0954581242534483</v>
      </c>
      <c r="H2337" t="n">
        <v>0.0159238184038183</v>
      </c>
      <c r="I2337" t="n">
        <v>0.1837444480607265</v>
      </c>
      <c r="J2337" t="n">
        <v>0.8677692613767251</v>
      </c>
      <c r="K2337" t="n">
        <v>0.0029895642731422</v>
      </c>
      <c r="L2337" t="b">
        <v>0</v>
      </c>
      <c r="M2337" t="b">
        <v>0</v>
      </c>
      <c r="N2337" t="inlineStr">
        <is>
          <t>ref</t>
        </is>
      </c>
      <c r="O2337" t="n">
        <v>-5</v>
      </c>
      <c r="P2337" t="n">
        <v>0.002747</v>
      </c>
      <c r="Q2337" t="n">
        <v>-40</v>
      </c>
      <c r="R2337" t="n">
        <v>0.10205</v>
      </c>
      <c r="S2337">
        <f>IMAGE("https://mitra.stanford.edu/kundaje/oak/projects/neuro-variants/variant_position/credible/roussos_2024/variant_figures/roussos_2024.childhood.GABA/rs6735626_count_position.png",4,220,900)</f>
        <v/>
      </c>
      <c r="T2337">
        <f>IMAGE("https://mitra.stanford.edu/kundaje/oak/projects/neuro-variants/variant_position/credible/roussos_2024/variant_figures/roussos_2024.childhood.GABA/rs6735626_profile_position.png",4,220,900)</f>
        <v/>
      </c>
    </row>
    <row r="2338">
      <c r="A2338" t="inlineStr">
        <is>
          <t>chr2</t>
        </is>
      </c>
      <c r="B2338" t="n">
        <v>212540110</v>
      </c>
      <c r="C2338" t="inlineStr">
        <is>
          <t>T</t>
        </is>
      </c>
      <c r="D2338" t="inlineStr">
        <is>
          <t>C</t>
        </is>
      </c>
      <c r="E2338" t="inlineStr">
        <is>
          <t>rs10182996</t>
        </is>
      </c>
      <c r="F2338" t="n">
        <v>0.0558892924</v>
      </c>
      <c r="G2338" t="n">
        <v>0.1092502305701572</v>
      </c>
      <c r="H2338" t="n">
        <v>0.0148832410773554</v>
      </c>
      <c r="I2338" t="n">
        <v>0.234601090798401</v>
      </c>
      <c r="J2338" t="n">
        <v>0.346434629641264</v>
      </c>
      <c r="K2338" t="n">
        <v>0.1108492660007667</v>
      </c>
      <c r="L2338" t="b">
        <v>0</v>
      </c>
      <c r="M2338" t="b">
        <v>0</v>
      </c>
      <c r="N2338" t="inlineStr">
        <is>
          <t>alt</t>
        </is>
      </c>
      <c r="O2338" t="n">
        <v>100</v>
      </c>
      <c r="P2338" t="n">
        <v>0.0137</v>
      </c>
      <c r="Q2338" t="n">
        <v>85</v>
      </c>
      <c r="R2338" t="n">
        <v>0.1034</v>
      </c>
      <c r="S2338">
        <f>IMAGE("https://mitra.stanford.edu/kundaje/oak/projects/neuro-variants/variant_position/credible/roussos_2024/variant_figures/roussos_2024.childhood.GABA/rs10182996_count_position.png",4,220,900)</f>
        <v/>
      </c>
      <c r="T2338">
        <f>IMAGE("https://mitra.stanford.edu/kundaje/oak/projects/neuro-variants/variant_position/credible/roussos_2024/variant_figures/roussos_2024.childhood.GABA/rs10182996_profile_position.png",4,220,900)</f>
        <v/>
      </c>
    </row>
    <row r="2339">
      <c r="A2339" t="inlineStr">
        <is>
          <t>chr2</t>
        </is>
      </c>
      <c r="B2339" t="n">
        <v>212544613</v>
      </c>
      <c r="C2339" t="inlineStr">
        <is>
          <t>A</t>
        </is>
      </c>
      <c r="D2339" t="inlineStr">
        <is>
          <t>G</t>
        </is>
      </c>
      <c r="E2339" t="inlineStr">
        <is>
          <t>rs10207878</t>
        </is>
      </c>
      <c r="F2339" t="n">
        <v>-0.0468444396</v>
      </c>
      <c r="G2339" t="n">
        <v>0.1614891921079493</v>
      </c>
      <c r="H2339" t="n">
        <v>0.0143143354884643</v>
      </c>
      <c r="I2339" t="n">
        <v>0.2681162018486052</v>
      </c>
      <c r="J2339" t="n">
        <v>0.0011088773009988</v>
      </c>
      <c r="K2339" t="n">
        <v>0.9073962951864938</v>
      </c>
      <c r="L2339" t="b">
        <v>0</v>
      </c>
      <c r="M2339" t="b">
        <v>0</v>
      </c>
      <c r="N2339" t="inlineStr">
        <is>
          <t>ref</t>
        </is>
      </c>
      <c r="O2339" t="n">
        <v>-100</v>
      </c>
      <c r="P2339" t="n">
        <v>0.02713</v>
      </c>
      <c r="Q2339" t="n">
        <v>5</v>
      </c>
      <c r="R2339" t="n">
        <v>0.009889999999999999</v>
      </c>
      <c r="S2339">
        <f>IMAGE("https://mitra.stanford.edu/kundaje/oak/projects/neuro-variants/variant_position/credible/roussos_2024/variant_figures/roussos_2024.childhood.GABA/rs10207878_count_position.png",4,220,900)</f>
        <v/>
      </c>
      <c r="T2339">
        <f>IMAGE("https://mitra.stanford.edu/kundaje/oak/projects/neuro-variants/variant_position/credible/roussos_2024/variant_figures/roussos_2024.childhood.GABA/rs10207878_profile_position.png",4,220,900)</f>
        <v/>
      </c>
    </row>
    <row r="2340">
      <c r="A2340" t="inlineStr">
        <is>
          <t>chr2</t>
        </is>
      </c>
      <c r="B2340" t="n">
        <v>224444261</v>
      </c>
      <c r="C2340" t="inlineStr">
        <is>
          <t>T</t>
        </is>
      </c>
      <c r="D2340" t="inlineStr">
        <is>
          <t>C</t>
        </is>
      </c>
      <c r="E2340" t="inlineStr">
        <is>
          <t>rs1523921</t>
        </is>
      </c>
      <c r="F2340" t="n">
        <v>-0.0594989621999999</v>
      </c>
      <c r="G2340" t="n">
        <v>0.1212281557786496</v>
      </c>
      <c r="H2340" t="n">
        <v>0.016177632740291</v>
      </c>
      <c r="I2340" t="n">
        <v>0.1779490129294177</v>
      </c>
      <c r="J2340" t="n">
        <v>0.4253052292098594</v>
      </c>
      <c r="K2340" t="n">
        <v>0.076231944199824</v>
      </c>
      <c r="L2340" t="b">
        <v>0</v>
      </c>
      <c r="M2340" t="b">
        <v>0</v>
      </c>
      <c r="N2340" t="inlineStr">
        <is>
          <t>ref</t>
        </is>
      </c>
      <c r="O2340" t="n">
        <v>95</v>
      </c>
      <c r="P2340" t="n">
        <v>0.00775</v>
      </c>
      <c r="Q2340" t="n">
        <v>95</v>
      </c>
      <c r="R2340" t="n">
        <v>0.145</v>
      </c>
      <c r="S2340">
        <f>IMAGE("https://mitra.stanford.edu/kundaje/oak/projects/neuro-variants/variant_position/credible/roussos_2024/variant_figures/roussos_2024.childhood.GABA/rs1523921_count_position.png",4,220,900)</f>
        <v/>
      </c>
      <c r="T2340">
        <f>IMAGE("https://mitra.stanford.edu/kundaje/oak/projects/neuro-variants/variant_position/credible/roussos_2024/variant_figures/roussos_2024.childhood.GABA/rs1523921_profile_position.png",4,220,900)</f>
        <v/>
      </c>
    </row>
    <row r="2341">
      <c r="A2341" t="inlineStr">
        <is>
          <t>chr2</t>
        </is>
      </c>
      <c r="B2341" t="n">
        <v>224470254</v>
      </c>
      <c r="C2341" t="inlineStr">
        <is>
          <t>T</t>
        </is>
      </c>
      <c r="D2341" t="inlineStr">
        <is>
          <t>C</t>
        </is>
      </c>
      <c r="E2341" t="inlineStr">
        <is>
          <t>rs12470077</t>
        </is>
      </c>
      <c r="F2341" t="n">
        <v>-0.01347804154</v>
      </c>
      <c r="G2341" t="n">
        <v>0.5573712359219171</v>
      </c>
      <c r="H2341" t="n">
        <v>0.0203475179688882</v>
      </c>
      <c r="I2341" t="n">
        <v>0.0703265303111946</v>
      </c>
      <c r="J2341" t="n">
        <v>0.0552292098594793</v>
      </c>
      <c r="K2341" t="n">
        <v>0.4642998053054175</v>
      </c>
      <c r="L2341" t="b">
        <v>0</v>
      </c>
      <c r="M2341" t="b">
        <v>0</v>
      </c>
      <c r="N2341" t="inlineStr">
        <is>
          <t>ref</t>
        </is>
      </c>
      <c r="O2341" t="n">
        <v>-100</v>
      </c>
      <c r="P2341" t="n">
        <v>0.00554</v>
      </c>
      <c r="Q2341" t="n">
        <v>-65</v>
      </c>
      <c r="R2341" t="n">
        <v>0.0838</v>
      </c>
      <c r="S2341">
        <f>IMAGE("https://mitra.stanford.edu/kundaje/oak/projects/neuro-variants/variant_position/credible/roussos_2024/variant_figures/roussos_2024.childhood.GABA/rs12470077_count_position.png",4,220,900)</f>
        <v/>
      </c>
      <c r="T2341">
        <f>IMAGE("https://mitra.stanford.edu/kundaje/oak/projects/neuro-variants/variant_position/credible/roussos_2024/variant_figures/roussos_2024.childhood.GABA/rs12470077_profile_position.png",4,220,900)</f>
        <v/>
      </c>
    </row>
    <row r="2342">
      <c r="A2342" t="inlineStr">
        <is>
          <t>chr2</t>
        </is>
      </c>
      <c r="B2342" t="n">
        <v>224488932</v>
      </c>
      <c r="C2342" t="inlineStr">
        <is>
          <t>T</t>
        </is>
      </c>
      <c r="D2342" t="inlineStr">
        <is>
          <t>C</t>
        </is>
      </c>
      <c r="E2342" t="inlineStr">
        <is>
          <t>rs147137183</t>
        </is>
      </c>
      <c r="F2342" t="n">
        <v>-0.0826827696</v>
      </c>
      <c r="G2342" t="n">
        <v>0.0617318680969322</v>
      </c>
      <c r="H2342" t="n">
        <v>0.0239083246014211</v>
      </c>
      <c r="I2342" t="n">
        <v>0.0358038413430696</v>
      </c>
      <c r="J2342" t="n">
        <v>0.0340129002533977</v>
      </c>
      <c r="K2342" t="n">
        <v>0.5607910486861657</v>
      </c>
      <c r="L2342" t="b">
        <v>0</v>
      </c>
      <c r="M2342" t="b">
        <v>0</v>
      </c>
      <c r="N2342" t="inlineStr">
        <is>
          <t>ref</t>
        </is>
      </c>
      <c r="O2342" t="n">
        <v>10</v>
      </c>
      <c r="P2342" t="n">
        <v>0.000622</v>
      </c>
      <c r="Q2342" t="n">
        <v>20</v>
      </c>
      <c r="R2342" t="n">
        <v>0.02582</v>
      </c>
      <c r="S2342">
        <f>IMAGE("https://mitra.stanford.edu/kundaje/oak/projects/neuro-variants/variant_position/credible/roussos_2024/variant_figures/roussos_2024.childhood.GABA/rs147137183_count_position.png",4,220,900)</f>
        <v/>
      </c>
      <c r="T2342">
        <f>IMAGE("https://mitra.stanford.edu/kundaje/oak/projects/neuro-variants/variant_position/credible/roussos_2024/variant_figures/roussos_2024.childhood.GABA/rs147137183_profile_position.png",4,220,900)</f>
        <v/>
      </c>
    </row>
    <row r="2343">
      <c r="A2343" t="inlineStr">
        <is>
          <t>chr2</t>
        </is>
      </c>
      <c r="B2343" t="n">
        <v>224567753</v>
      </c>
      <c r="C2343" t="inlineStr">
        <is>
          <t>C</t>
        </is>
      </c>
      <c r="D2343" t="inlineStr">
        <is>
          <t>A</t>
        </is>
      </c>
      <c r="E2343" t="inlineStr">
        <is>
          <t>rs72974238</t>
        </is>
      </c>
      <c r="F2343" t="n">
        <v>-0.0059855525999999</v>
      </c>
      <c r="G2343" t="n">
        <v>0.7506306703006683</v>
      </c>
      <c r="H2343" t="n">
        <v>0.0238376142635752</v>
      </c>
      <c r="I2343" t="n">
        <v>0.0350626379660885</v>
      </c>
      <c r="J2343" t="n">
        <v>0.0211398714163054</v>
      </c>
      <c r="K2343" t="n">
        <v>0.6491841137906051</v>
      </c>
      <c r="L2343" t="b">
        <v>0</v>
      </c>
      <c r="M2343" t="b">
        <v>0</v>
      </c>
      <c r="N2343" t="inlineStr">
        <is>
          <t>ref</t>
        </is>
      </c>
      <c r="O2343" t="n">
        <v>-100</v>
      </c>
      <c r="P2343" t="n">
        <v>0.03018</v>
      </c>
      <c r="Q2343" t="n">
        <v>-100</v>
      </c>
      <c r="R2343" t="n">
        <v>0.0779</v>
      </c>
      <c r="S2343">
        <f>IMAGE("https://mitra.stanford.edu/kundaje/oak/projects/neuro-variants/variant_position/credible/roussos_2024/variant_figures/roussos_2024.childhood.GABA/rs72974238_count_position.png",4,220,900)</f>
        <v/>
      </c>
      <c r="T2343">
        <f>IMAGE("https://mitra.stanford.edu/kundaje/oak/projects/neuro-variants/variant_position/credible/roussos_2024/variant_figures/roussos_2024.childhood.GABA/rs72974238_profile_position.png",4,220,900)</f>
        <v/>
      </c>
    </row>
    <row r="2344">
      <c r="A2344" t="inlineStr">
        <is>
          <t>chr2</t>
        </is>
      </c>
      <c r="B2344" t="n">
        <v>224577415</v>
      </c>
      <c r="C2344" t="inlineStr">
        <is>
          <t>A</t>
        </is>
      </c>
      <c r="D2344" t="inlineStr">
        <is>
          <t>G</t>
        </is>
      </c>
      <c r="E2344" t="inlineStr">
        <is>
          <t>rs80236857</t>
        </is>
      </c>
      <c r="F2344" t="n">
        <v>-0.001969088012</v>
      </c>
      <c r="G2344" t="n">
        <v>0.807029832375519</v>
      </c>
      <c r="H2344" t="n">
        <v>0.0323570083082663</v>
      </c>
      <c r="I2344" t="n">
        <v>0.009092109075516899</v>
      </c>
      <c r="J2344" t="n">
        <v>0.0361940064082427</v>
      </c>
      <c r="K2344" t="n">
        <v>0.561724597488476</v>
      </c>
      <c r="L2344" t="b">
        <v>1</v>
      </c>
      <c r="M2344" t="b">
        <v>0</v>
      </c>
      <c r="N2344" t="inlineStr">
        <is>
          <t>ref</t>
        </is>
      </c>
      <c r="O2344" t="n">
        <v>35</v>
      </c>
      <c r="P2344" t="n">
        <v>0.01495</v>
      </c>
      <c r="Q2344" t="n">
        <v>10</v>
      </c>
      <c r="R2344" t="n">
        <v>0.01544</v>
      </c>
      <c r="S2344">
        <f>IMAGE("https://mitra.stanford.edu/kundaje/oak/projects/neuro-variants/variant_position/credible/roussos_2024/variant_figures/roussos_2024.childhood.GABA/rs80236857_count_position.png",4,220,900)</f>
        <v/>
      </c>
      <c r="T2344">
        <f>IMAGE("https://mitra.stanford.edu/kundaje/oak/projects/neuro-variants/variant_position/credible/roussos_2024/variant_figures/roussos_2024.childhood.GABA/rs80236857_profile_position.png",4,220,900)</f>
        <v/>
      </c>
    </row>
    <row r="2345">
      <c r="A2345" t="inlineStr">
        <is>
          <t>chr2</t>
        </is>
      </c>
      <c r="B2345" t="n">
        <v>227390758</v>
      </c>
      <c r="C2345" t="inlineStr">
        <is>
          <t>G</t>
        </is>
      </c>
      <c r="D2345" t="inlineStr">
        <is>
          <t>A</t>
        </is>
      </c>
      <c r="E2345" t="inlineStr">
        <is>
          <t>rs73090183</t>
        </is>
      </c>
      <c r="F2345" t="n">
        <v>-0.0729800998</v>
      </c>
      <c r="G2345" t="n">
        <v>0.0650011034799069</v>
      </c>
      <c r="H2345" t="n">
        <v>0.0137011785778081</v>
      </c>
      <c r="I2345" t="n">
        <v>0.303096305361825</v>
      </c>
      <c r="J2345" t="n">
        <v>0.3383238047370735</v>
      </c>
      <c r="K2345" t="n">
        <v>0.1152675575374206</v>
      </c>
      <c r="L2345" t="b">
        <v>0</v>
      </c>
      <c r="M2345" t="b">
        <v>0</v>
      </c>
      <c r="N2345" t="inlineStr">
        <is>
          <t>ref</t>
        </is>
      </c>
      <c r="O2345" t="n">
        <v>-75</v>
      </c>
      <c r="P2345" t="n">
        <v>0.010704</v>
      </c>
      <c r="Q2345" t="n">
        <v>-50</v>
      </c>
      <c r="R2345" t="n">
        <v>0.0872</v>
      </c>
      <c r="S2345">
        <f>IMAGE("https://mitra.stanford.edu/kundaje/oak/projects/neuro-variants/variant_position/credible/roussos_2024/variant_figures/roussos_2024.childhood.GABA/rs73090183_count_position.png",4,220,900)</f>
        <v/>
      </c>
      <c r="T2345">
        <f>IMAGE("https://mitra.stanford.edu/kundaje/oak/projects/neuro-variants/variant_position/credible/roussos_2024/variant_figures/roussos_2024.childhood.GABA/rs73090183_profile_position.png",4,220,900)</f>
        <v/>
      </c>
    </row>
    <row r="2346">
      <c r="A2346" t="inlineStr">
        <is>
          <t>chr2</t>
        </is>
      </c>
      <c r="B2346" t="n">
        <v>227399077</v>
      </c>
      <c r="C2346" t="inlineStr">
        <is>
          <t>A</t>
        </is>
      </c>
      <c r="D2346" t="inlineStr">
        <is>
          <t>C</t>
        </is>
      </c>
      <c r="E2346" t="inlineStr">
        <is>
          <t>rs34376789</t>
        </is>
      </c>
      <c r="F2346" t="n">
        <v>0.0059648745</v>
      </c>
      <c r="G2346" t="n">
        <v>0.617939454346678</v>
      </c>
      <c r="H2346" t="n">
        <v>0.0247863259865588</v>
      </c>
      <c r="I2346" t="n">
        <v>0.0294853044710321</v>
      </c>
      <c r="J2346" t="n">
        <v>0.0233890389730057</v>
      </c>
      <c r="K2346" t="n">
        <v>0.6659944442453484</v>
      </c>
      <c r="L2346" t="b">
        <v>0</v>
      </c>
      <c r="M2346" t="b">
        <v>0</v>
      </c>
      <c r="N2346" t="inlineStr">
        <is>
          <t>alt</t>
        </is>
      </c>
      <c r="O2346" t="n">
        <v>40</v>
      </c>
      <c r="P2346" t="n">
        <v>0.01028</v>
      </c>
      <c r="Q2346" t="n">
        <v>-100</v>
      </c>
      <c r="R2346" t="n">
        <v>0.1444</v>
      </c>
      <c r="S2346">
        <f>IMAGE("https://mitra.stanford.edu/kundaje/oak/projects/neuro-variants/variant_position/credible/roussos_2024/variant_figures/roussos_2024.childhood.GABA/rs34376789_count_position.png",4,220,900)</f>
        <v/>
      </c>
      <c r="T2346">
        <f>IMAGE("https://mitra.stanford.edu/kundaje/oak/projects/neuro-variants/variant_position/credible/roussos_2024/variant_figures/roussos_2024.childhood.GABA/rs34376789_profile_position.png",4,220,900)</f>
        <v/>
      </c>
    </row>
    <row r="2347">
      <c r="A2347" t="inlineStr">
        <is>
          <t>chr2</t>
        </is>
      </c>
      <c r="B2347" t="n">
        <v>227401845</v>
      </c>
      <c r="C2347" t="inlineStr">
        <is>
          <t>C</t>
        </is>
      </c>
      <c r="D2347" t="inlineStr">
        <is>
          <t>T</t>
        </is>
      </c>
      <c r="E2347" t="inlineStr">
        <is>
          <t>rs11884034</t>
        </is>
      </c>
      <c r="F2347" t="n">
        <v>-0.0391015060199999</v>
      </c>
      <c r="G2347" t="n">
        <v>0.2237070963561379</v>
      </c>
      <c r="H2347" t="n">
        <v>0.0126563733627569</v>
      </c>
      <c r="I2347" t="n">
        <v>0.3844844372350939</v>
      </c>
      <c r="J2347" t="n">
        <v>0.1420022617327385</v>
      </c>
      <c r="K2347" t="n">
        <v>0.2875945801956617</v>
      </c>
      <c r="L2347" t="b">
        <v>0</v>
      </c>
      <c r="M2347" t="b">
        <v>0</v>
      </c>
      <c r="N2347" t="inlineStr">
        <is>
          <t>ref</t>
        </is>
      </c>
      <c r="O2347" t="n">
        <v>95</v>
      </c>
      <c r="P2347" t="n">
        <v>0.03326</v>
      </c>
      <c r="Q2347" t="n">
        <v>95</v>
      </c>
      <c r="R2347" t="n">
        <v>0.1816</v>
      </c>
      <c r="S2347">
        <f>IMAGE("https://mitra.stanford.edu/kundaje/oak/projects/neuro-variants/variant_position/credible/roussos_2024/variant_figures/roussos_2024.childhood.GABA/rs11884034_count_position.png",4,220,900)</f>
        <v/>
      </c>
      <c r="T2347">
        <f>IMAGE("https://mitra.stanford.edu/kundaje/oak/projects/neuro-variants/variant_position/credible/roussos_2024/variant_figures/roussos_2024.childhood.GABA/rs11884034_profile_position.png",4,220,900)</f>
        <v/>
      </c>
    </row>
    <row r="2348">
      <c r="A2348" t="inlineStr">
        <is>
          <t>chr2</t>
        </is>
      </c>
      <c r="B2348" t="n">
        <v>227402151</v>
      </c>
      <c r="C2348" t="inlineStr">
        <is>
          <t>C</t>
        </is>
      </c>
      <c r="D2348" t="inlineStr">
        <is>
          <t>T</t>
        </is>
      </c>
      <c r="E2348" t="inlineStr">
        <is>
          <t>rs55828602</t>
        </is>
      </c>
      <c r="F2348" t="n">
        <v>-0.09213384999999991</v>
      </c>
      <c r="G2348" t="n">
        <v>0.0401817819903343</v>
      </c>
      <c r="H2348" t="n">
        <v>0.0162400753007086</v>
      </c>
      <c r="I2348" t="n">
        <v>0.1726758870859396</v>
      </c>
      <c r="J2348" t="n">
        <v>0.1266224791103851</v>
      </c>
      <c r="K2348" t="n">
        <v>0.3117352563415046</v>
      </c>
      <c r="L2348" t="b">
        <v>0</v>
      </c>
      <c r="M2348" t="b">
        <v>0</v>
      </c>
      <c r="N2348" t="inlineStr">
        <is>
          <t>ref</t>
        </is>
      </c>
      <c r="O2348" t="n">
        <v>-45</v>
      </c>
      <c r="P2348" t="n">
        <v>0.01224</v>
      </c>
      <c r="Q2348" t="n">
        <v>-45</v>
      </c>
      <c r="R2348" t="n">
        <v>0.1599</v>
      </c>
      <c r="S2348">
        <f>IMAGE("https://mitra.stanford.edu/kundaje/oak/projects/neuro-variants/variant_position/credible/roussos_2024/variant_figures/roussos_2024.childhood.GABA/rs55828602_count_position.png",4,220,900)</f>
        <v/>
      </c>
      <c r="T2348">
        <f>IMAGE("https://mitra.stanford.edu/kundaje/oak/projects/neuro-variants/variant_position/credible/roussos_2024/variant_figures/roussos_2024.childhood.GABA/rs55828602_profile_position.png",4,220,900)</f>
        <v/>
      </c>
    </row>
    <row r="2349">
      <c r="A2349" t="inlineStr">
        <is>
          <t>chr2</t>
        </is>
      </c>
      <c r="B2349" t="n">
        <v>227403944</v>
      </c>
      <c r="C2349" t="inlineStr">
        <is>
          <t>T</t>
        </is>
      </c>
      <c r="D2349" t="inlineStr">
        <is>
          <t>G</t>
        </is>
      </c>
      <c r="E2349" t="inlineStr">
        <is>
          <t>rs56161331</t>
        </is>
      </c>
      <c r="F2349" t="n">
        <v>-0.0055037580199999</v>
      </c>
      <c r="G2349" t="n">
        <v>0.7873844489977686</v>
      </c>
      <c r="H2349" t="n">
        <v>0.0177392825280205</v>
      </c>
      <c r="I2349" t="n">
        <v>0.1238943695145593</v>
      </c>
      <c r="J2349" t="n">
        <v>0.2611076207828108</v>
      </c>
      <c r="K2349" t="n">
        <v>0.16750176504895</v>
      </c>
      <c r="L2349" t="b">
        <v>0</v>
      </c>
      <c r="M2349" t="b">
        <v>0</v>
      </c>
      <c r="N2349" t="inlineStr">
        <is>
          <t>ref</t>
        </is>
      </c>
      <c r="O2349" t="n">
        <v>-40</v>
      </c>
      <c r="P2349" t="n">
        <v>0.002998</v>
      </c>
      <c r="Q2349" t="n">
        <v>55</v>
      </c>
      <c r="R2349" t="n">
        <v>0.09320000000000001</v>
      </c>
      <c r="S2349">
        <f>IMAGE("https://mitra.stanford.edu/kundaje/oak/projects/neuro-variants/variant_position/credible/roussos_2024/variant_figures/roussos_2024.childhood.GABA/rs56161331_count_position.png",4,220,900)</f>
        <v/>
      </c>
      <c r="T2349">
        <f>IMAGE("https://mitra.stanford.edu/kundaje/oak/projects/neuro-variants/variant_position/credible/roussos_2024/variant_figures/roussos_2024.childhood.GABA/rs56161331_profile_position.png",4,220,900)</f>
        <v/>
      </c>
    </row>
    <row r="2350">
      <c r="A2350" t="inlineStr">
        <is>
          <t>chr2</t>
        </is>
      </c>
      <c r="B2350" t="n">
        <v>228111817</v>
      </c>
      <c r="C2350" t="inlineStr">
        <is>
          <t>C</t>
        </is>
      </c>
      <c r="D2350" t="inlineStr">
        <is>
          <t>T</t>
        </is>
      </c>
      <c r="E2350" t="inlineStr">
        <is>
          <t>rs12620112</t>
        </is>
      </c>
      <c r="F2350" t="n">
        <v>-0.0613531104</v>
      </c>
      <c r="G2350" t="n">
        <v>0.1025967538831164</v>
      </c>
      <c r="H2350" t="n">
        <v>0.0142349138314985</v>
      </c>
      <c r="I2350" t="n">
        <v>0.2479946157831709</v>
      </c>
      <c r="J2350" t="n">
        <v>0.0020470775481141</v>
      </c>
      <c r="K2350" t="n">
        <v>0.8833660736990248</v>
      </c>
      <c r="L2350" t="b">
        <v>0</v>
      </c>
      <c r="M2350" t="b">
        <v>0</v>
      </c>
      <c r="N2350" t="inlineStr">
        <is>
          <t>ref</t>
        </is>
      </c>
      <c r="O2350" t="n">
        <v>40</v>
      </c>
      <c r="P2350" t="n">
        <v>0.0109</v>
      </c>
      <c r="Q2350" t="n">
        <v>-95</v>
      </c>
      <c r="R2350" t="n">
        <v>0.0588</v>
      </c>
      <c r="S2350">
        <f>IMAGE("https://mitra.stanford.edu/kundaje/oak/projects/neuro-variants/variant_position/credible/roussos_2024/variant_figures/roussos_2024.childhood.GABA/rs12620112_count_position.png",4,220,900)</f>
        <v/>
      </c>
      <c r="T2350">
        <f>IMAGE("https://mitra.stanford.edu/kundaje/oak/projects/neuro-variants/variant_position/credible/roussos_2024/variant_figures/roussos_2024.childhood.GABA/rs12620112_profile_position.png",4,220,900)</f>
        <v/>
      </c>
    </row>
    <row r="2351">
      <c r="A2351" t="inlineStr">
        <is>
          <t>chr2</t>
        </is>
      </c>
      <c r="B2351" t="n">
        <v>228111818</v>
      </c>
      <c r="C2351" t="inlineStr">
        <is>
          <t>A</t>
        </is>
      </c>
      <c r="D2351" t="inlineStr">
        <is>
          <t>G</t>
        </is>
      </c>
      <c r="E2351" t="inlineStr">
        <is>
          <t>rs12613751</t>
        </is>
      </c>
      <c r="F2351" t="n">
        <v>0.0815335004</v>
      </c>
      <c r="G2351" t="n">
        <v>0.0469022810100434</v>
      </c>
      <c r="H2351" t="n">
        <v>0.013571863798375</v>
      </c>
      <c r="I2351" t="n">
        <v>0.3125059937155587</v>
      </c>
      <c r="J2351" t="n">
        <v>0.0035496638813846</v>
      </c>
      <c r="K2351" t="n">
        <v>0.8418707379504375</v>
      </c>
      <c r="L2351" t="b">
        <v>0</v>
      </c>
      <c r="M2351" t="b">
        <v>0</v>
      </c>
      <c r="N2351" t="inlineStr">
        <is>
          <t>alt</t>
        </is>
      </c>
      <c r="O2351" t="n">
        <v>35</v>
      </c>
      <c r="P2351" t="n">
        <v>0.00775</v>
      </c>
      <c r="Q2351" t="n">
        <v>-100</v>
      </c>
      <c r="R2351" t="n">
        <v>0.05243</v>
      </c>
      <c r="S2351">
        <f>IMAGE("https://mitra.stanford.edu/kundaje/oak/projects/neuro-variants/variant_position/credible/roussos_2024/variant_figures/roussos_2024.childhood.GABA/rs12613751_count_position.png",4,220,900)</f>
        <v/>
      </c>
      <c r="T2351">
        <f>IMAGE("https://mitra.stanford.edu/kundaje/oak/projects/neuro-variants/variant_position/credible/roussos_2024/variant_figures/roussos_2024.childhood.GABA/rs12613751_profile_position.png",4,220,900)</f>
        <v/>
      </c>
    </row>
    <row r="2352">
      <c r="A2352" t="inlineStr">
        <is>
          <t>chr2</t>
        </is>
      </c>
      <c r="B2352" t="n">
        <v>228114794</v>
      </c>
      <c r="C2352" t="inlineStr">
        <is>
          <t>C</t>
        </is>
      </c>
      <c r="D2352" t="inlineStr">
        <is>
          <t>T</t>
        </is>
      </c>
      <c r="E2352" t="inlineStr">
        <is>
          <t>rs10933235</t>
        </is>
      </c>
      <c r="F2352" t="n">
        <v>0.00660949806</v>
      </c>
      <c r="G2352" t="n">
        <v>0.5938415787788989</v>
      </c>
      <c r="H2352" t="n">
        <v>0.0107919935459307</v>
      </c>
      <c r="I2352" t="n">
        <v>0.5335656793655084</v>
      </c>
      <c r="J2352" t="n">
        <v>0.0650928776360704</v>
      </c>
      <c r="K2352" t="n">
        <v>0.4364925467502427</v>
      </c>
      <c r="L2352" t="b">
        <v>0</v>
      </c>
      <c r="M2352" t="b">
        <v>0</v>
      </c>
      <c r="N2352" t="inlineStr">
        <is>
          <t>alt</t>
        </is>
      </c>
      <c r="O2352" t="n">
        <v>-85</v>
      </c>
      <c r="P2352" t="n">
        <v>0.006077</v>
      </c>
      <c r="Q2352" t="n">
        <v>100</v>
      </c>
      <c r="R2352" t="n">
        <v>0.04895</v>
      </c>
      <c r="S2352">
        <f>IMAGE("https://mitra.stanford.edu/kundaje/oak/projects/neuro-variants/variant_position/credible/roussos_2024/variant_figures/roussos_2024.childhood.GABA/rs10933235_count_position.png",4,220,900)</f>
        <v/>
      </c>
      <c r="T2352">
        <f>IMAGE("https://mitra.stanford.edu/kundaje/oak/projects/neuro-variants/variant_position/credible/roussos_2024/variant_figures/roussos_2024.childhood.GABA/rs10933235_profile_position.png",4,220,900)</f>
        <v/>
      </c>
    </row>
    <row r="2353">
      <c r="A2353" t="inlineStr">
        <is>
          <t>chr2</t>
        </is>
      </c>
      <c r="B2353" t="n">
        <v>228115397</v>
      </c>
      <c r="C2353" t="inlineStr">
        <is>
          <t>T</t>
        </is>
      </c>
      <c r="D2353" t="inlineStr">
        <is>
          <t>G</t>
        </is>
      </c>
      <c r="E2353" t="inlineStr">
        <is>
          <t>rs10175063</t>
        </is>
      </c>
      <c r="F2353" t="n">
        <v>0.0168828146</v>
      </c>
      <c r="G2353" t="n">
        <v>0.4664594310782304</v>
      </c>
      <c r="H2353" t="n">
        <v>0.0131530350483125</v>
      </c>
      <c r="I2353" t="n">
        <v>0.3438593513543647</v>
      </c>
      <c r="J2353" t="n">
        <v>0.0164781889384515</v>
      </c>
      <c r="K2353" t="n">
        <v>0.6828436981540139</v>
      </c>
      <c r="L2353" t="b">
        <v>0</v>
      </c>
      <c r="M2353" t="b">
        <v>0</v>
      </c>
      <c r="N2353" t="inlineStr">
        <is>
          <t>alt</t>
        </is>
      </c>
      <c r="O2353" t="n">
        <v>60</v>
      </c>
      <c r="P2353" t="n">
        <v>0.01342</v>
      </c>
      <c r="Q2353" t="n">
        <v>0</v>
      </c>
      <c r="R2353" t="n">
        <v>0</v>
      </c>
      <c r="S2353">
        <f>IMAGE("https://mitra.stanford.edu/kundaje/oak/projects/neuro-variants/variant_position/credible/roussos_2024/variant_figures/roussos_2024.childhood.GABA/rs10175063_count_position.png",4,220,900)</f>
        <v/>
      </c>
      <c r="T2353">
        <f>IMAGE("https://mitra.stanford.edu/kundaje/oak/projects/neuro-variants/variant_position/credible/roussos_2024/variant_figures/roussos_2024.childhood.GABA/rs10175063_profile_position.png",4,220,900)</f>
        <v/>
      </c>
    </row>
    <row r="2354">
      <c r="A2354" t="inlineStr">
        <is>
          <t>chr2</t>
        </is>
      </c>
      <c r="B2354" t="n">
        <v>228119268</v>
      </c>
      <c r="C2354" t="inlineStr">
        <is>
          <t>G</t>
        </is>
      </c>
      <c r="D2354" t="inlineStr">
        <is>
          <t>A</t>
        </is>
      </c>
      <c r="E2354" t="inlineStr">
        <is>
          <t>rs67681818</t>
        </is>
      </c>
      <c r="F2354" t="n">
        <v>-0.00038748678</v>
      </c>
      <c r="G2354" t="n">
        <v>0.7854542399534482</v>
      </c>
      <c r="H2354" t="n">
        <v>0.0120090169960852</v>
      </c>
      <c r="I2354" t="n">
        <v>0.4400968292222815</v>
      </c>
      <c r="J2354" t="n">
        <v>0.0556009298234591</v>
      </c>
      <c r="K2354" t="n">
        <v>0.463416288862765</v>
      </c>
      <c r="L2354" t="b">
        <v>0</v>
      </c>
      <c r="M2354" t="b">
        <v>0</v>
      </c>
      <c r="N2354" t="inlineStr">
        <is>
          <t>ref</t>
        </is>
      </c>
      <c r="O2354" t="n">
        <v>100</v>
      </c>
      <c r="P2354" t="n">
        <v>0.009674</v>
      </c>
      <c r="Q2354" t="n">
        <v>-85</v>
      </c>
      <c r="R2354" t="n">
        <v>0.11914</v>
      </c>
      <c r="S2354">
        <f>IMAGE("https://mitra.stanford.edu/kundaje/oak/projects/neuro-variants/variant_position/credible/roussos_2024/variant_figures/roussos_2024.childhood.GABA/rs67681818_count_position.png",4,220,900)</f>
        <v/>
      </c>
      <c r="T2354">
        <f>IMAGE("https://mitra.stanford.edu/kundaje/oak/projects/neuro-variants/variant_position/credible/roussos_2024/variant_figures/roussos_2024.childhood.GABA/rs67681818_profile_position.png",4,220,900)</f>
        <v/>
      </c>
    </row>
    <row r="2355">
      <c r="A2355" t="inlineStr">
        <is>
          <t>chr2</t>
        </is>
      </c>
      <c r="B2355" t="n">
        <v>228119928</v>
      </c>
      <c r="C2355" t="inlineStr">
        <is>
          <t>C</t>
        </is>
      </c>
      <c r="D2355" t="inlineStr">
        <is>
          <t>A</t>
        </is>
      </c>
      <c r="E2355" t="inlineStr">
        <is>
          <t>rs67890737</t>
        </is>
      </c>
      <c r="F2355" t="n">
        <v>0.0617145618</v>
      </c>
      <c r="G2355" t="n">
        <v>0.1182113024845788</v>
      </c>
      <c r="H2355" t="n">
        <v>0.0206274510054543</v>
      </c>
      <c r="I2355" t="n">
        <v>0.0781301621856743</v>
      </c>
      <c r="J2355" t="n">
        <v>0.033566836296622</v>
      </c>
      <c r="K2355" t="n">
        <v>0.5627862728094637</v>
      </c>
      <c r="L2355" t="b">
        <v>0</v>
      </c>
      <c r="M2355" t="b">
        <v>0</v>
      </c>
      <c r="N2355" t="inlineStr">
        <is>
          <t>alt</t>
        </is>
      </c>
      <c r="O2355" t="n">
        <v>-95</v>
      </c>
      <c r="P2355" t="n">
        <v>0.03455</v>
      </c>
      <c r="Q2355" t="n">
        <v>10</v>
      </c>
      <c r="R2355" t="n">
        <v>0.03928</v>
      </c>
      <c r="S2355">
        <f>IMAGE("https://mitra.stanford.edu/kundaje/oak/projects/neuro-variants/variant_position/credible/roussos_2024/variant_figures/roussos_2024.childhood.GABA/rs67890737_count_position.png",4,220,900)</f>
        <v/>
      </c>
      <c r="T2355">
        <f>IMAGE("https://mitra.stanford.edu/kundaje/oak/projects/neuro-variants/variant_position/credible/roussos_2024/variant_figures/roussos_2024.childhood.GABA/rs67890737_profile_position.png",4,220,900)</f>
        <v/>
      </c>
    </row>
    <row r="2356">
      <c r="A2356" t="inlineStr">
        <is>
          <t>chr2</t>
        </is>
      </c>
      <c r="B2356" t="n">
        <v>228122334</v>
      </c>
      <c r="C2356" t="inlineStr">
        <is>
          <t>A</t>
        </is>
      </c>
      <c r="D2356" t="inlineStr">
        <is>
          <t>G</t>
        </is>
      </c>
      <c r="E2356" t="inlineStr">
        <is>
          <t>rs10191681</t>
        </is>
      </c>
      <c r="F2356" t="n">
        <v>0.0738250298</v>
      </c>
      <c r="G2356" t="n">
        <v>0.063132951632087</v>
      </c>
      <c r="H2356" t="n">
        <v>0.0143734224296425</v>
      </c>
      <c r="I2356" t="n">
        <v>0.2570660765923261</v>
      </c>
      <c r="J2356" t="n">
        <v>0.09016774517811139</v>
      </c>
      <c r="K2356" t="n">
        <v>0.375833433709569</v>
      </c>
      <c r="L2356" t="b">
        <v>0</v>
      </c>
      <c r="M2356" t="b">
        <v>0</v>
      </c>
      <c r="N2356" t="inlineStr">
        <is>
          <t>alt</t>
        </is>
      </c>
      <c r="O2356" t="n">
        <v>-95</v>
      </c>
      <c r="P2356" t="n">
        <v>0.00522</v>
      </c>
      <c r="Q2356" t="n">
        <v>-15</v>
      </c>
      <c r="R2356" t="n">
        <v>0.02332</v>
      </c>
      <c r="S2356">
        <f>IMAGE("https://mitra.stanford.edu/kundaje/oak/projects/neuro-variants/variant_position/credible/roussos_2024/variant_figures/roussos_2024.childhood.GABA/rs10191681_count_position.png",4,220,900)</f>
        <v/>
      </c>
      <c r="T2356">
        <f>IMAGE("https://mitra.stanford.edu/kundaje/oak/projects/neuro-variants/variant_position/credible/roussos_2024/variant_figures/roussos_2024.childhood.GABA/rs10191681_profile_position.png",4,220,900)</f>
        <v/>
      </c>
    </row>
    <row r="2357">
      <c r="A2357" t="inlineStr">
        <is>
          <t>chr2</t>
        </is>
      </c>
      <c r="B2357" t="n">
        <v>228125369</v>
      </c>
      <c r="C2357" t="inlineStr">
        <is>
          <t>T</t>
        </is>
      </c>
      <c r="D2357" t="inlineStr">
        <is>
          <t>C</t>
        </is>
      </c>
      <c r="E2357" t="inlineStr">
        <is>
          <t>rs12618505</t>
        </is>
      </c>
      <c r="F2357" t="n">
        <v>0.06393345459999999</v>
      </c>
      <c r="G2357" t="n">
        <v>0.09575222335027</v>
      </c>
      <c r="H2357" t="n">
        <v>0.0340121852958574</v>
      </c>
      <c r="I2357" t="n">
        <v>0.0075435371702927</v>
      </c>
      <c r="J2357" t="n">
        <v>0.020014240539465</v>
      </c>
      <c r="K2357" t="n">
        <v>0.6516128650670071</v>
      </c>
      <c r="L2357" t="b">
        <v>1</v>
      </c>
      <c r="M2357" t="b">
        <v>0</v>
      </c>
      <c r="N2357" t="inlineStr">
        <is>
          <t>alt</t>
        </is>
      </c>
      <c r="O2357" t="n">
        <v>50</v>
      </c>
      <c r="P2357" t="n">
        <v>0.002884</v>
      </c>
      <c r="Q2357" t="n">
        <v>-90</v>
      </c>
      <c r="R2357" t="n">
        <v>0.0871</v>
      </c>
      <c r="S2357">
        <f>IMAGE("https://mitra.stanford.edu/kundaje/oak/projects/neuro-variants/variant_position/credible/roussos_2024/variant_figures/roussos_2024.childhood.GABA/rs12618505_count_position.png",4,220,900)</f>
        <v/>
      </c>
      <c r="T2357">
        <f>IMAGE("https://mitra.stanford.edu/kundaje/oak/projects/neuro-variants/variant_position/credible/roussos_2024/variant_figures/roussos_2024.childhood.GABA/rs12618505_profile_position.png",4,220,900)</f>
        <v/>
      </c>
    </row>
    <row r="2358">
      <c r="A2358" t="inlineStr">
        <is>
          <t>chr2</t>
        </is>
      </c>
      <c r="B2358" t="n">
        <v>228125644</v>
      </c>
      <c r="C2358" t="inlineStr">
        <is>
          <t>T</t>
        </is>
      </c>
      <c r="D2358" t="inlineStr">
        <is>
          <t>C</t>
        </is>
      </c>
      <c r="E2358" t="inlineStr">
        <is>
          <t>rs4450589</t>
        </is>
      </c>
      <c r="F2358" t="n">
        <v>-0.0001267169027999</v>
      </c>
      <c r="G2358" t="n">
        <v>0.879826853991741</v>
      </c>
      <c r="H2358" t="n">
        <v>0.0273140265365871</v>
      </c>
      <c r="I2358" t="n">
        <v>0.0191644771315923</v>
      </c>
      <c r="J2358" t="n">
        <v>0.0081715566166153</v>
      </c>
      <c r="K2358" t="n">
        <v>0.7669104454062593</v>
      </c>
      <c r="L2358" t="b">
        <v>0</v>
      </c>
      <c r="M2358" t="b">
        <v>0</v>
      </c>
      <c r="N2358" t="inlineStr">
        <is>
          <t>ref</t>
        </is>
      </c>
      <c r="O2358" t="n">
        <v>-100</v>
      </c>
      <c r="P2358" t="n">
        <v>0.002361</v>
      </c>
      <c r="Q2358" t="n">
        <v>-10</v>
      </c>
      <c r="R2358" t="n">
        <v>0.01523</v>
      </c>
      <c r="S2358">
        <f>IMAGE("https://mitra.stanford.edu/kundaje/oak/projects/neuro-variants/variant_position/credible/roussos_2024/variant_figures/roussos_2024.childhood.GABA/rs4450589_count_position.png",4,220,900)</f>
        <v/>
      </c>
      <c r="T2358">
        <f>IMAGE("https://mitra.stanford.edu/kundaje/oak/projects/neuro-variants/variant_position/credible/roussos_2024/variant_figures/roussos_2024.childhood.GABA/rs4450589_profile_position.png",4,220,900)</f>
        <v/>
      </c>
    </row>
    <row r="2359">
      <c r="A2359" t="inlineStr">
        <is>
          <t>chr2</t>
        </is>
      </c>
      <c r="B2359" t="n">
        <v>228127142</v>
      </c>
      <c r="C2359" t="inlineStr">
        <is>
          <t>G</t>
        </is>
      </c>
      <c r="D2359" t="inlineStr">
        <is>
          <t>A</t>
        </is>
      </c>
      <c r="E2359" t="inlineStr">
        <is>
          <t>rs10933236</t>
        </is>
      </c>
      <c r="F2359" t="n">
        <v>0.043264429008</v>
      </c>
      <c r="G2359" t="n">
        <v>0.1864368920646375</v>
      </c>
      <c r="H2359" t="n">
        <v>0.0120531952279624</v>
      </c>
      <c r="I2359" t="n">
        <v>0.422848696430628</v>
      </c>
      <c r="J2359" t="n">
        <v>0.0354704613515947</v>
      </c>
      <c r="K2359" t="n">
        <v>0.5495681034914267</v>
      </c>
      <c r="L2359" t="b">
        <v>0</v>
      </c>
      <c r="M2359" t="b">
        <v>0</v>
      </c>
      <c r="N2359" t="inlineStr">
        <is>
          <t>alt</t>
        </is>
      </c>
      <c r="O2359" t="n">
        <v>-100</v>
      </c>
      <c r="P2359" t="n">
        <v>0.01106</v>
      </c>
      <c r="Q2359" t="n">
        <v>30</v>
      </c>
      <c r="R2359" t="n">
        <v>0.01819</v>
      </c>
      <c r="S2359">
        <f>IMAGE("https://mitra.stanford.edu/kundaje/oak/projects/neuro-variants/variant_position/credible/roussos_2024/variant_figures/roussos_2024.childhood.GABA/rs10933236_count_position.png",4,220,900)</f>
        <v/>
      </c>
      <c r="T2359">
        <f>IMAGE("https://mitra.stanford.edu/kundaje/oak/projects/neuro-variants/variant_position/credible/roussos_2024/variant_figures/roussos_2024.childhood.GABA/rs10933236_profile_position.png",4,220,900)</f>
        <v/>
      </c>
    </row>
    <row r="2360">
      <c r="A2360" t="inlineStr">
        <is>
          <t>chr2</t>
        </is>
      </c>
      <c r="B2360" t="n">
        <v>228129701</v>
      </c>
      <c r="C2360" t="inlineStr">
        <is>
          <t>A</t>
        </is>
      </c>
      <c r="D2360" t="inlineStr">
        <is>
          <t>C</t>
        </is>
      </c>
      <c r="E2360" t="inlineStr">
        <is>
          <t>rs66499548</t>
        </is>
      </c>
      <c r="F2360" t="n">
        <v>-0.00113839582</v>
      </c>
      <c r="G2360" t="n">
        <v>0.8817626640584989</v>
      </c>
      <c r="H2360" t="n">
        <v>0.0224960355696201</v>
      </c>
      <c r="I2360" t="n">
        <v>0.045271539443856</v>
      </c>
      <c r="J2360" t="n">
        <v>0.0051464890787627</v>
      </c>
      <c r="K2360" t="n">
        <v>0.8075884999718672</v>
      </c>
      <c r="L2360" t="b">
        <v>0</v>
      </c>
      <c r="M2360" t="b">
        <v>0</v>
      </c>
      <c r="N2360" t="inlineStr">
        <is>
          <t>ref</t>
        </is>
      </c>
      <c r="O2360" t="n">
        <v>40</v>
      </c>
      <c r="P2360" t="n">
        <v>0.000763</v>
      </c>
      <c r="Q2360" t="n">
        <v>55</v>
      </c>
      <c r="R2360" t="n">
        <v>0.02966</v>
      </c>
      <c r="S2360">
        <f>IMAGE("https://mitra.stanford.edu/kundaje/oak/projects/neuro-variants/variant_position/credible/roussos_2024/variant_figures/roussos_2024.childhood.GABA/rs66499548_count_position.png",4,220,900)</f>
        <v/>
      </c>
      <c r="T2360">
        <f>IMAGE("https://mitra.stanford.edu/kundaje/oak/projects/neuro-variants/variant_position/credible/roussos_2024/variant_figures/roussos_2024.childhood.GABA/rs66499548_profile_position.png",4,220,900)</f>
        <v/>
      </c>
    </row>
    <row r="2361">
      <c r="A2361" t="inlineStr">
        <is>
          <t>chr2</t>
        </is>
      </c>
      <c r="B2361" t="n">
        <v>228129788</v>
      </c>
      <c r="C2361" t="inlineStr">
        <is>
          <t>T</t>
        </is>
      </c>
      <c r="D2361" t="inlineStr">
        <is>
          <t>C</t>
        </is>
      </c>
      <c r="E2361" t="inlineStr">
        <is>
          <t>rs13388454</t>
        </is>
      </c>
      <c r="F2361" t="n">
        <v>-0.0044904559839999</v>
      </c>
      <c r="G2361" t="n">
        <v>0.8308458147801417</v>
      </c>
      <c r="H2361" t="n">
        <v>0.0183817596618065</v>
      </c>
      <c r="I2361" t="n">
        <v>0.1057894535272529</v>
      </c>
      <c r="J2361" t="n">
        <v>0.004827124039287</v>
      </c>
      <c r="K2361" t="n">
        <v>0.8135842699412075</v>
      </c>
      <c r="L2361" t="b">
        <v>0</v>
      </c>
      <c r="M2361" t="b">
        <v>0</v>
      </c>
      <c r="N2361" t="inlineStr">
        <is>
          <t>ref</t>
        </is>
      </c>
      <c r="O2361" t="n">
        <v>-75</v>
      </c>
      <c r="P2361" t="n">
        <v>0.002686</v>
      </c>
      <c r="Q2361" t="n">
        <v>65</v>
      </c>
      <c r="R2361" t="n">
        <v>0.07166</v>
      </c>
      <c r="S2361">
        <f>IMAGE("https://mitra.stanford.edu/kundaje/oak/projects/neuro-variants/variant_position/credible/roussos_2024/variant_figures/roussos_2024.childhood.GABA/rs13388454_count_position.png",4,220,900)</f>
        <v/>
      </c>
      <c r="T2361">
        <f>IMAGE("https://mitra.stanford.edu/kundaje/oak/projects/neuro-variants/variant_position/credible/roussos_2024/variant_figures/roussos_2024.childhood.GABA/rs13388454_profile_position.png",4,220,900)</f>
        <v/>
      </c>
    </row>
    <row r="2362">
      <c r="A2362" t="inlineStr">
        <is>
          <t>chr2</t>
        </is>
      </c>
      <c r="B2362" t="n">
        <v>228130469</v>
      </c>
      <c r="C2362" t="inlineStr">
        <is>
          <t>A</t>
        </is>
      </c>
      <c r="D2362" t="inlineStr">
        <is>
          <t>G</t>
        </is>
      </c>
      <c r="E2362" t="inlineStr">
        <is>
          <t>rs4973071</t>
        </is>
      </c>
      <c r="F2362" t="n">
        <v>0.0098242214999999</v>
      </c>
      <c r="G2362" t="n">
        <v>0.6148008870187974</v>
      </c>
      <c r="H2362" t="n">
        <v>0.0157958281821773</v>
      </c>
      <c r="I2362" t="n">
        <v>0.1876596431184574</v>
      </c>
      <c r="J2362" t="n">
        <v>0.0026030868463487</v>
      </c>
      <c r="K2362" t="n">
        <v>0.8679179316108893</v>
      </c>
      <c r="L2362" t="b">
        <v>0</v>
      </c>
      <c r="M2362" t="b">
        <v>0</v>
      </c>
      <c r="N2362" t="inlineStr">
        <is>
          <t>alt</t>
        </is>
      </c>
      <c r="O2362" t="n">
        <v>95</v>
      </c>
      <c r="P2362" t="n">
        <v>0.00498</v>
      </c>
      <c r="Q2362" t="n">
        <v>-50</v>
      </c>
      <c r="R2362" t="n">
        <v>0.04282</v>
      </c>
      <c r="S2362">
        <f>IMAGE("https://mitra.stanford.edu/kundaje/oak/projects/neuro-variants/variant_position/credible/roussos_2024/variant_figures/roussos_2024.childhood.GABA/rs4973071_count_position.png",4,220,900)</f>
        <v/>
      </c>
      <c r="T2362">
        <f>IMAGE("https://mitra.stanford.edu/kundaje/oak/projects/neuro-variants/variant_position/credible/roussos_2024/variant_figures/roussos_2024.childhood.GABA/rs4973071_profile_position.png",4,220,900)</f>
        <v/>
      </c>
    </row>
    <row r="2363">
      <c r="A2363" t="inlineStr">
        <is>
          <t>chr2</t>
        </is>
      </c>
      <c r="B2363" t="n">
        <v>228131708</v>
      </c>
      <c r="C2363" t="inlineStr">
        <is>
          <t>A</t>
        </is>
      </c>
      <c r="D2363" t="inlineStr">
        <is>
          <t>G</t>
        </is>
      </c>
      <c r="E2363" t="inlineStr">
        <is>
          <t>rs4246653</t>
        </is>
      </c>
      <c r="F2363" t="n">
        <v>-0.0503078044</v>
      </c>
      <c r="G2363" t="n">
        <v>0.145828232351887</v>
      </c>
      <c r="H2363" t="n">
        <v>0.0177395696517725</v>
      </c>
      <c r="I2363" t="n">
        <v>0.1217920433305514</v>
      </c>
      <c r="J2363" t="n">
        <v>0.0945048271240392</v>
      </c>
      <c r="K2363" t="n">
        <v>0.3642901971094599</v>
      </c>
      <c r="L2363" t="b">
        <v>0</v>
      </c>
      <c r="M2363" t="b">
        <v>0</v>
      </c>
      <c r="N2363" t="inlineStr">
        <is>
          <t>ref</t>
        </is>
      </c>
      <c r="O2363" t="n">
        <v>100</v>
      </c>
      <c r="P2363" t="n">
        <v>0.006123</v>
      </c>
      <c r="Q2363" t="n">
        <v>75</v>
      </c>
      <c r="R2363" t="n">
        <v>0.09515</v>
      </c>
      <c r="S2363">
        <f>IMAGE("https://mitra.stanford.edu/kundaje/oak/projects/neuro-variants/variant_position/credible/roussos_2024/variant_figures/roussos_2024.childhood.GABA/rs4246653_count_position.png",4,220,900)</f>
        <v/>
      </c>
      <c r="T2363">
        <f>IMAGE("https://mitra.stanford.edu/kundaje/oak/projects/neuro-variants/variant_position/credible/roussos_2024/variant_figures/roussos_2024.childhood.GABA/rs4246653_profile_position.png",4,220,900)</f>
        <v/>
      </c>
    </row>
    <row r="2364">
      <c r="A2364" t="inlineStr">
        <is>
          <t>chr2</t>
        </is>
      </c>
      <c r="B2364" t="n">
        <v>228134826</v>
      </c>
      <c r="C2364" t="inlineStr">
        <is>
          <t>T</t>
        </is>
      </c>
      <c r="D2364" t="inlineStr">
        <is>
          <t>C</t>
        </is>
      </c>
      <c r="E2364" t="inlineStr">
        <is>
          <t>rs6436754</t>
        </is>
      </c>
      <c r="F2364" t="n">
        <v>1.067733999999994e-05</v>
      </c>
      <c r="G2364" t="n">
        <v>0.7576372144166039</v>
      </c>
      <c r="H2364" t="n">
        <v>0.0061078275955301</v>
      </c>
      <c r="I2364" t="n">
        <v>0.9860553138872712</v>
      </c>
      <c r="J2364" t="n">
        <v>0.0648436681954304</v>
      </c>
      <c r="K2364" t="n">
        <v>0.4629871966758728</v>
      </c>
      <c r="L2364" t="b">
        <v>0</v>
      </c>
      <c r="M2364" t="b">
        <v>0</v>
      </c>
      <c r="N2364" t="inlineStr">
        <is>
          <t>alt</t>
        </is>
      </c>
      <c r="O2364" t="n">
        <v>-80</v>
      </c>
      <c r="P2364" t="n">
        <v>0.01417</v>
      </c>
      <c r="Q2364" t="n">
        <v>20</v>
      </c>
      <c r="R2364" t="n">
        <v>0.04297</v>
      </c>
      <c r="S2364">
        <f>IMAGE("https://mitra.stanford.edu/kundaje/oak/projects/neuro-variants/variant_position/credible/roussos_2024/variant_figures/roussos_2024.childhood.GABA/rs6436754_count_position.png",4,220,900)</f>
        <v/>
      </c>
      <c r="T2364">
        <f>IMAGE("https://mitra.stanford.edu/kundaje/oak/projects/neuro-variants/variant_position/credible/roussos_2024/variant_figures/roussos_2024.childhood.GABA/rs6436754_profile_position.png",4,220,900)</f>
        <v/>
      </c>
    </row>
    <row r="2365">
      <c r="A2365" t="inlineStr">
        <is>
          <t>chr2</t>
        </is>
      </c>
      <c r="B2365" t="n">
        <v>228138147</v>
      </c>
      <c r="C2365" t="inlineStr">
        <is>
          <t>C</t>
        </is>
      </c>
      <c r="D2365" t="inlineStr">
        <is>
          <t>T</t>
        </is>
      </c>
      <c r="E2365" t="inlineStr">
        <is>
          <t>rs4246655</t>
        </is>
      </c>
      <c r="F2365" t="n">
        <v>-0.0902075422</v>
      </c>
      <c r="G2365" t="n">
        <v>0.038009825472915</v>
      </c>
      <c r="H2365" t="n">
        <v>0.0141526616142753</v>
      </c>
      <c r="I2365" t="n">
        <v>0.2722447442445714</v>
      </c>
      <c r="J2365" t="n">
        <v>0.0100772758685681</v>
      </c>
      <c r="K2365" t="n">
        <v>0.7378659463242302</v>
      </c>
      <c r="L2365" t="b">
        <v>0</v>
      </c>
      <c r="M2365" t="b">
        <v>0</v>
      </c>
      <c r="N2365" t="inlineStr">
        <is>
          <t>ref</t>
        </is>
      </c>
      <c r="O2365" t="n">
        <v>-75</v>
      </c>
      <c r="P2365" t="n">
        <v>0.001919</v>
      </c>
      <c r="Q2365" t="n">
        <v>55</v>
      </c>
      <c r="R2365" t="n">
        <v>0.05322</v>
      </c>
      <c r="S2365">
        <f>IMAGE("https://mitra.stanford.edu/kundaje/oak/projects/neuro-variants/variant_position/credible/roussos_2024/variant_figures/roussos_2024.childhood.GABA/rs4246655_count_position.png",4,220,900)</f>
        <v/>
      </c>
      <c r="T2365">
        <f>IMAGE("https://mitra.stanford.edu/kundaje/oak/projects/neuro-variants/variant_position/credible/roussos_2024/variant_figures/roussos_2024.childhood.GABA/rs4246655_profile_position.png",4,220,900)</f>
        <v/>
      </c>
    </row>
    <row r="2366">
      <c r="A2366" t="inlineStr">
        <is>
          <t>chr2</t>
        </is>
      </c>
      <c r="B2366" t="n">
        <v>228139166</v>
      </c>
      <c r="C2366" t="inlineStr">
        <is>
          <t>G</t>
        </is>
      </c>
      <c r="D2366" t="inlineStr">
        <is>
          <t>T</t>
        </is>
      </c>
      <c r="E2366" t="inlineStr">
        <is>
          <t>rs4321353</t>
        </is>
      </c>
      <c r="F2366" t="n">
        <v>-0.01257958526</v>
      </c>
      <c r="G2366" t="n">
        <v>0.5649689053021721</v>
      </c>
      <c r="H2366" t="n">
        <v>0.0186663295364615</v>
      </c>
      <c r="I2366" t="n">
        <v>0.0998027181468769</v>
      </c>
      <c r="J2366" t="n">
        <v>0.004439697597956</v>
      </c>
      <c r="K2366" t="n">
        <v>0.8410433763959991</v>
      </c>
      <c r="L2366" t="b">
        <v>0</v>
      </c>
      <c r="M2366" t="b">
        <v>0</v>
      </c>
      <c r="N2366" t="inlineStr">
        <is>
          <t>ref</t>
        </is>
      </c>
      <c r="O2366" t="n">
        <v>20</v>
      </c>
      <c r="P2366" t="n">
        <v>0.0005264</v>
      </c>
      <c r="Q2366" t="n">
        <v>20</v>
      </c>
      <c r="R2366" t="n">
        <v>0.009639999999999999</v>
      </c>
      <c r="S2366">
        <f>IMAGE("https://mitra.stanford.edu/kundaje/oak/projects/neuro-variants/variant_position/credible/roussos_2024/variant_figures/roussos_2024.childhood.GABA/rs4321353_count_position.png",4,220,900)</f>
        <v/>
      </c>
      <c r="T2366">
        <f>IMAGE("https://mitra.stanford.edu/kundaje/oak/projects/neuro-variants/variant_position/credible/roussos_2024/variant_figures/roussos_2024.childhood.GABA/rs4321353_profile_position.png",4,220,900)</f>
        <v/>
      </c>
    </row>
    <row r="2367">
      <c r="A2367" t="inlineStr">
        <is>
          <t>chr2</t>
        </is>
      </c>
      <c r="B2367" t="n">
        <v>229594594</v>
      </c>
      <c r="C2367" t="inlineStr">
        <is>
          <t>A</t>
        </is>
      </c>
      <c r="D2367" t="inlineStr">
        <is>
          <t>C</t>
        </is>
      </c>
      <c r="E2367" t="inlineStr">
        <is>
          <t>rs55784527</t>
        </is>
      </c>
      <c r="F2367" t="n">
        <v>-0.0108197526</v>
      </c>
      <c r="G2367" t="n">
        <v>0.6269377745983579</v>
      </c>
      <c r="H2367" t="n">
        <v>0.0385764731113178</v>
      </c>
      <c r="I2367" t="n">
        <v>0.0043907114429755</v>
      </c>
      <c r="J2367" t="n">
        <v>0.0112280371091704</v>
      </c>
      <c r="K2367" t="n">
        <v>0.7261891984177815</v>
      </c>
      <c r="L2367" t="b">
        <v>1</v>
      </c>
      <c r="M2367" t="b">
        <v>0</v>
      </c>
      <c r="N2367" t="inlineStr">
        <is>
          <t>ref</t>
        </is>
      </c>
      <c r="O2367" t="n">
        <v>-60</v>
      </c>
      <c r="P2367" t="n">
        <v>0.01018</v>
      </c>
      <c r="Q2367" t="n">
        <v>-15</v>
      </c>
      <c r="R2367" t="n">
        <v>0.01904</v>
      </c>
      <c r="S2367">
        <f>IMAGE("https://mitra.stanford.edu/kundaje/oak/projects/neuro-variants/variant_position/credible/roussos_2024/variant_figures/roussos_2024.childhood.GABA/rs55784527_count_position.png",4,220,900)</f>
        <v/>
      </c>
      <c r="T2367">
        <f>IMAGE("https://mitra.stanford.edu/kundaje/oak/projects/neuro-variants/variant_position/credible/roussos_2024/variant_figures/roussos_2024.childhood.GABA/rs55784527_profile_position.png",4,220,900)</f>
        <v/>
      </c>
    </row>
    <row r="2368">
      <c r="A2368" t="inlineStr">
        <is>
          <t>chr2</t>
        </is>
      </c>
      <c r="B2368" t="n">
        <v>229732201</v>
      </c>
      <c r="C2368" t="inlineStr">
        <is>
          <t>A</t>
        </is>
      </c>
      <c r="D2368" t="inlineStr">
        <is>
          <t>T</t>
        </is>
      </c>
      <c r="E2368" t="inlineStr">
        <is>
          <t>rs62193248</t>
        </is>
      </c>
      <c r="F2368" t="n">
        <v>-0.0116369888945</v>
      </c>
      <c r="G2368" t="n">
        <v>0.596979588883718</v>
      </c>
      <c r="H2368" t="n">
        <v>0.0183735674322625</v>
      </c>
      <c r="I2368" t="n">
        <v>0.1081866470783456</v>
      </c>
      <c r="J2368" t="n">
        <v>0.4087516491801218</v>
      </c>
      <c r="K2368" t="n">
        <v>0.0824658496276414</v>
      </c>
      <c r="L2368" t="b">
        <v>0</v>
      </c>
      <c r="M2368" t="b">
        <v>0</v>
      </c>
      <c r="N2368" t="inlineStr">
        <is>
          <t>ref</t>
        </is>
      </c>
      <c r="O2368" t="n">
        <v>-15</v>
      </c>
      <c r="P2368" t="n">
        <v>0.0005226</v>
      </c>
      <c r="Q2368" t="n">
        <v>75</v>
      </c>
      <c r="R2368" t="n">
        <v>0.03906</v>
      </c>
      <c r="S2368">
        <f>IMAGE("https://mitra.stanford.edu/kundaje/oak/projects/neuro-variants/variant_position/credible/roussos_2024/variant_figures/roussos_2024.childhood.GABA/rs62193248_count_position.png",4,220,900)</f>
        <v/>
      </c>
      <c r="T2368">
        <f>IMAGE("https://mitra.stanford.edu/kundaje/oak/projects/neuro-variants/variant_position/credible/roussos_2024/variant_figures/roussos_2024.childhood.GABA/rs62193248_profile_position.png",4,220,900)</f>
        <v/>
      </c>
    </row>
    <row r="2369">
      <c r="A2369" t="inlineStr">
        <is>
          <t>chr2</t>
        </is>
      </c>
      <c r="B2369" t="n">
        <v>229738161</v>
      </c>
      <c r="C2369" t="inlineStr">
        <is>
          <t>G</t>
        </is>
      </c>
      <c r="D2369" t="inlineStr">
        <is>
          <t>C</t>
        </is>
      </c>
      <c r="E2369" t="inlineStr">
        <is>
          <t>rs11886634</t>
        </is>
      </c>
      <c r="F2369" t="n">
        <v>0.171123746</v>
      </c>
      <c r="G2369" t="n">
        <v>0.0072785982181137</v>
      </c>
      <c r="H2369" t="n">
        <v>0.0256087349042619</v>
      </c>
      <c r="I2369" t="n">
        <v>0.0258963320458716</v>
      </c>
      <c r="J2369" t="n">
        <v>0.1288716466670854</v>
      </c>
      <c r="K2369" t="n">
        <v>0.2972898289881212</v>
      </c>
      <c r="L2369" t="b">
        <v>1</v>
      </c>
      <c r="M2369" t="b">
        <v>1</v>
      </c>
      <c r="N2369" t="inlineStr">
        <is>
          <t>alt</t>
        </is>
      </c>
      <c r="O2369" t="n">
        <v>-70</v>
      </c>
      <c r="P2369" t="n">
        <v>0.01143</v>
      </c>
      <c r="Q2369" t="n">
        <v>55</v>
      </c>
      <c r="R2369" t="n">
        <v>0.03088</v>
      </c>
      <c r="S2369">
        <f>IMAGE("https://mitra.stanford.edu/kundaje/oak/projects/neuro-variants/variant_position/credible/roussos_2024/variant_figures/roussos_2024.childhood.GABA/rs11886634_count_position.png",4,220,900)</f>
        <v/>
      </c>
      <c r="T2369">
        <f>IMAGE("https://mitra.stanford.edu/kundaje/oak/projects/neuro-variants/variant_position/credible/roussos_2024/variant_figures/roussos_2024.childhood.GABA/rs11886634_profile_position.png",4,220,900)</f>
        <v/>
      </c>
    </row>
    <row r="2370">
      <c r="A2370" t="inlineStr">
        <is>
          <t>chr2</t>
        </is>
      </c>
      <c r="B2370" t="n">
        <v>229750034</v>
      </c>
      <c r="C2370" t="inlineStr">
        <is>
          <t>A</t>
        </is>
      </c>
      <c r="D2370" t="inlineStr">
        <is>
          <t>G</t>
        </is>
      </c>
      <c r="E2370" t="inlineStr">
        <is>
          <t>rs11885896</t>
        </is>
      </c>
      <c r="F2370" t="n">
        <v>-0.00561178166</v>
      </c>
      <c r="G2370" t="n">
        <v>0.6059305449918558</v>
      </c>
      <c r="H2370" t="n">
        <v>0.009521086484930601</v>
      </c>
      <c r="I2370" t="n">
        <v>0.6938273856369253</v>
      </c>
      <c r="J2370" t="n">
        <v>0.0403415635274653</v>
      </c>
      <c r="K2370" t="n">
        <v>0.5432263919146286</v>
      </c>
      <c r="L2370" t="b">
        <v>0</v>
      </c>
      <c r="M2370" t="b">
        <v>0</v>
      </c>
      <c r="N2370" t="inlineStr">
        <is>
          <t>ref</t>
        </is>
      </c>
      <c r="O2370" t="n">
        <v>95</v>
      </c>
      <c r="P2370" t="n">
        <v>0.1099</v>
      </c>
      <c r="Q2370" t="n">
        <v>-10</v>
      </c>
      <c r="R2370" t="n">
        <v>0.014404</v>
      </c>
      <c r="S2370">
        <f>IMAGE("https://mitra.stanford.edu/kundaje/oak/projects/neuro-variants/variant_position/credible/roussos_2024/variant_figures/roussos_2024.childhood.GABA/rs11885896_count_position.png",4,220,900)</f>
        <v/>
      </c>
      <c r="T2370">
        <f>IMAGE("https://mitra.stanford.edu/kundaje/oak/projects/neuro-variants/variant_position/credible/roussos_2024/variant_figures/roussos_2024.childhood.GABA/rs11885896_profile_position.png",4,220,900)</f>
        <v/>
      </c>
    </row>
    <row r="2371">
      <c r="A2371" t="inlineStr">
        <is>
          <t>chr2</t>
        </is>
      </c>
      <c r="B2371" t="n">
        <v>229753804</v>
      </c>
      <c r="C2371" t="inlineStr">
        <is>
          <t>A</t>
        </is>
      </c>
      <c r="D2371" t="inlineStr">
        <is>
          <t>G</t>
        </is>
      </c>
      <c r="E2371" t="inlineStr">
        <is>
          <t>rs62190392</t>
        </is>
      </c>
      <c r="F2371" t="n">
        <v>0.0368912702</v>
      </c>
      <c r="G2371" t="n">
        <v>0.2269600218266745</v>
      </c>
      <c r="H2371" t="n">
        <v>0.0130167438375025</v>
      </c>
      <c r="I2371" t="n">
        <v>0.3541197645283428</v>
      </c>
      <c r="J2371" t="n">
        <v>0.1665986052648111</v>
      </c>
      <c r="K2371" t="n">
        <v>0.2505940368684525</v>
      </c>
      <c r="L2371" t="b">
        <v>0</v>
      </c>
      <c r="M2371" t="b">
        <v>0</v>
      </c>
      <c r="N2371" t="inlineStr">
        <is>
          <t>alt</t>
        </is>
      </c>
      <c r="O2371" t="n">
        <v>-15</v>
      </c>
      <c r="P2371" t="n">
        <v>0.001465</v>
      </c>
      <c r="Q2371" t="n">
        <v>-100</v>
      </c>
      <c r="R2371" t="n">
        <v>0.1313</v>
      </c>
      <c r="S2371">
        <f>IMAGE("https://mitra.stanford.edu/kundaje/oak/projects/neuro-variants/variant_position/credible/roussos_2024/variant_figures/roussos_2024.childhood.GABA/rs62190392_count_position.png",4,220,900)</f>
        <v/>
      </c>
      <c r="T2371">
        <f>IMAGE("https://mitra.stanford.edu/kundaje/oak/projects/neuro-variants/variant_position/credible/roussos_2024/variant_figures/roussos_2024.childhood.GABA/rs62190392_profile_position.png",4,220,900)</f>
        <v/>
      </c>
    </row>
    <row r="2372">
      <c r="A2372" t="inlineStr">
        <is>
          <t>chr2</t>
        </is>
      </c>
      <c r="B2372" t="n">
        <v>229786402</v>
      </c>
      <c r="C2372" t="inlineStr">
        <is>
          <t>T</t>
        </is>
      </c>
      <c r="D2372" t="inlineStr">
        <is>
          <t>G</t>
        </is>
      </c>
      <c r="E2372" t="inlineStr">
        <is>
          <t>rs370430952</t>
        </is>
      </c>
      <c r="F2372" t="n">
        <v>-0.023924708</v>
      </c>
      <c r="G2372" t="n">
        <v>0.372971813287963</v>
      </c>
      <c r="H2372" t="n">
        <v>0.0366120003339565</v>
      </c>
      <c r="I2372" t="n">
        <v>0.0053441492201749</v>
      </c>
      <c r="J2372" t="n">
        <v>0.0544941467194404</v>
      </c>
      <c r="K2372" t="n">
        <v>0.4892704658010726</v>
      </c>
      <c r="L2372" t="b">
        <v>1</v>
      </c>
      <c r="M2372" t="b">
        <v>1</v>
      </c>
      <c r="N2372" t="inlineStr">
        <is>
          <t>ref</t>
        </is>
      </c>
      <c r="O2372" t="n">
        <v>90</v>
      </c>
      <c r="P2372" t="n">
        <v>0.1259</v>
      </c>
      <c r="Q2372" t="n">
        <v>60</v>
      </c>
      <c r="R2372" t="n">
        <v>0.10785</v>
      </c>
      <c r="S2372">
        <f>IMAGE("https://mitra.stanford.edu/kundaje/oak/projects/neuro-variants/variant_position/credible/roussos_2024/variant_figures/roussos_2024.childhood.GABA/rs370430952_count_position.png",4,220,900)</f>
        <v/>
      </c>
      <c r="T2372">
        <f>IMAGE("https://mitra.stanford.edu/kundaje/oak/projects/neuro-variants/variant_position/credible/roussos_2024/variant_figures/roussos_2024.childhood.GABA/rs370430952_profile_position.png",4,220,900)</f>
        <v/>
      </c>
    </row>
    <row r="2373">
      <c r="A2373" t="inlineStr">
        <is>
          <t>chr2</t>
        </is>
      </c>
      <c r="B2373" t="n">
        <v>229800587</v>
      </c>
      <c r="C2373" t="inlineStr">
        <is>
          <t>T</t>
        </is>
      </c>
      <c r="D2373" t="inlineStr">
        <is>
          <t>C</t>
        </is>
      </c>
      <c r="E2373" t="inlineStr">
        <is>
          <t>rs7592697</t>
        </is>
      </c>
      <c r="F2373" t="n">
        <v>0.009140685399999999</v>
      </c>
      <c r="G2373" t="n">
        <v>0.6519720383845335</v>
      </c>
      <c r="H2373" t="n">
        <v>0.0276619518242203</v>
      </c>
      <c r="I2373" t="n">
        <v>0.0182929667076213</v>
      </c>
      <c r="J2373" t="n">
        <v>0.061996607400892</v>
      </c>
      <c r="K2373" t="n">
        <v>0.441946200588868</v>
      </c>
      <c r="L2373" t="b">
        <v>1</v>
      </c>
      <c r="M2373" t="b">
        <v>0</v>
      </c>
      <c r="N2373" t="inlineStr">
        <is>
          <t>alt</t>
        </is>
      </c>
      <c r="O2373" t="n">
        <v>-10</v>
      </c>
      <c r="P2373" t="n">
        <v>0.000824</v>
      </c>
      <c r="Q2373" t="n">
        <v>100</v>
      </c>
      <c r="R2373" t="n">
        <v>0.06433</v>
      </c>
      <c r="S2373">
        <f>IMAGE("https://mitra.stanford.edu/kundaje/oak/projects/neuro-variants/variant_position/credible/roussos_2024/variant_figures/roussos_2024.childhood.GABA/rs7592697_count_position.png",4,220,900)</f>
        <v/>
      </c>
      <c r="T2373">
        <f>IMAGE("https://mitra.stanford.edu/kundaje/oak/projects/neuro-variants/variant_position/credible/roussos_2024/variant_figures/roussos_2024.childhood.GABA/rs7592697_profile_position.png",4,220,900)</f>
        <v/>
      </c>
    </row>
    <row r="2374">
      <c r="A2374" t="inlineStr">
        <is>
          <t>chr2</t>
        </is>
      </c>
      <c r="B2374" t="n">
        <v>229803073</v>
      </c>
      <c r="C2374" t="inlineStr">
        <is>
          <t>C</t>
        </is>
      </c>
      <c r="D2374" t="inlineStr">
        <is>
          <t>G</t>
        </is>
      </c>
      <c r="E2374" t="inlineStr">
        <is>
          <t>rs13035379</t>
        </is>
      </c>
      <c r="F2374" t="n">
        <v>-0.1132532268</v>
      </c>
      <c r="G2374" t="n">
        <v>0.0216245394092639</v>
      </c>
      <c r="H2374" t="n">
        <v>0.0261808316752825</v>
      </c>
      <c r="I2374" t="n">
        <v>0.0252801372477854</v>
      </c>
      <c r="J2374" t="n">
        <v>0.0357793554061694</v>
      </c>
      <c r="K2374" t="n">
        <v>0.5676195904417531</v>
      </c>
      <c r="L2374" t="b">
        <v>0</v>
      </c>
      <c r="M2374" t="b">
        <v>0</v>
      </c>
      <c r="N2374" t="inlineStr">
        <is>
          <t>ref</t>
        </is>
      </c>
      <c r="O2374" t="n">
        <v>95</v>
      </c>
      <c r="P2374" t="n">
        <v>0.003052</v>
      </c>
      <c r="Q2374" t="n">
        <v>45</v>
      </c>
      <c r="R2374" t="n">
        <v>0.06207</v>
      </c>
      <c r="S2374">
        <f>IMAGE("https://mitra.stanford.edu/kundaje/oak/projects/neuro-variants/variant_position/credible/roussos_2024/variant_figures/roussos_2024.childhood.GABA/rs13035379_count_position.png",4,220,900)</f>
        <v/>
      </c>
      <c r="T2374">
        <f>IMAGE("https://mitra.stanford.edu/kundaje/oak/projects/neuro-variants/variant_position/credible/roussos_2024/variant_figures/roussos_2024.childhood.GABA/rs13035379_profile_position.png",4,220,900)</f>
        <v/>
      </c>
    </row>
    <row r="2375">
      <c r="A2375" t="inlineStr">
        <is>
          <t>chr2</t>
        </is>
      </c>
      <c r="B2375" t="n">
        <v>229893844</v>
      </c>
      <c r="C2375" t="inlineStr">
        <is>
          <t>A</t>
        </is>
      </c>
      <c r="D2375" t="inlineStr">
        <is>
          <t>G</t>
        </is>
      </c>
      <c r="E2375" t="inlineStr">
        <is>
          <t>rs6749080</t>
        </is>
      </c>
      <c r="F2375" t="n">
        <v>0.0266553656</v>
      </c>
      <c r="G2375" t="n">
        <v>0.3229038740835926</v>
      </c>
      <c r="H2375" t="n">
        <v>0.0088090430525296</v>
      </c>
      <c r="I2375" t="n">
        <v>0.7620001126836998</v>
      </c>
      <c r="J2375" t="n">
        <v>0.0525329312475131</v>
      </c>
      <c r="K2375" t="n">
        <v>0.4896411370269585</v>
      </c>
      <c r="L2375" t="b">
        <v>0</v>
      </c>
      <c r="M2375" t="b">
        <v>0</v>
      </c>
      <c r="N2375" t="inlineStr">
        <is>
          <t>alt</t>
        </is>
      </c>
      <c r="O2375" t="n">
        <v>-85</v>
      </c>
      <c r="P2375" t="n">
        <v>0.002876</v>
      </c>
      <c r="Q2375" t="n">
        <v>25</v>
      </c>
      <c r="R2375" t="n">
        <v>0.02844</v>
      </c>
      <c r="S2375">
        <f>IMAGE("https://mitra.stanford.edu/kundaje/oak/projects/neuro-variants/variant_position/credible/roussos_2024/variant_figures/roussos_2024.childhood.GABA/rs6749080_count_position.png",4,220,900)</f>
        <v/>
      </c>
      <c r="T2375">
        <f>IMAGE("https://mitra.stanford.edu/kundaje/oak/projects/neuro-variants/variant_position/credible/roussos_2024/variant_figures/roussos_2024.childhood.GABA/rs6749080_profile_position.png",4,220,900)</f>
        <v/>
      </c>
    </row>
    <row r="2376">
      <c r="A2376" t="inlineStr">
        <is>
          <t>chr2</t>
        </is>
      </c>
      <c r="B2376" t="n">
        <v>232727777</v>
      </c>
      <c r="C2376" t="inlineStr">
        <is>
          <t>G</t>
        </is>
      </c>
      <c r="D2376" t="inlineStr">
        <is>
          <t>A</t>
        </is>
      </c>
      <c r="E2376" t="inlineStr">
        <is>
          <t>rs6704763</t>
        </is>
      </c>
      <c r="F2376" t="n">
        <v>-0.0259646622</v>
      </c>
      <c r="G2376" t="n">
        <v>0.3565720772381914</v>
      </c>
      <c r="H2376" t="n">
        <v>0.011924318583059</v>
      </c>
      <c r="I2376" t="n">
        <v>0.4446180471283379</v>
      </c>
      <c r="J2376" t="n">
        <v>0.0208027057024983</v>
      </c>
      <c r="K2376" t="n">
        <v>0.6489957314953321</v>
      </c>
      <c r="L2376" t="b">
        <v>0</v>
      </c>
      <c r="M2376" t="b">
        <v>0</v>
      </c>
      <c r="N2376" t="inlineStr">
        <is>
          <t>ref</t>
        </is>
      </c>
      <c r="O2376" t="n">
        <v>90</v>
      </c>
      <c r="P2376" t="n">
        <v>0.009979999999999999</v>
      </c>
      <c r="Q2376" t="n">
        <v>60</v>
      </c>
      <c r="R2376" t="n">
        <v>0.0643</v>
      </c>
      <c r="S2376">
        <f>IMAGE("https://mitra.stanford.edu/kundaje/oak/projects/neuro-variants/variant_position/credible/roussos_2024/variant_figures/roussos_2024.childhood.GABA/rs6704763_count_position.png",4,220,900)</f>
        <v/>
      </c>
      <c r="T2376">
        <f>IMAGE("https://mitra.stanford.edu/kundaje/oak/projects/neuro-variants/variant_position/credible/roussos_2024/variant_figures/roussos_2024.childhood.GABA/rs6704763_profile_position.png",4,220,900)</f>
        <v/>
      </c>
    </row>
    <row r="2377">
      <c r="A2377" t="inlineStr">
        <is>
          <t>chr2</t>
        </is>
      </c>
      <c r="B2377" t="n">
        <v>232730453</v>
      </c>
      <c r="C2377" t="inlineStr">
        <is>
          <t>C</t>
        </is>
      </c>
      <c r="D2377" t="inlineStr">
        <is>
          <t>A</t>
        </is>
      </c>
      <c r="E2377" t="inlineStr">
        <is>
          <t>rs6716488</t>
        </is>
      </c>
      <c r="F2377" t="n">
        <v>0.003711798728</v>
      </c>
      <c r="G2377" t="n">
        <v>0.7980193664862388</v>
      </c>
      <c r="H2377" t="n">
        <v>0.0253035914450112</v>
      </c>
      <c r="I2377" t="n">
        <v>0.0267358637417465</v>
      </c>
      <c r="J2377" t="n">
        <v>0.0867887583506104</v>
      </c>
      <c r="K2377" t="n">
        <v>0.412338536695563</v>
      </c>
      <c r="L2377" t="b">
        <v>0</v>
      </c>
      <c r="M2377" t="b">
        <v>0</v>
      </c>
      <c r="N2377" t="inlineStr">
        <is>
          <t>alt</t>
        </is>
      </c>
      <c r="O2377" t="n">
        <v>55</v>
      </c>
      <c r="P2377" t="n">
        <v>0.00554</v>
      </c>
      <c r="Q2377" t="n">
        <v>95</v>
      </c>
      <c r="R2377" t="n">
        <v>0.1091</v>
      </c>
      <c r="S2377">
        <f>IMAGE("https://mitra.stanford.edu/kundaje/oak/projects/neuro-variants/variant_position/credible/roussos_2024/variant_figures/roussos_2024.childhood.GABA/rs6716488_count_position.png",4,220,900)</f>
        <v/>
      </c>
      <c r="T2377">
        <f>IMAGE("https://mitra.stanford.edu/kundaje/oak/projects/neuro-variants/variant_position/credible/roussos_2024/variant_figures/roussos_2024.childhood.GABA/rs6716488_profile_position.png",4,220,900)</f>
        <v/>
      </c>
    </row>
    <row r="2378">
      <c r="A2378" t="inlineStr">
        <is>
          <t>chr2</t>
        </is>
      </c>
      <c r="B2378" t="n">
        <v>232769842</v>
      </c>
      <c r="C2378" t="inlineStr">
        <is>
          <t>T</t>
        </is>
      </c>
      <c r="D2378" t="inlineStr">
        <is>
          <t>C</t>
        </is>
      </c>
      <c r="E2378" t="inlineStr">
        <is>
          <t>rs2293782</t>
        </is>
      </c>
      <c r="F2378" t="n">
        <v>0.0031784931199999</v>
      </c>
      <c r="G2378" t="n">
        <v>0.7906379429913052</v>
      </c>
      <c r="H2378" t="n">
        <v>0.0085588781742901</v>
      </c>
      <c r="I2378" t="n">
        <v>0.766159508518144</v>
      </c>
      <c r="J2378" t="n">
        <v>0.0057024983769973</v>
      </c>
      <c r="K2378" t="n">
        <v>0.8008935420666797</v>
      </c>
      <c r="L2378" t="b">
        <v>0</v>
      </c>
      <c r="M2378" t="b">
        <v>0</v>
      </c>
      <c r="N2378" t="inlineStr">
        <is>
          <t>alt</t>
        </is>
      </c>
      <c r="O2378" t="n">
        <v>-100</v>
      </c>
      <c r="P2378" t="n">
        <v>0.01395</v>
      </c>
      <c r="Q2378" t="n">
        <v>40</v>
      </c>
      <c r="R2378" t="n">
        <v>0.02057</v>
      </c>
      <c r="S2378">
        <f>IMAGE("https://mitra.stanford.edu/kundaje/oak/projects/neuro-variants/variant_position/credible/roussos_2024/variant_figures/roussos_2024.childhood.GABA/rs2293782_count_position.png",4,220,900)</f>
        <v/>
      </c>
      <c r="T2378">
        <f>IMAGE("https://mitra.stanford.edu/kundaje/oak/projects/neuro-variants/variant_position/credible/roussos_2024/variant_figures/roussos_2024.childhood.GABA/rs2293782_profile_position.png",4,220,900)</f>
        <v/>
      </c>
    </row>
    <row r="2379">
      <c r="A2379" t="inlineStr">
        <is>
          <t>chr2</t>
        </is>
      </c>
      <c r="B2379" t="n">
        <v>232776161</v>
      </c>
      <c r="C2379" t="inlineStr">
        <is>
          <t>T</t>
        </is>
      </c>
      <c r="D2379" t="inlineStr">
        <is>
          <t>G</t>
        </is>
      </c>
      <c r="E2379" t="inlineStr">
        <is>
          <t>rs56054779</t>
        </is>
      </c>
      <c r="F2379" t="n">
        <v>-0.0001648738439999</v>
      </c>
      <c r="G2379" t="n">
        <v>0.6213547178877153</v>
      </c>
      <c r="H2379" t="n">
        <v>0.0369239528169423</v>
      </c>
      <c r="I2379" t="n">
        <v>0.0051592187504546</v>
      </c>
      <c r="J2379" t="n">
        <v>0.0440838935310254</v>
      </c>
      <c r="K2379" t="n">
        <v>0.5090613162648635</v>
      </c>
      <c r="L2379" t="b">
        <v>1</v>
      </c>
      <c r="M2379" t="b">
        <v>0</v>
      </c>
      <c r="N2379" t="inlineStr">
        <is>
          <t>ref</t>
        </is>
      </c>
      <c r="O2379" t="n">
        <v>-100</v>
      </c>
      <c r="P2379" t="n">
        <v>0.02591</v>
      </c>
      <c r="Q2379" t="n">
        <v>-100</v>
      </c>
      <c r="R2379" t="n">
        <v>0.2832</v>
      </c>
      <c r="S2379">
        <f>IMAGE("https://mitra.stanford.edu/kundaje/oak/projects/neuro-variants/variant_position/credible/roussos_2024/variant_figures/roussos_2024.childhood.GABA/rs56054779_count_position.png",4,220,900)</f>
        <v/>
      </c>
      <c r="T2379">
        <f>IMAGE("https://mitra.stanford.edu/kundaje/oak/projects/neuro-variants/variant_position/credible/roussos_2024/variant_figures/roussos_2024.childhood.GABA/rs56054779_profile_position.png",4,220,900)</f>
        <v/>
      </c>
    </row>
    <row r="2380">
      <c r="A2380" t="inlineStr">
        <is>
          <t>chr2</t>
        </is>
      </c>
      <c r="B2380" t="n">
        <v>232825372</v>
      </c>
      <c r="C2380" t="inlineStr">
        <is>
          <t>C</t>
        </is>
      </c>
      <c r="D2380" t="inlineStr">
        <is>
          <t>T</t>
        </is>
      </c>
      <c r="E2380" t="inlineStr">
        <is>
          <t>rs12993791</t>
        </is>
      </c>
      <c r="F2380" t="n">
        <v>0.00549932334</v>
      </c>
      <c r="G2380" t="n">
        <v>0.5366632381960319</v>
      </c>
      <c r="H2380" t="n">
        <v>0.0101316781985853</v>
      </c>
      <c r="I2380" t="n">
        <v>0.5987177334625089</v>
      </c>
      <c r="J2380" t="n">
        <v>0.0862620678100981</v>
      </c>
      <c r="K2380" t="n">
        <v>0.3842399767019072</v>
      </c>
      <c r="L2380" t="b">
        <v>0</v>
      </c>
      <c r="M2380" t="b">
        <v>0</v>
      </c>
      <c r="N2380" t="inlineStr">
        <is>
          <t>alt</t>
        </is>
      </c>
      <c r="O2380" t="n">
        <v>-80</v>
      </c>
      <c r="P2380" t="n">
        <v>0.00164</v>
      </c>
      <c r="Q2380" t="n">
        <v>10</v>
      </c>
      <c r="R2380" t="n">
        <v>0.01178</v>
      </c>
      <c r="S2380">
        <f>IMAGE("https://mitra.stanford.edu/kundaje/oak/projects/neuro-variants/variant_position/credible/roussos_2024/variant_figures/roussos_2024.childhood.GABA/rs12993791_count_position.png",4,220,900)</f>
        <v/>
      </c>
      <c r="T2380">
        <f>IMAGE("https://mitra.stanford.edu/kundaje/oak/projects/neuro-variants/variant_position/credible/roussos_2024/variant_figures/roussos_2024.childhood.GABA/rs12993791_profile_position.png",4,220,900)</f>
        <v/>
      </c>
    </row>
    <row r="2381">
      <c r="A2381" t="inlineStr">
        <is>
          <t>chr2</t>
        </is>
      </c>
      <c r="B2381" t="n">
        <v>232847538</v>
      </c>
      <c r="C2381" t="inlineStr">
        <is>
          <t>G</t>
        </is>
      </c>
      <c r="D2381" t="inlineStr">
        <is>
          <t>A</t>
        </is>
      </c>
      <c r="E2381" t="inlineStr">
        <is>
          <t>rs12328151</t>
        </is>
      </c>
      <c r="F2381" t="n">
        <v>-0.127123522</v>
      </c>
      <c r="G2381" t="n">
        <v>0.0187519739265967</v>
      </c>
      <c r="H2381" t="n">
        <v>0.0183078614372234</v>
      </c>
      <c r="I2381" t="n">
        <v>0.1081465003057927</v>
      </c>
      <c r="J2381" t="n">
        <v>0.2108908713953634</v>
      </c>
      <c r="K2381" t="n">
        <v>0.2042883834553762</v>
      </c>
      <c r="L2381" t="b">
        <v>1</v>
      </c>
      <c r="M2381" t="b">
        <v>0</v>
      </c>
      <c r="N2381" t="inlineStr">
        <is>
          <t>ref</t>
        </is>
      </c>
      <c r="O2381" t="n">
        <v>50</v>
      </c>
      <c r="P2381" t="n">
        <v>0.003159</v>
      </c>
      <c r="Q2381" t="n">
        <v>-75</v>
      </c>
      <c r="R2381" t="n">
        <v>0.0503</v>
      </c>
      <c r="S2381">
        <f>IMAGE("https://mitra.stanford.edu/kundaje/oak/projects/neuro-variants/variant_position/credible/roussos_2024/variant_figures/roussos_2024.childhood.GABA/rs12328151_count_position.png",4,220,900)</f>
        <v/>
      </c>
      <c r="T2381">
        <f>IMAGE("https://mitra.stanford.edu/kundaje/oak/projects/neuro-variants/variant_position/credible/roussos_2024/variant_figures/roussos_2024.childhood.GABA/rs12328151_profile_position.png",4,220,900)</f>
        <v/>
      </c>
    </row>
    <row r="2382">
      <c r="A2382" t="inlineStr">
        <is>
          <t>chr2</t>
        </is>
      </c>
      <c r="B2382" t="n">
        <v>232871534</v>
      </c>
      <c r="C2382" t="inlineStr">
        <is>
          <t>C</t>
        </is>
      </c>
      <c r="D2382" t="inlineStr">
        <is>
          <t>T</t>
        </is>
      </c>
      <c r="E2382" t="inlineStr">
        <is>
          <t>rs2675968</t>
        </is>
      </c>
      <c r="F2382" t="n">
        <v>-0.0548195653999999</v>
      </c>
      <c r="G2382" t="n">
        <v>0.1188525596433825</v>
      </c>
      <c r="H2382" t="n">
        <v>0.0124156517346307</v>
      </c>
      <c r="I2382" t="n">
        <v>0.3941383984197422</v>
      </c>
      <c r="J2382" t="n">
        <v>0.5695200100521454</v>
      </c>
      <c r="K2382" t="n">
        <v>0.0342767629793045</v>
      </c>
      <c r="L2382" t="b">
        <v>0</v>
      </c>
      <c r="M2382" t="b">
        <v>0</v>
      </c>
      <c r="N2382" t="inlineStr">
        <is>
          <t>ref</t>
        </is>
      </c>
      <c r="O2382" t="n">
        <v>45</v>
      </c>
      <c r="P2382" t="n">
        <v>0.0005417</v>
      </c>
      <c r="Q2382" t="n">
        <v>40</v>
      </c>
      <c r="R2382" t="n">
        <v>0.0282</v>
      </c>
      <c r="S2382">
        <f>IMAGE("https://mitra.stanford.edu/kundaje/oak/projects/neuro-variants/variant_position/credible/roussos_2024/variant_figures/roussos_2024.childhood.GABA/rs2675968_count_position.png",4,220,900)</f>
        <v/>
      </c>
      <c r="T2382">
        <f>IMAGE("https://mitra.stanford.edu/kundaje/oak/projects/neuro-variants/variant_position/credible/roussos_2024/variant_figures/roussos_2024.childhood.GABA/rs2675968_profile_position.png",4,220,900)</f>
        <v/>
      </c>
    </row>
    <row r="2383">
      <c r="A2383" t="inlineStr">
        <is>
          <t>chr2</t>
        </is>
      </c>
      <c r="B2383" t="n">
        <v>232904078</v>
      </c>
      <c r="C2383" t="inlineStr">
        <is>
          <t>G</t>
        </is>
      </c>
      <c r="D2383" t="inlineStr">
        <is>
          <t>A</t>
        </is>
      </c>
      <c r="E2383" t="inlineStr">
        <is>
          <t>rs938575</t>
        </is>
      </c>
      <c r="F2383" t="n">
        <v>0.0178206584</v>
      </c>
      <c r="G2383" t="n">
        <v>0.1526551562739166</v>
      </c>
      <c r="H2383" t="n">
        <v>0.0254131989876384</v>
      </c>
      <c r="I2383" t="n">
        <v>0.0319332804230195</v>
      </c>
      <c r="J2383" t="n">
        <v>0.2628405687838998</v>
      </c>
      <c r="K2383" t="n">
        <v>0.1602393907843749</v>
      </c>
      <c r="L2383" t="b">
        <v>0</v>
      </c>
      <c r="M2383" t="b">
        <v>0</v>
      </c>
      <c r="N2383" t="inlineStr">
        <is>
          <t>alt</t>
        </is>
      </c>
      <c r="O2383" t="n">
        <v>-95</v>
      </c>
      <c r="P2383" t="n">
        <v>0.02318</v>
      </c>
      <c r="Q2383" t="n">
        <v>-30</v>
      </c>
      <c r="R2383" t="n">
        <v>0.0293</v>
      </c>
      <c r="S2383">
        <f>IMAGE("https://mitra.stanford.edu/kundaje/oak/projects/neuro-variants/variant_position/credible/roussos_2024/variant_figures/roussos_2024.childhood.GABA/rs938575_count_position.png",4,220,900)</f>
        <v/>
      </c>
      <c r="T2383">
        <f>IMAGE("https://mitra.stanford.edu/kundaje/oak/projects/neuro-variants/variant_position/credible/roussos_2024/variant_figures/roussos_2024.childhood.GABA/rs938575_profile_position.png",4,220,900)</f>
        <v/>
      </c>
    </row>
    <row r="2384">
      <c r="A2384" t="inlineStr">
        <is>
          <t>chr2</t>
        </is>
      </c>
      <c r="B2384" t="n">
        <v>233107579</v>
      </c>
      <c r="C2384" t="inlineStr">
        <is>
          <t>C</t>
        </is>
      </c>
      <c r="D2384" t="inlineStr">
        <is>
          <t>T</t>
        </is>
      </c>
      <c r="E2384" t="inlineStr">
        <is>
          <t>rs79340715</t>
        </is>
      </c>
      <c r="F2384" t="n">
        <v>-0.0211165854</v>
      </c>
      <c r="G2384" t="n">
        <v>0.4391358569402951</v>
      </c>
      <c r="H2384" t="n">
        <v>0.0136980697215846</v>
      </c>
      <c r="I2384" t="n">
        <v>0.2984702154818667</v>
      </c>
      <c r="J2384" t="n">
        <v>0.2811061548449247</v>
      </c>
      <c r="K2384" t="n">
        <v>0.1507261180152409</v>
      </c>
      <c r="L2384" t="b">
        <v>0</v>
      </c>
      <c r="M2384" t="b">
        <v>0</v>
      </c>
      <c r="N2384" t="inlineStr">
        <is>
          <t>ref</t>
        </is>
      </c>
      <c r="O2384" t="n">
        <v>100</v>
      </c>
      <c r="P2384" t="n">
        <v>0.003607</v>
      </c>
      <c r="Q2384" t="n">
        <v>100</v>
      </c>
      <c r="R2384" t="n">
        <v>0.09923999999999999</v>
      </c>
      <c r="S2384">
        <f>IMAGE("https://mitra.stanford.edu/kundaje/oak/projects/neuro-variants/variant_position/credible/roussos_2024/variant_figures/roussos_2024.childhood.GABA/rs79340715_count_position.png",4,220,900)</f>
        <v/>
      </c>
      <c r="T2384">
        <f>IMAGE("https://mitra.stanford.edu/kundaje/oak/projects/neuro-variants/variant_position/credible/roussos_2024/variant_figures/roussos_2024.childhood.GABA/rs79340715_profile_position.png",4,220,900)</f>
        <v/>
      </c>
    </row>
    <row r="2385">
      <c r="A2385" t="inlineStr">
        <is>
          <t>chr2</t>
        </is>
      </c>
      <c r="B2385" t="n">
        <v>235876563</v>
      </c>
      <c r="C2385" t="inlineStr">
        <is>
          <t>G</t>
        </is>
      </c>
      <c r="D2385" t="inlineStr">
        <is>
          <t>T</t>
        </is>
      </c>
      <c r="E2385" t="inlineStr">
        <is>
          <t>rs4663623</t>
        </is>
      </c>
      <c r="F2385" t="n">
        <v>-0.0183160908</v>
      </c>
      <c r="G2385" t="n">
        <v>0.47755507068153</v>
      </c>
      <c r="H2385" t="n">
        <v>0.0112543950995986</v>
      </c>
      <c r="I2385" t="n">
        <v>0.4970118553319647</v>
      </c>
      <c r="J2385" t="n">
        <v>0.1394546711063642</v>
      </c>
      <c r="K2385" t="n">
        <v>0.2961482655863036</v>
      </c>
      <c r="L2385" t="b">
        <v>0</v>
      </c>
      <c r="M2385" t="b">
        <v>0</v>
      </c>
      <c r="N2385" t="inlineStr">
        <is>
          <t>ref</t>
        </is>
      </c>
      <c r="O2385" t="n">
        <v>65</v>
      </c>
      <c r="P2385" t="n">
        <v>0.001053</v>
      </c>
      <c r="Q2385" t="n">
        <v>15</v>
      </c>
      <c r="R2385" t="n">
        <v>0.00757</v>
      </c>
      <c r="S2385">
        <f>IMAGE("https://mitra.stanford.edu/kundaje/oak/projects/neuro-variants/variant_position/credible/roussos_2024/variant_figures/roussos_2024.childhood.GABA/rs4663623_count_position.png",4,220,900)</f>
        <v/>
      </c>
      <c r="T2385">
        <f>IMAGE("https://mitra.stanford.edu/kundaje/oak/projects/neuro-variants/variant_position/credible/roussos_2024/variant_figures/roussos_2024.childhood.GABA/rs4663623_profile_position.png",4,220,900)</f>
        <v/>
      </c>
    </row>
    <row r="2386">
      <c r="A2386" t="inlineStr">
        <is>
          <t>chr2</t>
        </is>
      </c>
      <c r="B2386" t="n">
        <v>235877371</v>
      </c>
      <c r="C2386" t="inlineStr">
        <is>
          <t>C</t>
        </is>
      </c>
      <c r="D2386" t="inlineStr">
        <is>
          <t>T</t>
        </is>
      </c>
      <c r="E2386" t="inlineStr">
        <is>
          <t>rs4663624</t>
        </is>
      </c>
      <c r="F2386" t="n">
        <v>-0.1673466159999999</v>
      </c>
      <c r="G2386" t="n">
        <v>0.008366974152655001</v>
      </c>
      <c r="H2386" t="n">
        <v>0.0215958243487597</v>
      </c>
      <c r="I2386" t="n">
        <v>0.0694168291298161</v>
      </c>
      <c r="J2386" t="n">
        <v>0.2690592867165085</v>
      </c>
      <c r="K2386" t="n">
        <v>0.1583271535839162</v>
      </c>
      <c r="L2386" t="b">
        <v>1</v>
      </c>
      <c r="M2386" t="b">
        <v>1</v>
      </c>
      <c r="N2386" t="inlineStr">
        <is>
          <t>ref</t>
        </is>
      </c>
      <c r="O2386" t="n">
        <v>30</v>
      </c>
      <c r="P2386" t="n">
        <v>0.0006676</v>
      </c>
      <c r="Q2386" t="n">
        <v>90</v>
      </c>
      <c r="R2386" t="n">
        <v>0.1516</v>
      </c>
      <c r="S2386">
        <f>IMAGE("https://mitra.stanford.edu/kundaje/oak/projects/neuro-variants/variant_position/credible/roussos_2024/variant_figures/roussos_2024.childhood.GABA/rs4663624_count_position.png",4,220,900)</f>
        <v/>
      </c>
      <c r="T2386">
        <f>IMAGE("https://mitra.stanford.edu/kundaje/oak/projects/neuro-variants/variant_position/credible/roussos_2024/variant_figures/roussos_2024.childhood.GABA/rs4663624_profile_position.png",4,220,900)</f>
        <v/>
      </c>
    </row>
    <row r="2387">
      <c r="A2387" t="inlineStr">
        <is>
          <t>chr2</t>
        </is>
      </c>
      <c r="B2387" t="n">
        <v>235884746</v>
      </c>
      <c r="C2387" t="inlineStr">
        <is>
          <t>G</t>
        </is>
      </c>
      <c r="D2387" t="inlineStr">
        <is>
          <t>A</t>
        </is>
      </c>
      <c r="E2387" t="inlineStr">
        <is>
          <t>rs35772117</t>
        </is>
      </c>
      <c r="F2387" t="n">
        <v>-0.0556763574</v>
      </c>
      <c r="G2387" t="n">
        <v>0.1208903989636742</v>
      </c>
      <c r="H2387" t="n">
        <v>0.0194108852730554</v>
      </c>
      <c r="I2387" t="n">
        <v>0.08661550280419281</v>
      </c>
      <c r="J2387" t="n">
        <v>0.0577579527130321</v>
      </c>
      <c r="K2387" t="n">
        <v>0.4667799466754496</v>
      </c>
      <c r="L2387" t="b">
        <v>0</v>
      </c>
      <c r="M2387" t="b">
        <v>0</v>
      </c>
      <c r="N2387" t="inlineStr">
        <is>
          <t>ref</t>
        </is>
      </c>
      <c r="O2387" t="n">
        <v>5</v>
      </c>
      <c r="P2387" t="n">
        <v>0.0003738</v>
      </c>
      <c r="Q2387" t="n">
        <v>80</v>
      </c>
      <c r="R2387" t="n">
        <v>0.1453</v>
      </c>
      <c r="S2387">
        <f>IMAGE("https://mitra.stanford.edu/kundaje/oak/projects/neuro-variants/variant_position/credible/roussos_2024/variant_figures/roussos_2024.childhood.GABA/rs35772117_count_position.png",4,220,900)</f>
        <v/>
      </c>
      <c r="T2387">
        <f>IMAGE("https://mitra.stanford.edu/kundaje/oak/projects/neuro-variants/variant_position/credible/roussos_2024/variant_figures/roussos_2024.childhood.GABA/rs35772117_profile_position.png",4,220,900)</f>
        <v/>
      </c>
    </row>
    <row r="2388">
      <c r="A2388" t="inlineStr">
        <is>
          <t>chr2</t>
        </is>
      </c>
      <c r="B2388" t="n">
        <v>235886699</v>
      </c>
      <c r="C2388" t="inlineStr">
        <is>
          <t>A</t>
        </is>
      </c>
      <c r="D2388" t="inlineStr">
        <is>
          <t>C</t>
        </is>
      </c>
      <c r="E2388" t="inlineStr">
        <is>
          <t>rs13025591</t>
        </is>
      </c>
      <c r="F2388" t="n">
        <v>-0.01171279406</v>
      </c>
      <c r="G2388" t="n">
        <v>0.5872085965659705</v>
      </c>
      <c r="H2388" t="n">
        <v>0.0282936838077212</v>
      </c>
      <c r="I2388" t="n">
        <v>0.0165310791528002</v>
      </c>
      <c r="J2388" t="n">
        <v>0.1489235827521936</v>
      </c>
      <c r="K2388" t="n">
        <v>0.2855034813643224</v>
      </c>
      <c r="L2388" t="b">
        <v>1</v>
      </c>
      <c r="M2388" t="b">
        <v>0</v>
      </c>
      <c r="N2388" t="inlineStr">
        <is>
          <t>ref</t>
        </is>
      </c>
      <c r="O2388" t="n">
        <v>-95</v>
      </c>
      <c r="P2388" t="n">
        <v>0.011856</v>
      </c>
      <c r="Q2388" t="n">
        <v>-60</v>
      </c>
      <c r="R2388" t="n">
        <v>0.03833</v>
      </c>
      <c r="S2388">
        <f>IMAGE("https://mitra.stanford.edu/kundaje/oak/projects/neuro-variants/variant_position/credible/roussos_2024/variant_figures/roussos_2024.childhood.GABA/rs13025591_count_position.png",4,220,900)</f>
        <v/>
      </c>
      <c r="T2388">
        <f>IMAGE("https://mitra.stanford.edu/kundaje/oak/projects/neuro-variants/variant_position/credible/roussos_2024/variant_figures/roussos_2024.childhood.GABA/rs13025591_profile_position.png",4,220,900)</f>
        <v/>
      </c>
    </row>
    <row r="2389">
      <c r="A2389" t="inlineStr">
        <is>
          <t>chr2</t>
        </is>
      </c>
      <c r="B2389" t="n">
        <v>235889289</v>
      </c>
      <c r="C2389" t="inlineStr">
        <is>
          <t>A</t>
        </is>
      </c>
      <c r="D2389" t="inlineStr">
        <is>
          <t>C</t>
        </is>
      </c>
      <c r="E2389" t="inlineStr">
        <is>
          <t>rs10192764</t>
        </is>
      </c>
      <c r="F2389" t="n">
        <v>-0.0275310033999999</v>
      </c>
      <c r="G2389" t="n">
        <v>0.3332969181023729</v>
      </c>
      <c r="H2389" t="n">
        <v>0.017073622338879</v>
      </c>
      <c r="I2389" t="n">
        <v>0.1384449490529876</v>
      </c>
      <c r="J2389" t="n">
        <v>0.0857678373227785</v>
      </c>
      <c r="K2389" t="n">
        <v>0.4106922519758888</v>
      </c>
      <c r="L2389" t="b">
        <v>0</v>
      </c>
      <c r="M2389" t="b">
        <v>0</v>
      </c>
      <c r="N2389" t="inlineStr">
        <is>
          <t>ref</t>
        </is>
      </c>
      <c r="O2389" t="n">
        <v>-45</v>
      </c>
      <c r="P2389" t="n">
        <v>0.001643</v>
      </c>
      <c r="Q2389" t="n">
        <v>-30</v>
      </c>
      <c r="R2389" t="n">
        <v>0.0434</v>
      </c>
      <c r="S2389">
        <f>IMAGE("https://mitra.stanford.edu/kundaje/oak/projects/neuro-variants/variant_position/credible/roussos_2024/variant_figures/roussos_2024.childhood.GABA/rs10192764_count_position.png",4,220,900)</f>
        <v/>
      </c>
      <c r="T2389">
        <f>IMAGE("https://mitra.stanford.edu/kundaje/oak/projects/neuro-variants/variant_position/credible/roussos_2024/variant_figures/roussos_2024.childhood.GABA/rs10192764_profile_position.png",4,220,900)</f>
        <v/>
      </c>
    </row>
    <row r="2390">
      <c r="A2390" t="inlineStr">
        <is>
          <t>chr2</t>
        </is>
      </c>
      <c r="B2390" t="n">
        <v>235904913</v>
      </c>
      <c r="C2390" t="inlineStr">
        <is>
          <t>T</t>
        </is>
      </c>
      <c r="D2390" t="inlineStr">
        <is>
          <t>C</t>
        </is>
      </c>
      <c r="E2390" t="inlineStr">
        <is>
          <t>rs6747286</t>
        </is>
      </c>
      <c r="F2390" t="n">
        <v>0.046084057</v>
      </c>
      <c r="G2390" t="n">
        <v>0.1715311662977511</v>
      </c>
      <c r="H2390" t="n">
        <v>0.0189012026471483</v>
      </c>
      <c r="I2390" t="n">
        <v>0.0971846735750122</v>
      </c>
      <c r="J2390" t="n">
        <v>0.2391258821804779</v>
      </c>
      <c r="K2390" t="n">
        <v>0.1784925545906069</v>
      </c>
      <c r="L2390" t="b">
        <v>0</v>
      </c>
      <c r="M2390" t="b">
        <v>0</v>
      </c>
      <c r="N2390" t="inlineStr">
        <is>
          <t>alt</t>
        </is>
      </c>
      <c r="O2390" t="n">
        <v>90</v>
      </c>
      <c r="P2390" t="n">
        <v>0.009140000000000001</v>
      </c>
      <c r="Q2390" t="n">
        <v>75</v>
      </c>
      <c r="R2390" t="n">
        <v>0.1205</v>
      </c>
      <c r="S2390">
        <f>IMAGE("https://mitra.stanford.edu/kundaje/oak/projects/neuro-variants/variant_position/credible/roussos_2024/variant_figures/roussos_2024.childhood.GABA/rs6747286_count_position.png",4,220,900)</f>
        <v/>
      </c>
      <c r="T2390">
        <f>IMAGE("https://mitra.stanford.edu/kundaje/oak/projects/neuro-variants/variant_position/credible/roussos_2024/variant_figures/roussos_2024.childhood.GABA/rs6747286_profile_position.png",4,220,900)</f>
        <v/>
      </c>
    </row>
    <row r="2391">
      <c r="A2391" t="inlineStr">
        <is>
          <t>chr2</t>
        </is>
      </c>
      <c r="B2391" t="n">
        <v>235913925</v>
      </c>
      <c r="C2391" t="inlineStr">
        <is>
          <t>C</t>
        </is>
      </c>
      <c r="D2391" t="inlineStr">
        <is>
          <t>G</t>
        </is>
      </c>
      <c r="E2391" t="inlineStr">
        <is>
          <t>rs1962550</t>
        </is>
      </c>
      <c r="F2391" t="n">
        <v>0.0464156736</v>
      </c>
      <c r="G2391" t="n">
        <v>0.1585029887830044</v>
      </c>
      <c r="H2391" t="n">
        <v>0.013220383013768</v>
      </c>
      <c r="I2391" t="n">
        <v>0.3332302880644747</v>
      </c>
      <c r="J2391" t="n">
        <v>0.1091725827731356</v>
      </c>
      <c r="K2391" t="n">
        <v>0.3363092099173161</v>
      </c>
      <c r="L2391" t="b">
        <v>0</v>
      </c>
      <c r="M2391" t="b">
        <v>0</v>
      </c>
      <c r="N2391" t="inlineStr">
        <is>
          <t>alt</t>
        </is>
      </c>
      <c r="O2391" t="n">
        <v>80</v>
      </c>
      <c r="P2391" t="n">
        <v>0.01295</v>
      </c>
      <c r="Q2391" t="n">
        <v>80</v>
      </c>
      <c r="R2391" t="n">
        <v>0.1353</v>
      </c>
      <c r="S2391">
        <f>IMAGE("https://mitra.stanford.edu/kundaje/oak/projects/neuro-variants/variant_position/credible/roussos_2024/variant_figures/roussos_2024.childhood.GABA/rs1962550_count_position.png",4,220,900)</f>
        <v/>
      </c>
      <c r="T2391">
        <f>IMAGE("https://mitra.stanford.edu/kundaje/oak/projects/neuro-variants/variant_position/credible/roussos_2024/variant_figures/roussos_2024.childhood.GABA/rs1962550_profile_position.png",4,220,900)</f>
        <v/>
      </c>
    </row>
    <row r="2392">
      <c r="A2392" t="inlineStr">
        <is>
          <t>chr2</t>
        </is>
      </c>
      <c r="B2392" t="n">
        <v>235917218</v>
      </c>
      <c r="C2392" t="inlineStr">
        <is>
          <t>A</t>
        </is>
      </c>
      <c r="D2392" t="inlineStr">
        <is>
          <t>G</t>
        </is>
      </c>
      <c r="E2392" t="inlineStr">
        <is>
          <t>rs13031349</t>
        </is>
      </c>
      <c r="F2392" t="n">
        <v>0.0791243666</v>
      </c>
      <c r="G2392" t="n">
        <v>0.0514091680065108</v>
      </c>
      <c r="H2392" t="n">
        <v>0.0182236492287853</v>
      </c>
      <c r="I2392" t="n">
        <v>0.1111127677993</v>
      </c>
      <c r="J2392" t="n">
        <v>0.3673116793365584</v>
      </c>
      <c r="K2392" t="n">
        <v>0.1002024302604416</v>
      </c>
      <c r="L2392" t="b">
        <v>0</v>
      </c>
      <c r="M2392" t="b">
        <v>0</v>
      </c>
      <c r="N2392" t="inlineStr">
        <is>
          <t>alt</t>
        </is>
      </c>
      <c r="O2392" t="n">
        <v>-100</v>
      </c>
      <c r="P2392" t="n">
        <v>0.01033</v>
      </c>
      <c r="Q2392" t="n">
        <v>-10</v>
      </c>
      <c r="R2392" t="n">
        <v>0.006226</v>
      </c>
      <c r="S2392">
        <f>IMAGE("https://mitra.stanford.edu/kundaje/oak/projects/neuro-variants/variant_position/credible/roussos_2024/variant_figures/roussos_2024.childhood.GABA/rs13031349_count_position.png",4,220,900)</f>
        <v/>
      </c>
      <c r="T2392">
        <f>IMAGE("https://mitra.stanford.edu/kundaje/oak/projects/neuro-variants/variant_position/credible/roussos_2024/variant_figures/roussos_2024.childhood.GABA/rs13031349_profile_position.png",4,220,900)</f>
        <v/>
      </c>
    </row>
    <row r="2393">
      <c r="A2393" t="inlineStr">
        <is>
          <t>chr2</t>
        </is>
      </c>
      <c r="B2393" t="n">
        <v>236009895</v>
      </c>
      <c r="C2393" t="inlineStr">
        <is>
          <t>T</t>
        </is>
      </c>
      <c r="D2393" t="inlineStr">
        <is>
          <t>C</t>
        </is>
      </c>
      <c r="E2393" t="inlineStr">
        <is>
          <t>rs3738994</t>
        </is>
      </c>
      <c r="F2393" t="n">
        <v>0.01320685116</v>
      </c>
      <c r="G2393" t="n">
        <v>0.5342851014653294</v>
      </c>
      <c r="H2393" t="n">
        <v>0.009176645830146201</v>
      </c>
      <c r="I2393" t="n">
        <v>0.7211148209241635</v>
      </c>
      <c r="J2393" t="n">
        <v>0.4333218152499424</v>
      </c>
      <c r="K2393" t="n">
        <v>0.0736053056452598</v>
      </c>
      <c r="L2393" t="b">
        <v>0</v>
      </c>
      <c r="M2393" t="b">
        <v>0</v>
      </c>
      <c r="N2393" t="inlineStr">
        <is>
          <t>alt</t>
        </is>
      </c>
      <c r="O2393" t="n">
        <v>100</v>
      </c>
      <c r="P2393" t="n">
        <v>0.06024</v>
      </c>
      <c r="Q2393" t="n">
        <v>-30</v>
      </c>
      <c r="R2393" t="n">
        <v>0.05786</v>
      </c>
      <c r="S2393">
        <f>IMAGE("https://mitra.stanford.edu/kundaje/oak/projects/neuro-variants/variant_position/credible/roussos_2024/variant_figures/roussos_2024.childhood.GABA/rs3738994_count_position.png",4,220,900)</f>
        <v/>
      </c>
      <c r="T2393">
        <f>IMAGE("https://mitra.stanford.edu/kundaje/oak/projects/neuro-variants/variant_position/credible/roussos_2024/variant_figures/roussos_2024.childhood.GABA/rs3738994_profile_position.png",4,220,900)</f>
        <v/>
      </c>
    </row>
    <row r="2394">
      <c r="A2394" t="inlineStr">
        <is>
          <t>chr2</t>
        </is>
      </c>
      <c r="B2394" t="n">
        <v>236010027</v>
      </c>
      <c r="C2394" t="inlineStr">
        <is>
          <t>C</t>
        </is>
      </c>
      <c r="D2394" t="inlineStr">
        <is>
          <t>T</t>
        </is>
      </c>
      <c r="E2394" t="inlineStr">
        <is>
          <t>rs3738993</t>
        </is>
      </c>
      <c r="F2394" t="n">
        <v>-0.0068046866</v>
      </c>
      <c r="G2394" t="n">
        <v>0.7281863025243037</v>
      </c>
      <c r="H2394" t="n">
        <v>0.0112865784266096</v>
      </c>
      <c r="I2394" t="n">
        <v>0.5072602115554015</v>
      </c>
      <c r="J2394" t="n">
        <v>0.4135327008858452</v>
      </c>
      <c r="K2394" t="n">
        <v>0.08084790486511299</v>
      </c>
      <c r="L2394" t="b">
        <v>0</v>
      </c>
      <c r="M2394" t="b">
        <v>0</v>
      </c>
      <c r="N2394" t="inlineStr">
        <is>
          <t>ref</t>
        </is>
      </c>
      <c r="O2394" t="n">
        <v>75</v>
      </c>
      <c r="P2394" t="n">
        <v>0.08264000000000001</v>
      </c>
      <c r="Q2394" t="n">
        <v>-95</v>
      </c>
      <c r="R2394" t="n">
        <v>0.3035</v>
      </c>
      <c r="S2394">
        <f>IMAGE("https://mitra.stanford.edu/kundaje/oak/projects/neuro-variants/variant_position/credible/roussos_2024/variant_figures/roussos_2024.childhood.GABA/rs3738993_count_position.png",4,220,900)</f>
        <v/>
      </c>
      <c r="T2394">
        <f>IMAGE("https://mitra.stanford.edu/kundaje/oak/projects/neuro-variants/variant_position/credible/roussos_2024/variant_figures/roussos_2024.childhood.GABA/rs3738993_profile_position.png",4,220,900)</f>
        <v/>
      </c>
    </row>
    <row r="2395">
      <c r="A2395" t="inlineStr">
        <is>
          <t>chr2</t>
        </is>
      </c>
      <c r="B2395" t="n">
        <v>236011530</v>
      </c>
      <c r="C2395" t="inlineStr">
        <is>
          <t>C</t>
        </is>
      </c>
      <c r="D2395" t="inlineStr">
        <is>
          <t>T</t>
        </is>
      </c>
      <c r="E2395" t="inlineStr">
        <is>
          <t>rs12053257</t>
        </is>
      </c>
      <c r="F2395" t="n">
        <v>-0.0364521213999999</v>
      </c>
      <c r="G2395" t="n">
        <v>0.2366047913967567</v>
      </c>
      <c r="H2395" t="n">
        <v>0.0146590336750329</v>
      </c>
      <c r="I2395" t="n">
        <v>0.2410962092161773</v>
      </c>
      <c r="J2395" t="n">
        <v>0.2439749952880567</v>
      </c>
      <c r="K2395" t="n">
        <v>0.1760626337537279</v>
      </c>
      <c r="L2395" t="b">
        <v>0</v>
      </c>
      <c r="M2395" t="b">
        <v>0</v>
      </c>
      <c r="N2395" t="inlineStr">
        <is>
          <t>ref</t>
        </is>
      </c>
      <c r="O2395" t="n">
        <v>100</v>
      </c>
      <c r="P2395" t="n">
        <v>0.03827</v>
      </c>
      <c r="Q2395" t="n">
        <v>-65</v>
      </c>
      <c r="R2395" t="n">
        <v>0.1251</v>
      </c>
      <c r="S2395">
        <f>IMAGE("https://mitra.stanford.edu/kundaje/oak/projects/neuro-variants/variant_position/credible/roussos_2024/variant_figures/roussos_2024.childhood.GABA/rs12053257_count_position.png",4,220,900)</f>
        <v/>
      </c>
      <c r="T2395">
        <f>IMAGE("https://mitra.stanford.edu/kundaje/oak/projects/neuro-variants/variant_position/credible/roussos_2024/variant_figures/roussos_2024.childhood.GABA/rs12053257_profile_position.png",4,220,900)</f>
        <v/>
      </c>
    </row>
    <row r="2396">
      <c r="A2396" t="inlineStr">
        <is>
          <t>chr2</t>
        </is>
      </c>
      <c r="B2396" t="n">
        <v>236014543</v>
      </c>
      <c r="C2396" t="inlineStr">
        <is>
          <t>C</t>
        </is>
      </c>
      <c r="D2396" t="inlineStr">
        <is>
          <t>T</t>
        </is>
      </c>
      <c r="E2396" t="inlineStr">
        <is>
          <t>rs2123511</t>
        </is>
      </c>
      <c r="F2396" t="n">
        <v>-0.0446003242</v>
      </c>
      <c r="G2396" t="n">
        <v>0.1773944616385525</v>
      </c>
      <c r="H2396" t="n">
        <v>0.010407662879777</v>
      </c>
      <c r="I2396" t="n">
        <v>0.5745490273803713</v>
      </c>
      <c r="J2396" t="n">
        <v>0.5239607547485916</v>
      </c>
      <c r="K2396" t="n">
        <v>0.0453143491397128</v>
      </c>
      <c r="L2396" t="b">
        <v>0</v>
      </c>
      <c r="M2396" t="b">
        <v>0</v>
      </c>
      <c r="N2396" t="inlineStr">
        <is>
          <t>ref</t>
        </is>
      </c>
      <c r="O2396" t="n">
        <v>95</v>
      </c>
      <c r="P2396" t="n">
        <v>0.01822</v>
      </c>
      <c r="Q2396" t="n">
        <v>30</v>
      </c>
      <c r="R2396" t="n">
        <v>0.0931</v>
      </c>
      <c r="S2396">
        <f>IMAGE("https://mitra.stanford.edu/kundaje/oak/projects/neuro-variants/variant_position/credible/roussos_2024/variant_figures/roussos_2024.childhood.GABA/rs2123511_count_position.png",4,220,900)</f>
        <v/>
      </c>
      <c r="T2396">
        <f>IMAGE("https://mitra.stanford.edu/kundaje/oak/projects/neuro-variants/variant_position/credible/roussos_2024/variant_figures/roussos_2024.childhood.GABA/rs2123511_profile_position.png",4,220,900)</f>
        <v/>
      </c>
    </row>
    <row r="2397">
      <c r="A2397" t="inlineStr">
        <is>
          <t>chr2</t>
        </is>
      </c>
      <c r="B2397" t="n">
        <v>236027733</v>
      </c>
      <c r="C2397" t="inlineStr">
        <is>
          <t>T</t>
        </is>
      </c>
      <c r="D2397" t="inlineStr">
        <is>
          <t>C</t>
        </is>
      </c>
      <c r="E2397" t="inlineStr">
        <is>
          <t>rs11692136</t>
        </is>
      </c>
      <c r="F2397" t="n">
        <v>0.0646232016</v>
      </c>
      <c r="G2397" t="n">
        <v>0.07884837023431129</v>
      </c>
      <c r="H2397" t="n">
        <v>0.0171379629757702</v>
      </c>
      <c r="I2397" t="n">
        <v>0.1390539589586861</v>
      </c>
      <c r="J2397" t="n">
        <v>0.2625463341081862</v>
      </c>
      <c r="K2397" t="n">
        <v>0.16375625516421</v>
      </c>
      <c r="L2397" t="b">
        <v>0</v>
      </c>
      <c r="M2397" t="b">
        <v>0</v>
      </c>
      <c r="N2397" t="inlineStr">
        <is>
          <t>alt</t>
        </is>
      </c>
      <c r="O2397" t="n">
        <v>-20</v>
      </c>
      <c r="P2397" t="n">
        <v>0.0001793</v>
      </c>
      <c r="Q2397" t="n">
        <v>5</v>
      </c>
      <c r="R2397" t="n">
        <v>0.003174</v>
      </c>
      <c r="S2397">
        <f>IMAGE("https://mitra.stanford.edu/kundaje/oak/projects/neuro-variants/variant_position/credible/roussos_2024/variant_figures/roussos_2024.childhood.GABA/rs11692136_count_position.png",4,220,900)</f>
        <v/>
      </c>
      <c r="T2397">
        <f>IMAGE("https://mitra.stanford.edu/kundaje/oak/projects/neuro-variants/variant_position/credible/roussos_2024/variant_figures/roussos_2024.childhood.GABA/rs11692136_profile_position.png",4,220,900)</f>
        <v/>
      </c>
    </row>
    <row r="2398">
      <c r="A2398" t="inlineStr">
        <is>
          <t>chr2</t>
        </is>
      </c>
      <c r="B2398" t="n">
        <v>236035028</v>
      </c>
      <c r="C2398" t="inlineStr">
        <is>
          <t>C</t>
        </is>
      </c>
      <c r="D2398" t="inlineStr">
        <is>
          <t>T</t>
        </is>
      </c>
      <c r="E2398" t="inlineStr">
        <is>
          <t>rs876739</t>
        </is>
      </c>
      <c r="F2398" t="n">
        <v>-0.0511742731999999</v>
      </c>
      <c r="G2398" t="n">
        <v>0.1439004975697555</v>
      </c>
      <c r="H2398" t="n">
        <v>0.0117158332945424</v>
      </c>
      <c r="I2398" t="n">
        <v>0.4687638573863275</v>
      </c>
      <c r="J2398" t="n">
        <v>0.2131902996795878</v>
      </c>
      <c r="K2398" t="n">
        <v>0.2086704115075362</v>
      </c>
      <c r="L2398" t="b">
        <v>0</v>
      </c>
      <c r="M2398" t="b">
        <v>0</v>
      </c>
      <c r="N2398" t="inlineStr">
        <is>
          <t>ref</t>
        </is>
      </c>
      <c r="O2398" t="n">
        <v>-100</v>
      </c>
      <c r="P2398" t="n">
        <v>0.001629</v>
      </c>
      <c r="Q2398" t="n">
        <v>-45</v>
      </c>
      <c r="R2398" t="n">
        <v>0.02747</v>
      </c>
      <c r="S2398">
        <f>IMAGE("https://mitra.stanford.edu/kundaje/oak/projects/neuro-variants/variant_position/credible/roussos_2024/variant_figures/roussos_2024.childhood.GABA/rs876739_count_position.png",4,220,900)</f>
        <v/>
      </c>
      <c r="T2398">
        <f>IMAGE("https://mitra.stanford.edu/kundaje/oak/projects/neuro-variants/variant_position/credible/roussos_2024/variant_figures/roussos_2024.childhood.GABA/rs876739_profile_position.png",4,220,900)</f>
        <v/>
      </c>
    </row>
    <row r="2399">
      <c r="A2399" t="inlineStr">
        <is>
          <t>chr2</t>
        </is>
      </c>
      <c r="B2399" t="n">
        <v>236041990</v>
      </c>
      <c r="C2399" t="inlineStr">
        <is>
          <t>A</t>
        </is>
      </c>
      <c r="D2399" t="inlineStr">
        <is>
          <t>G</t>
        </is>
      </c>
      <c r="E2399" t="inlineStr">
        <is>
          <t>rs3754659</t>
        </is>
      </c>
      <c r="F2399" t="n">
        <v>-0.07965693040000001</v>
      </c>
      <c r="G2399" t="n">
        <v>0.0589643705698272</v>
      </c>
      <c r="H2399" t="n">
        <v>0.0241751407471598</v>
      </c>
      <c r="I2399" t="n">
        <v>0.0336826412555491</v>
      </c>
      <c r="J2399" t="n">
        <v>0.2226466461435362</v>
      </c>
      <c r="K2399" t="n">
        <v>0.1962740032745203</v>
      </c>
      <c r="L2399" t="b">
        <v>0</v>
      </c>
      <c r="M2399" t="b">
        <v>0</v>
      </c>
      <c r="N2399" t="inlineStr">
        <is>
          <t>ref</t>
        </is>
      </c>
      <c r="O2399" t="n">
        <v>-20</v>
      </c>
      <c r="P2399" t="n">
        <v>0.003006</v>
      </c>
      <c r="Q2399" t="n">
        <v>-40</v>
      </c>
      <c r="R2399" t="n">
        <v>0.1011</v>
      </c>
      <c r="S2399">
        <f>IMAGE("https://mitra.stanford.edu/kundaje/oak/projects/neuro-variants/variant_position/credible/roussos_2024/variant_figures/roussos_2024.childhood.GABA/rs3754659_count_position.png",4,220,900)</f>
        <v/>
      </c>
      <c r="T2399">
        <f>IMAGE("https://mitra.stanford.edu/kundaje/oak/projects/neuro-variants/variant_position/credible/roussos_2024/variant_figures/roussos_2024.childhood.GABA/rs3754659_profile_position.png",4,220,900)</f>
        <v/>
      </c>
    </row>
    <row r="2400">
      <c r="A2400" t="inlineStr">
        <is>
          <t>chr20</t>
        </is>
      </c>
      <c r="B2400" t="n">
        <v>38769266</v>
      </c>
      <c r="C2400" t="inlineStr">
        <is>
          <t>A</t>
        </is>
      </c>
      <c r="D2400" t="inlineStr">
        <is>
          <t>G</t>
        </is>
      </c>
      <c r="E2400" t="inlineStr">
        <is>
          <t>rs2247983</t>
        </is>
      </c>
      <c r="F2400" t="n">
        <v>0.0251482632</v>
      </c>
      <c r="G2400" t="n">
        <v>0.3419905028917293</v>
      </c>
      <c r="H2400" t="n">
        <v>0.009189513254199699</v>
      </c>
      <c r="I2400" t="n">
        <v>0.7099627886186997</v>
      </c>
      <c r="J2400" t="n">
        <v>0.3085432765805951</v>
      </c>
      <c r="K2400" t="n">
        <v>0.1315036046056305</v>
      </c>
      <c r="L2400" t="b">
        <v>0</v>
      </c>
      <c r="M2400" t="b">
        <v>0</v>
      </c>
      <c r="N2400" t="inlineStr">
        <is>
          <t>alt</t>
        </is>
      </c>
      <c r="O2400" t="n">
        <v>-100</v>
      </c>
      <c r="P2400" t="n">
        <v>0.002705</v>
      </c>
      <c r="Q2400" t="n">
        <v>-85</v>
      </c>
      <c r="R2400" t="n">
        <v>0.02869</v>
      </c>
      <c r="S2400">
        <f>IMAGE("https://mitra.stanford.edu/kundaje/oak/projects/neuro-variants/variant_position/credible/roussos_2024/variant_figures/roussos_2024.childhood.GABA/rs2247983_count_position.png",4,220,900)</f>
        <v/>
      </c>
      <c r="T2400">
        <f>IMAGE("https://mitra.stanford.edu/kundaje/oak/projects/neuro-variants/variant_position/credible/roussos_2024/variant_figures/roussos_2024.childhood.GABA/rs2247983_profile_position.png",4,220,900)</f>
        <v/>
      </c>
    </row>
    <row r="2401">
      <c r="A2401" t="inlineStr">
        <is>
          <t>chr20</t>
        </is>
      </c>
      <c r="B2401" t="n">
        <v>38817104</v>
      </c>
      <c r="C2401" t="inlineStr">
        <is>
          <t>C</t>
        </is>
      </c>
      <c r="D2401" t="inlineStr">
        <is>
          <t>T</t>
        </is>
      </c>
      <c r="E2401" t="inlineStr">
        <is>
          <t>rs6129108</t>
        </is>
      </c>
      <c r="F2401" t="n">
        <v>-0.001967830686</v>
      </c>
      <c r="G2401" t="n">
        <v>0.7923358525336534</v>
      </c>
      <c r="H2401" t="n">
        <v>0.0064451166522754</v>
      </c>
      <c r="I2401" t="n">
        <v>0.9464317842984116</v>
      </c>
      <c r="J2401" t="n">
        <v>0.1395855584176247</v>
      </c>
      <c r="K2401" t="n">
        <v>0.2998227908566537</v>
      </c>
      <c r="L2401" t="b">
        <v>0</v>
      </c>
      <c r="M2401" t="b">
        <v>0</v>
      </c>
      <c r="N2401" t="inlineStr">
        <is>
          <t>ref</t>
        </is>
      </c>
      <c r="O2401" t="n">
        <v>-100</v>
      </c>
      <c r="P2401" t="n">
        <v>0.00515</v>
      </c>
      <c r="Q2401" t="n">
        <v>-95</v>
      </c>
      <c r="R2401" t="n">
        <v>0.01721</v>
      </c>
      <c r="S2401">
        <f>IMAGE("https://mitra.stanford.edu/kundaje/oak/projects/neuro-variants/variant_position/credible/roussos_2024/variant_figures/roussos_2024.childhood.GABA/rs6129108_count_position.png",4,220,900)</f>
        <v/>
      </c>
      <c r="T2401">
        <f>IMAGE("https://mitra.stanford.edu/kundaje/oak/projects/neuro-variants/variant_position/credible/roussos_2024/variant_figures/roussos_2024.childhood.GABA/rs6129108_profile_position.png",4,220,900)</f>
        <v/>
      </c>
    </row>
    <row r="2402">
      <c r="A2402" t="inlineStr">
        <is>
          <t>chr20</t>
        </is>
      </c>
      <c r="B2402" t="n">
        <v>38828463</v>
      </c>
      <c r="C2402" t="inlineStr">
        <is>
          <t>G</t>
        </is>
      </c>
      <c r="D2402" t="inlineStr">
        <is>
          <t>A</t>
        </is>
      </c>
      <c r="E2402" t="inlineStr">
        <is>
          <t>rs6129111</t>
        </is>
      </c>
      <c r="F2402" t="n">
        <v>0.01018479359</v>
      </c>
      <c r="G2402" t="n">
        <v>0.6243763524272558</v>
      </c>
      <c r="H2402" t="n">
        <v>0.0119359003670048</v>
      </c>
      <c r="I2402" t="n">
        <v>0.4373943582543954</v>
      </c>
      <c r="J2402" t="n">
        <v>0.3613735837992921</v>
      </c>
      <c r="K2402" t="n">
        <v>0.1029213789493542</v>
      </c>
      <c r="L2402" t="b">
        <v>0</v>
      </c>
      <c r="M2402" t="b">
        <v>0</v>
      </c>
      <c r="N2402" t="inlineStr">
        <is>
          <t>alt</t>
        </is>
      </c>
      <c r="O2402" t="n">
        <v>100</v>
      </c>
      <c r="P2402" t="n">
        <v>0.01012</v>
      </c>
      <c r="Q2402" t="n">
        <v>100</v>
      </c>
      <c r="R2402" t="n">
        <v>0.1528</v>
      </c>
      <c r="S2402">
        <f>IMAGE("https://mitra.stanford.edu/kundaje/oak/projects/neuro-variants/variant_position/credible/roussos_2024/variant_figures/roussos_2024.childhood.GABA/rs6129111_count_position.png",4,220,900)</f>
        <v/>
      </c>
      <c r="T2402">
        <f>IMAGE("https://mitra.stanford.edu/kundaje/oak/projects/neuro-variants/variant_position/credible/roussos_2024/variant_figures/roussos_2024.childhood.GABA/rs6129111_profile_position.png",4,220,900)</f>
        <v/>
      </c>
    </row>
    <row r="2403">
      <c r="A2403" t="inlineStr">
        <is>
          <t>chr20</t>
        </is>
      </c>
      <c r="B2403" t="n">
        <v>38829366</v>
      </c>
      <c r="C2403" t="inlineStr">
        <is>
          <t>G</t>
        </is>
      </c>
      <c r="D2403" t="inlineStr">
        <is>
          <t>T</t>
        </is>
      </c>
      <c r="E2403" t="inlineStr">
        <is>
          <t>rs1006945</t>
        </is>
      </c>
      <c r="F2403" t="n">
        <v>-0.0284228906</v>
      </c>
      <c r="G2403" t="n">
        <v>0.3217560127375372</v>
      </c>
      <c r="H2403" t="n">
        <v>0.0179283993645183</v>
      </c>
      <c r="I2403" t="n">
        <v>0.1156458561994495</v>
      </c>
      <c r="J2403" t="n">
        <v>0.2994293313229042</v>
      </c>
      <c r="K2403" t="n">
        <v>0.1385361455118602</v>
      </c>
      <c r="L2403" t="b">
        <v>0</v>
      </c>
      <c r="M2403" t="b">
        <v>0</v>
      </c>
      <c r="N2403" t="inlineStr">
        <is>
          <t>ref</t>
        </is>
      </c>
      <c r="O2403" t="n">
        <v>-100</v>
      </c>
      <c r="P2403" t="n">
        <v>0.0033</v>
      </c>
      <c r="Q2403" t="n">
        <v>20</v>
      </c>
      <c r="R2403" t="n">
        <v>0.01944</v>
      </c>
      <c r="S2403">
        <f>IMAGE("https://mitra.stanford.edu/kundaje/oak/projects/neuro-variants/variant_position/credible/roussos_2024/variant_figures/roussos_2024.childhood.GABA/rs1006945_count_position.png",4,220,900)</f>
        <v/>
      </c>
      <c r="T2403">
        <f>IMAGE("https://mitra.stanford.edu/kundaje/oak/projects/neuro-variants/variant_position/credible/roussos_2024/variant_figures/roussos_2024.childhood.GABA/rs1006945_profile_position.png",4,220,900)</f>
        <v/>
      </c>
    </row>
    <row r="2404">
      <c r="A2404" t="inlineStr">
        <is>
          <t>chr20</t>
        </is>
      </c>
      <c r="B2404" t="n">
        <v>38853973</v>
      </c>
      <c r="C2404" t="inlineStr">
        <is>
          <t>A</t>
        </is>
      </c>
      <c r="D2404" t="inlineStr">
        <is>
          <t>G</t>
        </is>
      </c>
      <c r="E2404" t="inlineStr">
        <is>
          <t>rs4812319</t>
        </is>
      </c>
      <c r="F2404" t="n">
        <v>-0.2849989599999999</v>
      </c>
      <c r="G2404" t="n">
        <v>0.001580629243438</v>
      </c>
      <c r="H2404" t="n">
        <v>0.0422441176507076</v>
      </c>
      <c r="I2404" t="n">
        <v>0.0031390162529101</v>
      </c>
      <c r="J2404" t="n">
        <v>0.4666823731440179</v>
      </c>
      <c r="K2404" t="n">
        <v>0.0616494800329485</v>
      </c>
      <c r="L2404" t="b">
        <v>1</v>
      </c>
      <c r="M2404" t="b">
        <v>1</v>
      </c>
      <c r="N2404" t="inlineStr">
        <is>
          <t>ref</t>
        </is>
      </c>
      <c r="O2404" t="n">
        <v>-80</v>
      </c>
      <c r="P2404" t="n">
        <v>0.006226</v>
      </c>
      <c r="Q2404" t="n">
        <v>65</v>
      </c>
      <c r="R2404" t="n">
        <v>0.04932</v>
      </c>
      <c r="S2404">
        <f>IMAGE("https://mitra.stanford.edu/kundaje/oak/projects/neuro-variants/variant_position/credible/roussos_2024/variant_figures/roussos_2024.childhood.GABA/rs4812319_count_position.png",4,220,900)</f>
        <v/>
      </c>
      <c r="T2404">
        <f>IMAGE("https://mitra.stanford.edu/kundaje/oak/projects/neuro-variants/variant_position/credible/roussos_2024/variant_figures/roussos_2024.childhood.GABA/rs4812319_profile_position.png",4,220,900)</f>
        <v/>
      </c>
    </row>
    <row r="2405">
      <c r="A2405" t="inlineStr">
        <is>
          <t>chr20</t>
        </is>
      </c>
      <c r="B2405" t="n">
        <v>38855668</v>
      </c>
      <c r="C2405" t="inlineStr">
        <is>
          <t>G</t>
        </is>
      </c>
      <c r="D2405" t="inlineStr">
        <is>
          <t>A</t>
        </is>
      </c>
      <c r="E2405" t="inlineStr">
        <is>
          <t>rs6028167</t>
        </is>
      </c>
      <c r="F2405" t="n">
        <v>-0.0334482732</v>
      </c>
      <c r="G2405" t="n">
        <v>0.2626586742774548</v>
      </c>
      <c r="H2405" t="n">
        <v>0.0106510406245355</v>
      </c>
      <c r="I2405" t="n">
        <v>0.5572253045086915</v>
      </c>
      <c r="J2405" t="n">
        <v>0.2761334841155158</v>
      </c>
      <c r="K2405" t="n">
        <v>0.1535154804133239</v>
      </c>
      <c r="L2405" t="b">
        <v>0</v>
      </c>
      <c r="M2405" t="b">
        <v>0</v>
      </c>
      <c r="N2405" t="inlineStr">
        <is>
          <t>ref</t>
        </is>
      </c>
      <c r="O2405" t="n">
        <v>-80</v>
      </c>
      <c r="P2405" t="n">
        <v>0.004852</v>
      </c>
      <c r="Q2405" t="n">
        <v>-80</v>
      </c>
      <c r="R2405" t="n">
        <v>0.2092</v>
      </c>
      <c r="S2405">
        <f>IMAGE("https://mitra.stanford.edu/kundaje/oak/projects/neuro-variants/variant_position/credible/roussos_2024/variant_figures/roussos_2024.childhood.GABA/rs6028167_count_position.png",4,220,900)</f>
        <v/>
      </c>
      <c r="T2405">
        <f>IMAGE("https://mitra.stanford.edu/kundaje/oak/projects/neuro-variants/variant_position/credible/roussos_2024/variant_figures/roussos_2024.childhood.GABA/rs6028167_profile_position.png",4,220,900)</f>
        <v/>
      </c>
    </row>
    <row r="2406">
      <c r="A2406" t="inlineStr">
        <is>
          <t>chr20</t>
        </is>
      </c>
      <c r="B2406" t="n">
        <v>38856737</v>
      </c>
      <c r="C2406" t="inlineStr">
        <is>
          <t>T</t>
        </is>
      </c>
      <c r="D2406" t="inlineStr">
        <is>
          <t>A</t>
        </is>
      </c>
      <c r="E2406" t="inlineStr">
        <is>
          <t>rs4812324</t>
        </is>
      </c>
      <c r="F2406" t="n">
        <v>-0.00608668914</v>
      </c>
      <c r="G2406" t="n">
        <v>0.6335991520785298</v>
      </c>
      <c r="H2406" t="n">
        <v>0.0096022069543601</v>
      </c>
      <c r="I2406" t="n">
        <v>0.688476882328476</v>
      </c>
      <c r="J2406" t="n">
        <v>0.0520470775481141</v>
      </c>
      <c r="K2406" t="n">
        <v>0.5228708810132355</v>
      </c>
      <c r="L2406" t="b">
        <v>0</v>
      </c>
      <c r="M2406" t="b">
        <v>0</v>
      </c>
      <c r="N2406" t="inlineStr">
        <is>
          <t>ref</t>
        </is>
      </c>
      <c r="O2406" t="n">
        <v>-5</v>
      </c>
      <c r="P2406" t="n">
        <v>0.0002518</v>
      </c>
      <c r="Q2406" t="n">
        <v>55</v>
      </c>
      <c r="R2406" t="n">
        <v>0.06128</v>
      </c>
      <c r="S2406">
        <f>IMAGE("https://mitra.stanford.edu/kundaje/oak/projects/neuro-variants/variant_position/credible/roussos_2024/variant_figures/roussos_2024.childhood.GABA/rs4812324_count_position.png",4,220,900)</f>
        <v/>
      </c>
      <c r="T2406">
        <f>IMAGE("https://mitra.stanford.edu/kundaje/oak/projects/neuro-variants/variant_position/credible/roussos_2024/variant_figures/roussos_2024.childhood.GABA/rs4812324_profile_position.png",4,220,900)</f>
        <v/>
      </c>
    </row>
    <row r="2407">
      <c r="A2407" t="inlineStr">
        <is>
          <t>chr20</t>
        </is>
      </c>
      <c r="B2407" t="n">
        <v>43178221</v>
      </c>
      <c r="C2407" t="inlineStr">
        <is>
          <t>T</t>
        </is>
      </c>
      <c r="D2407" t="inlineStr">
        <is>
          <t>C</t>
        </is>
      </c>
      <c r="E2407" t="inlineStr">
        <is>
          <t>rs2425614</t>
        </is>
      </c>
      <c r="F2407" t="n">
        <v>-0.0334326821999999</v>
      </c>
      <c r="G2407" t="n">
        <v>0.2238416306652872</v>
      </c>
      <c r="H2407" t="n">
        <v>0.0181355674195661</v>
      </c>
      <c r="I2407" t="n">
        <v>0.1198999892009671</v>
      </c>
      <c r="J2407" t="n">
        <v>0.1117756696194843</v>
      </c>
      <c r="K2407" t="n">
        <v>0.3259863064930938</v>
      </c>
      <c r="L2407" t="b">
        <v>0</v>
      </c>
      <c r="M2407" t="b">
        <v>0</v>
      </c>
      <c r="N2407" t="inlineStr">
        <is>
          <t>ref</t>
        </is>
      </c>
      <c r="O2407" t="n">
        <v>-5</v>
      </c>
      <c r="P2407" t="n">
        <v>0.00011826</v>
      </c>
      <c r="Q2407" t="n">
        <v>95</v>
      </c>
      <c r="R2407" t="n">
        <v>0.1172</v>
      </c>
      <c r="S2407">
        <f>IMAGE("https://mitra.stanford.edu/kundaje/oak/projects/neuro-variants/variant_position/credible/roussos_2024/variant_figures/roussos_2024.childhood.GABA/rs2425614_count_position.png",4,220,900)</f>
        <v/>
      </c>
      <c r="T2407">
        <f>IMAGE("https://mitra.stanford.edu/kundaje/oak/projects/neuro-variants/variant_position/credible/roussos_2024/variant_figures/roussos_2024.childhood.GABA/rs2425614_profile_position.png",4,220,900)</f>
        <v/>
      </c>
    </row>
    <row r="2408">
      <c r="A2408" t="inlineStr">
        <is>
          <t>chr20</t>
        </is>
      </c>
      <c r="B2408" t="n">
        <v>43185524</v>
      </c>
      <c r="C2408" t="inlineStr">
        <is>
          <t>A</t>
        </is>
      </c>
      <c r="D2408" t="inlineStr">
        <is>
          <t>G</t>
        </is>
      </c>
      <c r="E2408" t="inlineStr">
        <is>
          <t>rs926288</t>
        </is>
      </c>
      <c r="F2408" t="n">
        <v>0.0530295372</v>
      </c>
      <c r="G2408" t="n">
        <v>0.1251360987624236</v>
      </c>
      <c r="H2408" t="n">
        <v>0.0096274061626564</v>
      </c>
      <c r="I2408" t="n">
        <v>0.6543037786678676</v>
      </c>
      <c r="J2408" t="n">
        <v>0.1841176101024061</v>
      </c>
      <c r="K2408" t="n">
        <v>0.232529046528101</v>
      </c>
      <c r="L2408" t="b">
        <v>0</v>
      </c>
      <c r="M2408" t="b">
        <v>0</v>
      </c>
      <c r="N2408" t="inlineStr">
        <is>
          <t>alt</t>
        </is>
      </c>
      <c r="O2408" t="n">
        <v>100</v>
      </c>
      <c r="P2408" t="n">
        <v>0.004112</v>
      </c>
      <c r="Q2408" t="n">
        <v>-15</v>
      </c>
      <c r="R2408" t="n">
        <v>0.04114</v>
      </c>
      <c r="S2408">
        <f>IMAGE("https://mitra.stanford.edu/kundaje/oak/projects/neuro-variants/variant_position/credible/roussos_2024/variant_figures/roussos_2024.childhood.GABA/rs926288_count_position.png",4,220,900)</f>
        <v/>
      </c>
      <c r="T2408">
        <f>IMAGE("https://mitra.stanford.edu/kundaje/oak/projects/neuro-variants/variant_position/credible/roussos_2024/variant_figures/roussos_2024.childhood.GABA/rs926288_profile_position.png",4,220,900)</f>
        <v/>
      </c>
    </row>
    <row r="2409">
      <c r="A2409" t="inlineStr">
        <is>
          <t>chr20</t>
        </is>
      </c>
      <c r="B2409" t="n">
        <v>43261438</v>
      </c>
      <c r="C2409" t="inlineStr">
        <is>
          <t>T</t>
        </is>
      </c>
      <c r="D2409" t="inlineStr">
        <is>
          <t>C</t>
        </is>
      </c>
      <c r="E2409" t="inlineStr">
        <is>
          <t>rs3950190</t>
        </is>
      </c>
      <c r="F2409" t="n">
        <v>0.063307523</v>
      </c>
      <c r="G2409" t="n">
        <v>0.0852922334975431</v>
      </c>
      <c r="H2409" t="n">
        <v>0.0132580431744382</v>
      </c>
      <c r="I2409" t="n">
        <v>0.3254024383295249</v>
      </c>
      <c r="J2409" t="n">
        <v>0.1338505999874347</v>
      </c>
      <c r="K2409" t="n">
        <v>0.3084815746028242</v>
      </c>
      <c r="L2409" t="b">
        <v>0</v>
      </c>
      <c r="M2409" t="b">
        <v>0</v>
      </c>
      <c r="N2409" t="inlineStr">
        <is>
          <t>alt</t>
        </is>
      </c>
      <c r="O2409" t="n">
        <v>50</v>
      </c>
      <c r="P2409" t="n">
        <v>0.001656</v>
      </c>
      <c r="Q2409" t="n">
        <v>-100</v>
      </c>
      <c r="R2409" t="n">
        <v>0.06279999999999999</v>
      </c>
      <c r="S2409">
        <f>IMAGE("https://mitra.stanford.edu/kundaje/oak/projects/neuro-variants/variant_position/credible/roussos_2024/variant_figures/roussos_2024.childhood.GABA/rs3950190_count_position.png",4,220,900)</f>
        <v/>
      </c>
      <c r="T2409">
        <f>IMAGE("https://mitra.stanford.edu/kundaje/oak/projects/neuro-variants/variant_position/credible/roussos_2024/variant_figures/roussos_2024.childhood.GABA/rs3950190_profile_position.png",4,220,900)</f>
        <v/>
      </c>
    </row>
    <row r="2410">
      <c r="A2410" t="inlineStr">
        <is>
          <t>chr20</t>
        </is>
      </c>
      <c r="B2410" t="n">
        <v>43263195</v>
      </c>
      <c r="C2410" t="inlineStr">
        <is>
          <t>T</t>
        </is>
      </c>
      <c r="D2410" t="inlineStr">
        <is>
          <t>C</t>
        </is>
      </c>
      <c r="E2410" t="inlineStr">
        <is>
          <t>rs1569440</t>
        </is>
      </c>
      <c r="F2410" t="n">
        <v>0.0464738149999999</v>
      </c>
      <c r="G2410" t="n">
        <v>0.1614008097340429</v>
      </c>
      <c r="H2410" t="n">
        <v>0.0103910406573716</v>
      </c>
      <c r="I2410" t="n">
        <v>0.5880425181343166</v>
      </c>
      <c r="J2410" t="n">
        <v>0.1238309145358211</v>
      </c>
      <c r="K2410" t="n">
        <v>0.3298531531196799</v>
      </c>
      <c r="L2410" t="b">
        <v>0</v>
      </c>
      <c r="M2410" t="b">
        <v>0</v>
      </c>
      <c r="N2410" t="inlineStr">
        <is>
          <t>alt</t>
        </is>
      </c>
      <c r="O2410" t="n">
        <v>100</v>
      </c>
      <c r="P2410" t="n">
        <v>0.005432</v>
      </c>
      <c r="Q2410" t="n">
        <v>100</v>
      </c>
      <c r="R2410" t="n">
        <v>0.0575</v>
      </c>
      <c r="S2410">
        <f>IMAGE("https://mitra.stanford.edu/kundaje/oak/projects/neuro-variants/variant_position/credible/roussos_2024/variant_figures/roussos_2024.childhood.GABA/rs1569440_count_position.png",4,220,900)</f>
        <v/>
      </c>
      <c r="T2410">
        <f>IMAGE("https://mitra.stanford.edu/kundaje/oak/projects/neuro-variants/variant_position/credible/roussos_2024/variant_figures/roussos_2024.childhood.GABA/rs1569440_profile_position.png",4,220,900)</f>
        <v/>
      </c>
    </row>
    <row r="2411">
      <c r="A2411" t="inlineStr">
        <is>
          <t>chr20</t>
        </is>
      </c>
      <c r="B2411" t="n">
        <v>44995017</v>
      </c>
      <c r="C2411" t="inlineStr">
        <is>
          <t>C</t>
        </is>
      </c>
      <c r="D2411" t="inlineStr">
        <is>
          <t>T</t>
        </is>
      </c>
      <c r="E2411" t="inlineStr">
        <is>
          <t>rs6017460</t>
        </is>
      </c>
      <c r="F2411" t="n">
        <v>-0.0038970146599999</v>
      </c>
      <c r="G2411" t="n">
        <v>0.7048234216288598</v>
      </c>
      <c r="H2411" t="n">
        <v>0.0211689374511541</v>
      </c>
      <c r="I2411" t="n">
        <v>0.0583262438275448</v>
      </c>
      <c r="J2411" t="n">
        <v>0.009365248895311</v>
      </c>
      <c r="K2411" t="n">
        <v>0.7514513431064017</v>
      </c>
      <c r="L2411" t="b">
        <v>0</v>
      </c>
      <c r="M2411" t="b">
        <v>0</v>
      </c>
      <c r="N2411" t="inlineStr">
        <is>
          <t>ref</t>
        </is>
      </c>
      <c r="O2411" t="n">
        <v>-100</v>
      </c>
      <c r="P2411" t="n">
        <v>0.0395</v>
      </c>
      <c r="Q2411" t="n">
        <v>90</v>
      </c>
      <c r="R2411" t="n">
        <v>0.0823</v>
      </c>
      <c r="S2411">
        <f>IMAGE("https://mitra.stanford.edu/kundaje/oak/projects/neuro-variants/variant_position/credible/roussos_2024/variant_figures/roussos_2024.childhood.GABA/rs6017460_count_position.png",4,220,900)</f>
        <v/>
      </c>
      <c r="T2411">
        <f>IMAGE("https://mitra.stanford.edu/kundaje/oak/projects/neuro-variants/variant_position/credible/roussos_2024/variant_figures/roussos_2024.childhood.GABA/rs6017460_profile_position.png",4,220,900)</f>
        <v/>
      </c>
    </row>
    <row r="2412">
      <c r="A2412" t="inlineStr">
        <is>
          <t>chr20</t>
        </is>
      </c>
      <c r="B2412" t="n">
        <v>46052214</v>
      </c>
      <c r="C2412" t="inlineStr">
        <is>
          <t>G</t>
        </is>
      </c>
      <c r="D2412" t="inlineStr">
        <is>
          <t>A</t>
        </is>
      </c>
      <c r="E2412" t="inlineStr">
        <is>
          <t>rs12624433</t>
        </is>
      </c>
      <c r="F2412" t="n">
        <v>-0.021936552</v>
      </c>
      <c r="G2412" t="n">
        <v>0.2495166074783429</v>
      </c>
      <c r="H2412" t="n">
        <v>0.0230824816202045</v>
      </c>
      <c r="I2412" t="n">
        <v>0.0421366844154687</v>
      </c>
      <c r="J2412" t="n">
        <v>0.4835312349479592</v>
      </c>
      <c r="K2412" t="n">
        <v>0.0557564987324791</v>
      </c>
      <c r="L2412" t="b">
        <v>0</v>
      </c>
      <c r="M2412" t="b">
        <v>0</v>
      </c>
      <c r="N2412" t="inlineStr">
        <is>
          <t>ref</t>
        </is>
      </c>
      <c r="O2412" t="n">
        <v>-60</v>
      </c>
      <c r="P2412" t="n">
        <v>0.02388</v>
      </c>
      <c r="Q2412" t="n">
        <v>-60</v>
      </c>
      <c r="R2412" t="n">
        <v>0.1328</v>
      </c>
      <c r="S2412">
        <f>IMAGE("https://mitra.stanford.edu/kundaje/oak/projects/neuro-variants/variant_position/credible/roussos_2024/variant_figures/roussos_2024.childhood.GABA/rs12624433_count_position.png",4,220,900)</f>
        <v/>
      </c>
      <c r="T2412">
        <f>IMAGE("https://mitra.stanford.edu/kundaje/oak/projects/neuro-variants/variant_position/credible/roussos_2024/variant_figures/roussos_2024.childhood.GABA/rs12624433_profile_position.png",4,220,900)</f>
        <v/>
      </c>
    </row>
    <row r="2413">
      <c r="A2413" t="inlineStr">
        <is>
          <t>chr20</t>
        </is>
      </c>
      <c r="B2413" t="n">
        <v>46093017</v>
      </c>
      <c r="C2413" t="inlineStr">
        <is>
          <t>T</t>
        </is>
      </c>
      <c r="D2413" t="inlineStr">
        <is>
          <t>C</t>
        </is>
      </c>
      <c r="E2413" t="inlineStr">
        <is>
          <t>rs4578918</t>
        </is>
      </c>
      <c r="F2413" t="n">
        <v>0.0350187453999999</v>
      </c>
      <c r="G2413" t="n">
        <v>0.2314818686282892</v>
      </c>
      <c r="H2413" t="n">
        <v>0.0129040523923292</v>
      </c>
      <c r="I2413" t="n">
        <v>0.3621748457602781</v>
      </c>
      <c r="J2413" t="n">
        <v>0.2225524072794286</v>
      </c>
      <c r="K2413" t="n">
        <v>0.2071232826233403</v>
      </c>
      <c r="L2413" t="b">
        <v>0</v>
      </c>
      <c r="M2413" t="b">
        <v>0</v>
      </c>
      <c r="N2413" t="inlineStr">
        <is>
          <t>alt</t>
        </is>
      </c>
      <c r="O2413" t="n">
        <v>-100</v>
      </c>
      <c r="P2413" t="n">
        <v>0.02127</v>
      </c>
      <c r="Q2413" t="n">
        <v>-100</v>
      </c>
      <c r="R2413" t="n">
        <v>0.1019</v>
      </c>
      <c r="S2413">
        <f>IMAGE("https://mitra.stanford.edu/kundaje/oak/projects/neuro-variants/variant_position/credible/roussos_2024/variant_figures/roussos_2024.childhood.GABA/rs4578918_count_position.png",4,220,900)</f>
        <v/>
      </c>
      <c r="T2413">
        <f>IMAGE("https://mitra.stanford.edu/kundaje/oak/projects/neuro-variants/variant_position/credible/roussos_2024/variant_figures/roussos_2024.childhood.GABA/rs4578918_profile_position.png",4,220,900)</f>
        <v/>
      </c>
    </row>
    <row r="2414">
      <c r="A2414" t="inlineStr">
        <is>
          <t>chr20</t>
        </is>
      </c>
      <c r="B2414" t="n">
        <v>46107215</v>
      </c>
      <c r="C2414" t="inlineStr">
        <is>
          <t>A</t>
        </is>
      </c>
      <c r="D2414" t="inlineStr">
        <is>
          <t>G</t>
        </is>
      </c>
      <c r="E2414" t="inlineStr">
        <is>
          <t>rs6065926</t>
        </is>
      </c>
      <c r="F2414" t="n">
        <v>-0.0288196621999999</v>
      </c>
      <c r="G2414" t="n">
        <v>0.314088062587035</v>
      </c>
      <c r="H2414" t="n">
        <v>0.0198747175556333</v>
      </c>
      <c r="I2414" t="n">
        <v>0.07858332497978029</v>
      </c>
      <c r="J2414" t="n">
        <v>0.0564365144185461</v>
      </c>
      <c r="K2414" t="n">
        <v>0.466572036589181</v>
      </c>
      <c r="L2414" t="b">
        <v>0</v>
      </c>
      <c r="M2414" t="b">
        <v>0</v>
      </c>
      <c r="N2414" t="inlineStr">
        <is>
          <t>ref</t>
        </is>
      </c>
      <c r="O2414" t="n">
        <v>100</v>
      </c>
      <c r="P2414" t="n">
        <v>0.009050000000000001</v>
      </c>
      <c r="Q2414" t="n">
        <v>100</v>
      </c>
      <c r="R2414" t="n">
        <v>0.12256</v>
      </c>
      <c r="S2414">
        <f>IMAGE("https://mitra.stanford.edu/kundaje/oak/projects/neuro-variants/variant_position/credible/roussos_2024/variant_figures/roussos_2024.childhood.GABA/rs6065926_count_position.png",4,220,900)</f>
        <v/>
      </c>
      <c r="T2414">
        <f>IMAGE("https://mitra.stanford.edu/kundaje/oak/projects/neuro-variants/variant_position/credible/roussos_2024/variant_figures/roussos_2024.childhood.GABA/rs6065926_profile_position.png",4,220,900)</f>
        <v/>
      </c>
    </row>
    <row r="2415">
      <c r="A2415" t="inlineStr">
        <is>
          <t>chr20</t>
        </is>
      </c>
      <c r="B2415" t="n">
        <v>46111557</v>
      </c>
      <c r="C2415" t="inlineStr">
        <is>
          <t>C</t>
        </is>
      </c>
      <c r="D2415" t="inlineStr">
        <is>
          <t>T</t>
        </is>
      </c>
      <c r="E2415" t="inlineStr">
        <is>
          <t>rs6074022</t>
        </is>
      </c>
      <c r="F2415" t="n">
        <v>-0.0670175462</v>
      </c>
      <c r="G2415" t="n">
        <v>0.0912548539248656</v>
      </c>
      <c r="H2415" t="n">
        <v>0.0133044680155629</v>
      </c>
      <c r="I2415" t="n">
        <v>0.3233654073521728</v>
      </c>
      <c r="J2415" t="n">
        <v>0.0479895708990387</v>
      </c>
      <c r="K2415" t="n">
        <v>0.5473974419351771</v>
      </c>
      <c r="L2415" t="b">
        <v>0</v>
      </c>
      <c r="M2415" t="b">
        <v>0</v>
      </c>
      <c r="N2415" t="inlineStr">
        <is>
          <t>ref</t>
        </is>
      </c>
      <c r="O2415" t="n">
        <v>100</v>
      </c>
      <c r="P2415" t="n">
        <v>0.002747</v>
      </c>
      <c r="Q2415" t="n">
        <v>-55</v>
      </c>
      <c r="R2415" t="n">
        <v>0.0774</v>
      </c>
      <c r="S2415">
        <f>IMAGE("https://mitra.stanford.edu/kundaje/oak/projects/neuro-variants/variant_position/credible/roussos_2024/variant_figures/roussos_2024.childhood.GABA/rs6074022_count_position.png",4,220,900)</f>
        <v/>
      </c>
      <c r="T2415">
        <f>IMAGE("https://mitra.stanford.edu/kundaje/oak/projects/neuro-variants/variant_position/credible/roussos_2024/variant_figures/roussos_2024.childhood.GABA/rs6074022_profile_position.png",4,220,900)</f>
        <v/>
      </c>
    </row>
    <row r="2416">
      <c r="A2416" t="inlineStr">
        <is>
          <t>chr20</t>
        </is>
      </c>
      <c r="B2416" t="n">
        <v>46119308</v>
      </c>
      <c r="C2416" t="inlineStr">
        <is>
          <t>T</t>
        </is>
      </c>
      <c r="D2416" t="inlineStr">
        <is>
          <t>G</t>
        </is>
      </c>
      <c r="E2416" t="inlineStr">
        <is>
          <t>rs4810485</t>
        </is>
      </c>
      <c r="F2416" t="n">
        <v>0.06587036639999989</v>
      </c>
      <c r="G2416" t="n">
        <v>0.0777491628850214</v>
      </c>
      <c r="H2416" t="n">
        <v>0.0142208714753851</v>
      </c>
      <c r="I2416" t="n">
        <v>0.270815869932995</v>
      </c>
      <c r="J2416" t="n">
        <v>0.3738319616343113</v>
      </c>
      <c r="K2416" t="n">
        <v>0.0967957414472552</v>
      </c>
      <c r="L2416" t="b">
        <v>0</v>
      </c>
      <c r="M2416" t="b">
        <v>0</v>
      </c>
      <c r="N2416" t="inlineStr">
        <is>
          <t>alt</t>
        </is>
      </c>
      <c r="O2416" t="n">
        <v>-20</v>
      </c>
      <c r="P2416" t="n">
        <v>0.003448</v>
      </c>
      <c r="Q2416" t="n">
        <v>90</v>
      </c>
      <c r="R2416" t="n">
        <v>0.1515</v>
      </c>
      <c r="S2416">
        <f>IMAGE("https://mitra.stanford.edu/kundaje/oak/projects/neuro-variants/variant_position/credible/roussos_2024/variant_figures/roussos_2024.childhood.GABA/rs4810485_count_position.png",4,220,900)</f>
        <v/>
      </c>
      <c r="T2416">
        <f>IMAGE("https://mitra.stanford.edu/kundaje/oak/projects/neuro-variants/variant_position/credible/roussos_2024/variant_figures/roussos_2024.childhood.GABA/rs4810485_profile_position.png",4,220,900)</f>
        <v/>
      </c>
    </row>
    <row r="2417">
      <c r="A2417" t="inlineStr">
        <is>
          <t>chr20</t>
        </is>
      </c>
      <c r="B2417" t="n">
        <v>49483086</v>
      </c>
      <c r="C2417" t="inlineStr">
        <is>
          <t>C</t>
        </is>
      </c>
      <c r="D2417" t="inlineStr">
        <is>
          <t>T</t>
        </is>
      </c>
      <c r="E2417" t="inlineStr">
        <is>
          <t>rs74361372</t>
        </is>
      </c>
      <c r="F2417" t="n">
        <v>-0.0009892705599999999</v>
      </c>
      <c r="G2417" t="n">
        <v>0.9200272410943724</v>
      </c>
      <c r="H2417" t="n">
        <v>0.0179827464193292</v>
      </c>
      <c r="I2417" t="n">
        <v>0.1141035972415757</v>
      </c>
      <c r="J2417" t="n">
        <v>0.8363102343406421</v>
      </c>
      <c r="K2417" t="n">
        <v>0.0045729215080652</v>
      </c>
      <c r="L2417" t="b">
        <v>0</v>
      </c>
      <c r="M2417" t="b">
        <v>0</v>
      </c>
      <c r="N2417" t="inlineStr">
        <is>
          <t>ref</t>
        </is>
      </c>
      <c r="O2417" t="n">
        <v>10</v>
      </c>
      <c r="P2417" t="n">
        <v>0.0008926</v>
      </c>
      <c r="Q2417" t="n">
        <v>-100</v>
      </c>
      <c r="R2417" t="n">
        <v>0.0665</v>
      </c>
      <c r="S2417">
        <f>IMAGE("https://mitra.stanford.edu/kundaje/oak/projects/neuro-variants/variant_position/credible/roussos_2024/variant_figures/roussos_2024.childhood.GABA/rs74361372_count_position.png",4,220,900)</f>
        <v/>
      </c>
      <c r="T2417">
        <f>IMAGE("https://mitra.stanford.edu/kundaje/oak/projects/neuro-variants/variant_position/credible/roussos_2024/variant_figures/roussos_2024.childhood.GABA/rs74361372_profile_position.png",4,220,900)</f>
        <v/>
      </c>
    </row>
    <row r="2418">
      <c r="A2418" t="inlineStr">
        <is>
          <t>chr20</t>
        </is>
      </c>
      <c r="B2418" t="n">
        <v>49486664</v>
      </c>
      <c r="C2418" t="inlineStr">
        <is>
          <t>T</t>
        </is>
      </c>
      <c r="D2418" t="inlineStr">
        <is>
          <t>C</t>
        </is>
      </c>
      <c r="E2418" t="inlineStr">
        <is>
          <t>rs6012677</t>
        </is>
      </c>
      <c r="F2418" t="n">
        <v>-0.1961434839999999</v>
      </c>
      <c r="G2418" t="n">
        <v>0.0049332272440478</v>
      </c>
      <c r="H2418" t="n">
        <v>0.0257851872636218</v>
      </c>
      <c r="I2418" t="n">
        <v>0.0270877519098269</v>
      </c>
      <c r="J2418" t="n">
        <v>0.0817532617117965</v>
      </c>
      <c r="K2418" t="n">
        <v>0.4145241735482482</v>
      </c>
      <c r="L2418" t="b">
        <v>1</v>
      </c>
      <c r="M2418" t="b">
        <v>1</v>
      </c>
      <c r="N2418" t="inlineStr">
        <is>
          <t>ref</t>
        </is>
      </c>
      <c r="O2418" t="n">
        <v>85</v>
      </c>
      <c r="P2418" t="n">
        <v>0.006668</v>
      </c>
      <c r="Q2418" t="n">
        <v>100</v>
      </c>
      <c r="R2418" t="n">
        <v>0.1098</v>
      </c>
      <c r="S2418">
        <f>IMAGE("https://mitra.stanford.edu/kundaje/oak/projects/neuro-variants/variant_position/credible/roussos_2024/variant_figures/roussos_2024.childhood.GABA/rs6012677_count_position.png",4,220,900)</f>
        <v/>
      </c>
      <c r="T2418">
        <f>IMAGE("https://mitra.stanford.edu/kundaje/oak/projects/neuro-variants/variant_position/credible/roussos_2024/variant_figures/roussos_2024.childhood.GABA/rs6012677_profile_position.png",4,220,900)</f>
        <v/>
      </c>
    </row>
    <row r="2419">
      <c r="A2419" t="inlineStr">
        <is>
          <t>chr20</t>
        </is>
      </c>
      <c r="B2419" t="n">
        <v>49488780</v>
      </c>
      <c r="C2419" t="inlineStr">
        <is>
          <t>T</t>
        </is>
      </c>
      <c r="D2419" t="inlineStr">
        <is>
          <t>C</t>
        </is>
      </c>
      <c r="E2419" t="inlineStr">
        <is>
          <t>rs11696755</t>
        </is>
      </c>
      <c r="F2419" t="n">
        <v>0.0164952208399999</v>
      </c>
      <c r="G2419" t="n">
        <v>0.4474427448753988</v>
      </c>
      <c r="H2419" t="n">
        <v>0.0087266940203447</v>
      </c>
      <c r="I2419" t="n">
        <v>0.7794614843391231</v>
      </c>
      <c r="J2419" t="n">
        <v>0.031983623379615</v>
      </c>
      <c r="K2419" t="n">
        <v>0.5946034241604513</v>
      </c>
      <c r="L2419" t="b">
        <v>0</v>
      </c>
      <c r="M2419" t="b">
        <v>0</v>
      </c>
      <c r="N2419" t="inlineStr">
        <is>
          <t>alt</t>
        </is>
      </c>
      <c r="O2419" t="n">
        <v>95</v>
      </c>
      <c r="P2419" t="n">
        <v>0.002617</v>
      </c>
      <c r="Q2419" t="n">
        <v>80</v>
      </c>
      <c r="R2419" t="n">
        <v>0.0304</v>
      </c>
      <c r="S2419">
        <f>IMAGE("https://mitra.stanford.edu/kundaje/oak/projects/neuro-variants/variant_position/credible/roussos_2024/variant_figures/roussos_2024.childhood.GABA/rs11696755_count_position.png",4,220,900)</f>
        <v/>
      </c>
      <c r="T2419">
        <f>IMAGE("https://mitra.stanford.edu/kundaje/oak/projects/neuro-variants/variant_position/credible/roussos_2024/variant_figures/roussos_2024.childhood.GABA/rs11696755_profile_position.png",4,220,900)</f>
        <v/>
      </c>
    </row>
    <row r="2420">
      <c r="A2420" t="inlineStr">
        <is>
          <t>chr20</t>
        </is>
      </c>
      <c r="B2420" t="n">
        <v>49493651</v>
      </c>
      <c r="C2420" t="inlineStr">
        <is>
          <t>C</t>
        </is>
      </c>
      <c r="D2420" t="inlineStr">
        <is>
          <t>T</t>
        </is>
      </c>
      <c r="E2420" t="inlineStr">
        <is>
          <t>rs6095541</t>
        </is>
      </c>
      <c r="F2420" t="n">
        <v>-0.057527589</v>
      </c>
      <c r="G2420" t="n">
        <v>0.1137982498730576</v>
      </c>
      <c r="H2420" t="n">
        <v>0.0131985946570865</v>
      </c>
      <c r="I2420" t="n">
        <v>0.3390870876981609</v>
      </c>
      <c r="J2420" t="n">
        <v>0.0384159494042009</v>
      </c>
      <c r="K2420" t="n">
        <v>0.5404649267238787</v>
      </c>
      <c r="L2420" t="b">
        <v>0</v>
      </c>
      <c r="M2420" t="b">
        <v>0</v>
      </c>
      <c r="N2420" t="inlineStr">
        <is>
          <t>ref</t>
        </is>
      </c>
      <c r="O2420" t="n">
        <v>100</v>
      </c>
      <c r="P2420" t="n">
        <v>0.00821</v>
      </c>
      <c r="Q2420" t="n">
        <v>5</v>
      </c>
      <c r="R2420" t="n">
        <v>0.006012</v>
      </c>
      <c r="S2420">
        <f>IMAGE("https://mitra.stanford.edu/kundaje/oak/projects/neuro-variants/variant_position/credible/roussos_2024/variant_figures/roussos_2024.childhood.GABA/rs6095541_count_position.png",4,220,900)</f>
        <v/>
      </c>
      <c r="T2420">
        <f>IMAGE("https://mitra.stanford.edu/kundaje/oak/projects/neuro-variants/variant_position/credible/roussos_2024/variant_figures/roussos_2024.childhood.GABA/rs6095541_profile_position.png",4,220,900)</f>
        <v/>
      </c>
    </row>
    <row r="2421">
      <c r="A2421" t="inlineStr">
        <is>
          <t>chr20</t>
        </is>
      </c>
      <c r="B2421" t="n">
        <v>49506550</v>
      </c>
      <c r="C2421" t="inlineStr">
        <is>
          <t>T</t>
        </is>
      </c>
      <c r="D2421" t="inlineStr">
        <is>
          <t>G</t>
        </is>
      </c>
      <c r="E2421" t="inlineStr">
        <is>
          <t>rs5596</t>
        </is>
      </c>
      <c r="F2421" t="n">
        <v>-0.0014261560399999</v>
      </c>
      <c r="G2421" t="n">
        <v>0.8677863166668628</v>
      </c>
      <c r="H2421" t="n">
        <v>0.0307743136393055</v>
      </c>
      <c r="I2421" t="n">
        <v>0.011213790391549</v>
      </c>
      <c r="J2421" t="n">
        <v>0.1511361018617411</v>
      </c>
      <c r="K2421" t="n">
        <v>0.2795227421684191</v>
      </c>
      <c r="L2421" t="b">
        <v>1</v>
      </c>
      <c r="M2421" t="b">
        <v>0</v>
      </c>
      <c r="N2421" t="inlineStr">
        <is>
          <t>ref</t>
        </is>
      </c>
      <c r="O2421" t="n">
        <v>-65</v>
      </c>
      <c r="P2421" t="n">
        <v>0.01217</v>
      </c>
      <c r="Q2421" t="n">
        <v>-5</v>
      </c>
      <c r="R2421" t="n">
        <v>0.00403</v>
      </c>
      <c r="S2421">
        <f>IMAGE("https://mitra.stanford.edu/kundaje/oak/projects/neuro-variants/variant_position/credible/roussos_2024/variant_figures/roussos_2024.childhood.GABA/rs5596_count_position.png",4,220,900)</f>
        <v/>
      </c>
      <c r="T2421">
        <f>IMAGE("https://mitra.stanford.edu/kundaje/oak/projects/neuro-variants/variant_position/credible/roussos_2024/variant_figures/roussos_2024.childhood.GABA/rs5596_profile_position.png",4,220,900)</f>
        <v/>
      </c>
    </row>
    <row r="2422">
      <c r="A2422" t="inlineStr">
        <is>
          <t>chr20</t>
        </is>
      </c>
      <c r="B2422" t="n">
        <v>49510639</v>
      </c>
      <c r="C2422" t="inlineStr">
        <is>
          <t>T</t>
        </is>
      </c>
      <c r="D2422" t="inlineStr">
        <is>
          <t>C</t>
        </is>
      </c>
      <c r="E2422" t="inlineStr">
        <is>
          <t>rs729824</t>
        </is>
      </c>
      <c r="F2422" t="n">
        <v>0.0467477845999999</v>
      </c>
      <c r="G2422" t="n">
        <v>0.1645092372759266</v>
      </c>
      <c r="H2422" t="n">
        <v>0.0162292996226575</v>
      </c>
      <c r="I2422" t="n">
        <v>0.174560633547448</v>
      </c>
      <c r="J2422" t="n">
        <v>0.2079527130321878</v>
      </c>
      <c r="K2422" t="n">
        <v>0.2070223783699921</v>
      </c>
      <c r="L2422" t="b">
        <v>0</v>
      </c>
      <c r="M2422" t="b">
        <v>0</v>
      </c>
      <c r="N2422" t="inlineStr">
        <is>
          <t>alt</t>
        </is>
      </c>
      <c r="O2422" t="n">
        <v>100</v>
      </c>
      <c r="P2422" t="n">
        <v>0.052</v>
      </c>
      <c r="Q2422" t="n">
        <v>100</v>
      </c>
      <c r="R2422" t="n">
        <v>0.2096</v>
      </c>
      <c r="S2422">
        <f>IMAGE("https://mitra.stanford.edu/kundaje/oak/projects/neuro-variants/variant_position/credible/roussos_2024/variant_figures/roussos_2024.childhood.GABA/rs729824_count_position.png",4,220,900)</f>
        <v/>
      </c>
      <c r="T2422">
        <f>IMAGE("https://mitra.stanford.edu/kundaje/oak/projects/neuro-variants/variant_position/credible/roussos_2024/variant_figures/roussos_2024.childhood.GABA/rs729824_profile_position.png",4,220,900)</f>
        <v/>
      </c>
    </row>
    <row r="2423">
      <c r="A2423" t="inlineStr">
        <is>
          <t>chr20</t>
        </is>
      </c>
      <c r="B2423" t="n">
        <v>49513791</v>
      </c>
      <c r="C2423" t="inlineStr">
        <is>
          <t>C</t>
        </is>
      </c>
      <c r="D2423" t="inlineStr">
        <is>
          <t>T</t>
        </is>
      </c>
      <c r="E2423" t="inlineStr">
        <is>
          <t>rs495146</t>
        </is>
      </c>
      <c r="F2423" t="n">
        <v>-0.0061397141399999</v>
      </c>
      <c r="G2423" t="n">
        <v>0.466639471755686</v>
      </c>
      <c r="H2423" t="n">
        <v>0.0135890732880391</v>
      </c>
      <c r="I2423" t="n">
        <v>0.3048241939510983</v>
      </c>
      <c r="J2423" t="n">
        <v>0.5812705493078678</v>
      </c>
      <c r="K2423" t="n">
        <v>0.0309988426528013</v>
      </c>
      <c r="L2423" t="b">
        <v>0</v>
      </c>
      <c r="M2423" t="b">
        <v>0</v>
      </c>
      <c r="N2423" t="inlineStr">
        <is>
          <t>ref</t>
        </is>
      </c>
      <c r="O2423" t="n">
        <v>-75</v>
      </c>
      <c r="P2423" t="n">
        <v>0.0006713999999999999</v>
      </c>
      <c r="Q2423" t="n">
        <v>-65</v>
      </c>
      <c r="R2423" t="n">
        <v>0.03467</v>
      </c>
      <c r="S2423">
        <f>IMAGE("https://mitra.stanford.edu/kundaje/oak/projects/neuro-variants/variant_position/credible/roussos_2024/variant_figures/roussos_2024.childhood.GABA/rs495146_count_position.png",4,220,900)</f>
        <v/>
      </c>
      <c r="T2423">
        <f>IMAGE("https://mitra.stanford.edu/kundaje/oak/projects/neuro-variants/variant_position/credible/roussos_2024/variant_figures/roussos_2024.childhood.GABA/rs495146_profile_position.png",4,220,900)</f>
        <v/>
      </c>
    </row>
    <row r="2424">
      <c r="A2424" t="inlineStr">
        <is>
          <t>chr20</t>
        </is>
      </c>
      <c r="B2424" t="n">
        <v>49514764</v>
      </c>
      <c r="C2424" t="inlineStr">
        <is>
          <t>G</t>
        </is>
      </c>
      <c r="D2424" t="inlineStr">
        <is>
          <t>C</t>
        </is>
      </c>
      <c r="E2424" t="inlineStr">
        <is>
          <t>rs6012680</t>
        </is>
      </c>
      <c r="F2424" t="n">
        <v>-0.058813322</v>
      </c>
      <c r="G2424" t="n">
        <v>0.114445539233282</v>
      </c>
      <c r="H2424" t="n">
        <v>0.0130904308532447</v>
      </c>
      <c r="I2424" t="n">
        <v>0.3493056143573762</v>
      </c>
      <c r="J2424" t="n">
        <v>0.3478660132772088</v>
      </c>
      <c r="K2424" t="n">
        <v>0.1096441185752305</v>
      </c>
      <c r="L2424" t="b">
        <v>0</v>
      </c>
      <c r="M2424" t="b">
        <v>0</v>
      </c>
      <c r="N2424" t="inlineStr">
        <is>
          <t>ref</t>
        </is>
      </c>
      <c r="O2424" t="n">
        <v>-100</v>
      </c>
      <c r="P2424" t="n">
        <v>0.003717</v>
      </c>
      <c r="Q2424" t="n">
        <v>80</v>
      </c>
      <c r="R2424" t="n">
        <v>0.1987</v>
      </c>
      <c r="S2424">
        <f>IMAGE("https://mitra.stanford.edu/kundaje/oak/projects/neuro-variants/variant_position/credible/roussos_2024/variant_figures/roussos_2024.childhood.GABA/rs6012680_count_position.png",4,220,900)</f>
        <v/>
      </c>
      <c r="T2424">
        <f>IMAGE("https://mitra.stanford.edu/kundaje/oak/projects/neuro-variants/variant_position/credible/roussos_2024/variant_figures/roussos_2024.childhood.GABA/rs6012680_profile_position.png",4,220,900)</f>
        <v/>
      </c>
    </row>
    <row r="2425">
      <c r="A2425" t="inlineStr">
        <is>
          <t>chr21</t>
        </is>
      </c>
      <c r="B2425" t="n">
        <v>14982650</v>
      </c>
      <c r="C2425" t="inlineStr">
        <is>
          <t>C</t>
        </is>
      </c>
      <c r="D2425" t="inlineStr">
        <is>
          <t>T</t>
        </is>
      </c>
      <c r="E2425" t="inlineStr">
        <is>
          <t>rs1810404</t>
        </is>
      </c>
      <c r="F2425" t="n">
        <v>-0.051287676</v>
      </c>
      <c r="G2425" t="n">
        <v>0.1358236510296009</v>
      </c>
      <c r="H2425" t="n">
        <v>0.0140599842620282</v>
      </c>
      <c r="I2425" t="n">
        <v>0.2767323068065343</v>
      </c>
      <c r="J2425" t="n">
        <v>0.0140478733429665</v>
      </c>
      <c r="K2425" t="n">
        <v>0.6928127754778476</v>
      </c>
      <c r="L2425" t="b">
        <v>0</v>
      </c>
      <c r="M2425" t="b">
        <v>0</v>
      </c>
      <c r="N2425" t="inlineStr">
        <is>
          <t>ref</t>
        </is>
      </c>
      <c r="O2425" t="n">
        <v>-30</v>
      </c>
      <c r="P2425" t="n">
        <v>0.001343</v>
      </c>
      <c r="Q2425" t="n">
        <v>-100</v>
      </c>
      <c r="R2425" t="n">
        <v>0.09644</v>
      </c>
      <c r="S2425">
        <f>IMAGE("https://mitra.stanford.edu/kundaje/oak/projects/neuro-variants/variant_position/credible/roussos_2024/variant_figures/roussos_2024.childhood.GABA/rs1810404_count_position.png",4,220,900)</f>
        <v/>
      </c>
      <c r="T2425">
        <f>IMAGE("https://mitra.stanford.edu/kundaje/oak/projects/neuro-variants/variant_position/credible/roussos_2024/variant_figures/roussos_2024.childhood.GABA/rs1810404_profile_position.png",4,220,900)</f>
        <v/>
      </c>
    </row>
    <row r="2426">
      <c r="A2426" t="inlineStr">
        <is>
          <t>chr21</t>
        </is>
      </c>
      <c r="B2426" t="n">
        <v>14991212</v>
      </c>
      <c r="C2426" t="inlineStr">
        <is>
          <t>G</t>
        </is>
      </c>
      <c r="D2426" t="inlineStr">
        <is>
          <t>A</t>
        </is>
      </c>
      <c r="E2426" t="inlineStr">
        <is>
          <t>rs34570637</t>
        </is>
      </c>
      <c r="F2426" t="n">
        <v>-0.051464695</v>
      </c>
      <c r="G2426" t="n">
        <v>0.1359159036169812</v>
      </c>
      <c r="H2426" t="n">
        <v>0.014432342996973</v>
      </c>
      <c r="I2426" t="n">
        <v>0.2564008895315678</v>
      </c>
      <c r="J2426" t="n">
        <v>0.0121432011895038</v>
      </c>
      <c r="K2426" t="n">
        <v>0.7179138358623222</v>
      </c>
      <c r="L2426" t="b">
        <v>0</v>
      </c>
      <c r="M2426" t="b">
        <v>0</v>
      </c>
      <c r="N2426" t="inlineStr">
        <is>
          <t>ref</t>
        </is>
      </c>
      <c r="O2426" t="n">
        <v>80</v>
      </c>
      <c r="P2426" t="n">
        <v>0.0162</v>
      </c>
      <c r="Q2426" t="n">
        <v>90</v>
      </c>
      <c r="R2426" t="n">
        <v>0.1018</v>
      </c>
      <c r="S2426">
        <f>IMAGE("https://mitra.stanford.edu/kundaje/oak/projects/neuro-variants/variant_position/credible/roussos_2024/variant_figures/roussos_2024.childhood.GABA/rs34570637_count_position.png",4,220,900)</f>
        <v/>
      </c>
      <c r="T2426">
        <f>IMAGE("https://mitra.stanford.edu/kundaje/oak/projects/neuro-variants/variant_position/credible/roussos_2024/variant_figures/roussos_2024.childhood.GABA/rs34570637_profile_position.png",4,220,900)</f>
        <v/>
      </c>
    </row>
    <row r="2427">
      <c r="A2427" t="inlineStr">
        <is>
          <t>chr21</t>
        </is>
      </c>
      <c r="B2427" t="n">
        <v>15022260</v>
      </c>
      <c r="C2427" t="inlineStr">
        <is>
          <t>T</t>
        </is>
      </c>
      <c r="D2427" t="inlineStr">
        <is>
          <t>C</t>
        </is>
      </c>
      <c r="E2427" t="inlineStr">
        <is>
          <t>rs73172392</t>
        </is>
      </c>
      <c r="F2427" t="n">
        <v>-0.01031150132</v>
      </c>
      <c r="G2427" t="n">
        <v>0.5658021015481951</v>
      </c>
      <c r="H2427" t="n">
        <v>0.0130001612521703</v>
      </c>
      <c r="I2427" t="n">
        <v>0.3499826695800823</v>
      </c>
      <c r="J2427" t="n">
        <v>0.0495350882704026</v>
      </c>
      <c r="K2427" t="n">
        <v>0.4928128674419548</v>
      </c>
      <c r="L2427" t="b">
        <v>0</v>
      </c>
      <c r="M2427" t="b">
        <v>0</v>
      </c>
      <c r="N2427" t="inlineStr">
        <is>
          <t>ref</t>
        </is>
      </c>
      <c r="O2427" t="n">
        <v>-90</v>
      </c>
      <c r="P2427" t="n">
        <v>0.001804</v>
      </c>
      <c r="Q2427" t="n">
        <v>80</v>
      </c>
      <c r="R2427" t="n">
        <v>0.04626</v>
      </c>
      <c r="S2427">
        <f>IMAGE("https://mitra.stanford.edu/kundaje/oak/projects/neuro-variants/variant_position/credible/roussos_2024/variant_figures/roussos_2024.childhood.GABA/rs73172392_count_position.png",4,220,900)</f>
        <v/>
      </c>
      <c r="T2427">
        <f>IMAGE("https://mitra.stanford.edu/kundaje/oak/projects/neuro-variants/variant_position/credible/roussos_2024/variant_figures/roussos_2024.childhood.GABA/rs73172392_profile_position.png",4,220,900)</f>
        <v/>
      </c>
    </row>
    <row r="2428">
      <c r="A2428" t="inlineStr">
        <is>
          <t>chr21</t>
        </is>
      </c>
      <c r="B2428" t="n">
        <v>20758576</v>
      </c>
      <c r="C2428" t="inlineStr">
        <is>
          <t>C</t>
        </is>
      </c>
      <c r="D2428" t="inlineStr">
        <is>
          <t>T</t>
        </is>
      </c>
      <c r="E2428" t="inlineStr">
        <is>
          <t>rs2826495</t>
        </is>
      </c>
      <c r="F2428" t="n">
        <v>0.008645231499999999</v>
      </c>
      <c r="G2428" t="n">
        <v>0.6436674983495337</v>
      </c>
      <c r="H2428" t="n">
        <v>0.0171228451514658</v>
      </c>
      <c r="I2428" t="n">
        <v>0.139256051650146</v>
      </c>
      <c r="J2428" t="n">
        <v>0.0169975497895331</v>
      </c>
      <c r="K2428" t="n">
        <v>0.6669399707326418</v>
      </c>
      <c r="L2428" t="b">
        <v>0</v>
      </c>
      <c r="M2428" t="b">
        <v>0</v>
      </c>
      <c r="N2428" t="inlineStr">
        <is>
          <t>alt</t>
        </is>
      </c>
      <c r="O2428" t="n">
        <v>100</v>
      </c>
      <c r="P2428" t="n">
        <v>0.007393</v>
      </c>
      <c r="Q2428" t="n">
        <v>90</v>
      </c>
      <c r="R2428" t="n">
        <v>0.0919</v>
      </c>
      <c r="S2428">
        <f>IMAGE("https://mitra.stanford.edu/kundaje/oak/projects/neuro-variants/variant_position/credible/roussos_2024/variant_figures/roussos_2024.childhood.GABA/rs2826495_count_position.png",4,220,900)</f>
        <v/>
      </c>
      <c r="T2428">
        <f>IMAGE("https://mitra.stanford.edu/kundaje/oak/projects/neuro-variants/variant_position/credible/roussos_2024/variant_figures/roussos_2024.childhood.GABA/rs2826495_profile_position.png",4,220,900)</f>
        <v/>
      </c>
    </row>
    <row r="2429">
      <c r="A2429" t="inlineStr">
        <is>
          <t>chr21</t>
        </is>
      </c>
      <c r="B2429" t="n">
        <v>33900088</v>
      </c>
      <c r="C2429" t="inlineStr">
        <is>
          <t>T</t>
        </is>
      </c>
      <c r="D2429" t="inlineStr">
        <is>
          <t>G</t>
        </is>
      </c>
      <c r="E2429" t="inlineStr">
        <is>
          <t>rs3746862</t>
        </is>
      </c>
      <c r="F2429" t="n">
        <v>-0.0331471842</v>
      </c>
      <c r="G2429" t="n">
        <v>0.2726332620539808</v>
      </c>
      <c r="H2429" t="n">
        <v>0.0263967435067732</v>
      </c>
      <c r="I2429" t="n">
        <v>0.0223272719911702</v>
      </c>
      <c r="J2429" t="n">
        <v>0.1841134217084458</v>
      </c>
      <c r="K2429" t="n">
        <v>0.2299552134911239</v>
      </c>
      <c r="L2429" t="b">
        <v>0</v>
      </c>
      <c r="M2429" t="b">
        <v>0</v>
      </c>
      <c r="N2429" t="inlineStr">
        <is>
          <t>ref</t>
        </is>
      </c>
      <c r="O2429" t="n">
        <v>-75</v>
      </c>
      <c r="P2429" t="n">
        <v>0.00984</v>
      </c>
      <c r="Q2429" t="n">
        <v>-35</v>
      </c>
      <c r="R2429" t="n">
        <v>0.0835</v>
      </c>
      <c r="S2429">
        <f>IMAGE("https://mitra.stanford.edu/kundaje/oak/projects/neuro-variants/variant_position/credible/roussos_2024/variant_figures/roussos_2024.childhood.GABA/rs3746862_count_position.png",4,220,900)</f>
        <v/>
      </c>
      <c r="T2429">
        <f>IMAGE("https://mitra.stanford.edu/kundaje/oak/projects/neuro-variants/variant_position/credible/roussos_2024/variant_figures/roussos_2024.childhood.GABA/rs3746862_profile_position.png",4,220,900)</f>
        <v/>
      </c>
    </row>
    <row r="2430">
      <c r="A2430" t="inlineStr">
        <is>
          <t>chr22</t>
        </is>
      </c>
      <c r="B2430" t="n">
        <v>19990499</v>
      </c>
      <c r="C2430" t="inlineStr">
        <is>
          <t>C</t>
        </is>
      </c>
      <c r="D2430" t="inlineStr">
        <is>
          <t>T</t>
        </is>
      </c>
      <c r="E2430" t="inlineStr">
        <is>
          <t>rs4819527</t>
        </is>
      </c>
      <c r="F2430" t="n">
        <v>-0.0385029748</v>
      </c>
      <c r="G2430" t="n">
        <v>0.2213262785392647</v>
      </c>
      <c r="H2430" t="n">
        <v>0.0125401049285577</v>
      </c>
      <c r="I2430" t="n">
        <v>0.3925447516534283</v>
      </c>
      <c r="J2430" t="n">
        <v>0.4774015203870076</v>
      </c>
      <c r="K2430" t="n">
        <v>0.0582883307082132</v>
      </c>
      <c r="L2430" t="b">
        <v>0</v>
      </c>
      <c r="M2430" t="b">
        <v>0</v>
      </c>
      <c r="N2430" t="inlineStr">
        <is>
          <t>ref</t>
        </is>
      </c>
      <c r="O2430" t="n">
        <v>80</v>
      </c>
      <c r="P2430" t="n">
        <v>0.0128</v>
      </c>
      <c r="Q2430" t="n">
        <v>100</v>
      </c>
      <c r="R2430" t="n">
        <v>0.1997</v>
      </c>
      <c r="S2430">
        <f>IMAGE("https://mitra.stanford.edu/kundaje/oak/projects/neuro-variants/variant_position/credible/roussos_2024/variant_figures/roussos_2024.childhood.GABA/rs4819527_count_position.png",4,220,900)</f>
        <v/>
      </c>
      <c r="T2430">
        <f>IMAGE("https://mitra.stanford.edu/kundaje/oak/projects/neuro-variants/variant_position/credible/roussos_2024/variant_figures/roussos_2024.childhood.GABA/rs4819527_profile_position.png",4,220,900)</f>
        <v/>
      </c>
    </row>
    <row r="2431">
      <c r="A2431" t="inlineStr">
        <is>
          <t>chr22</t>
        </is>
      </c>
      <c r="B2431" t="n">
        <v>20080563</v>
      </c>
      <c r="C2431" t="inlineStr">
        <is>
          <t>G</t>
        </is>
      </c>
      <c r="D2431" t="inlineStr">
        <is>
          <t>C</t>
        </is>
      </c>
      <c r="E2431" t="inlineStr">
        <is>
          <t>rs61174903</t>
        </is>
      </c>
      <c r="F2431" t="n">
        <v>-0.101472195</v>
      </c>
      <c r="G2431" t="n">
        <v>0.0297156999117473</v>
      </c>
      <c r="H2431" t="n">
        <v>0.0176140588403196</v>
      </c>
      <c r="I2431" t="n">
        <v>0.124966135546061</v>
      </c>
      <c r="J2431" t="n">
        <v>0.9638248413645788</v>
      </c>
      <c r="K2431" t="n">
        <v>0.0001283319199565</v>
      </c>
      <c r="L2431" t="b">
        <v>0</v>
      </c>
      <c r="M2431" t="b">
        <v>0</v>
      </c>
      <c r="N2431" t="inlineStr">
        <is>
          <t>ref</t>
        </is>
      </c>
      <c r="O2431" t="n">
        <v>100</v>
      </c>
      <c r="P2431" t="n">
        <v>0.009350000000000001</v>
      </c>
      <c r="Q2431" t="n">
        <v>-15</v>
      </c>
      <c r="R2431" t="n">
        <v>0.02087</v>
      </c>
      <c r="S2431">
        <f>IMAGE("https://mitra.stanford.edu/kundaje/oak/projects/neuro-variants/variant_position/credible/roussos_2024/variant_figures/roussos_2024.childhood.GABA/rs61174903_count_position.png",4,220,900)</f>
        <v/>
      </c>
      <c r="T2431">
        <f>IMAGE("https://mitra.stanford.edu/kundaje/oak/projects/neuro-variants/variant_position/credible/roussos_2024/variant_figures/roussos_2024.childhood.GABA/rs61174903_profile_position.png",4,220,900)</f>
        <v/>
      </c>
    </row>
    <row r="2432">
      <c r="A2432" t="inlineStr">
        <is>
          <t>chr22</t>
        </is>
      </c>
      <c r="B2432" t="n">
        <v>21676839</v>
      </c>
      <c r="C2432" t="inlineStr">
        <is>
          <t>C</t>
        </is>
      </c>
      <c r="D2432" t="inlineStr">
        <is>
          <t>T</t>
        </is>
      </c>
      <c r="E2432" t="inlineStr">
        <is>
          <t>rs138647105</t>
        </is>
      </c>
      <c r="F2432" t="n">
        <v>-0.0344304762</v>
      </c>
      <c r="G2432" t="n">
        <v>0.261230273758963</v>
      </c>
      <c r="H2432" t="n">
        <v>0.0127351225377445</v>
      </c>
      <c r="I2432" t="n">
        <v>0.378169770225389</v>
      </c>
      <c r="J2432" t="n">
        <v>0.3980387845280727</v>
      </c>
      <c r="K2432" t="n">
        <v>0.0856911690572177</v>
      </c>
      <c r="L2432" t="b">
        <v>0</v>
      </c>
      <c r="M2432" t="b">
        <v>0</v>
      </c>
      <c r="N2432" t="inlineStr">
        <is>
          <t>ref</t>
        </is>
      </c>
      <c r="O2432" t="n">
        <v>100</v>
      </c>
      <c r="P2432" t="n">
        <v>0.04474</v>
      </c>
      <c r="Q2432" t="n">
        <v>100</v>
      </c>
      <c r="R2432" t="n">
        <v>0.164</v>
      </c>
      <c r="S2432">
        <f>IMAGE("https://mitra.stanford.edu/kundaje/oak/projects/neuro-variants/variant_position/credible/roussos_2024/variant_figures/roussos_2024.childhood.GABA/rs138647105_count_position.png",4,220,900)</f>
        <v/>
      </c>
      <c r="T2432">
        <f>IMAGE("https://mitra.stanford.edu/kundaje/oak/projects/neuro-variants/variant_position/credible/roussos_2024/variant_figures/roussos_2024.childhood.GABA/rs138647105_profile_position.png",4,220,900)</f>
        <v/>
      </c>
    </row>
    <row r="2433">
      <c r="A2433" t="inlineStr">
        <is>
          <t>chr22</t>
        </is>
      </c>
      <c r="B2433" t="n">
        <v>21713850</v>
      </c>
      <c r="C2433" t="inlineStr">
        <is>
          <t>C</t>
        </is>
      </c>
      <c r="D2433" t="inlineStr">
        <is>
          <t>T</t>
        </is>
      </c>
      <c r="E2433" t="inlineStr">
        <is>
          <t>rs7349039</t>
        </is>
      </c>
      <c r="F2433" t="n">
        <v>-0.012480221432</v>
      </c>
      <c r="G2433" t="n">
        <v>0.4810224948526126</v>
      </c>
      <c r="H2433" t="n">
        <v>0.0131437768028519</v>
      </c>
      <c r="I2433" t="n">
        <v>0.3419339410758661</v>
      </c>
      <c r="J2433" t="n">
        <v>0.4530229733408724</v>
      </c>
      <c r="K2433" t="n">
        <v>0.0653357166745383</v>
      </c>
      <c r="L2433" t="b">
        <v>0</v>
      </c>
      <c r="M2433" t="b">
        <v>0</v>
      </c>
      <c r="N2433" t="inlineStr">
        <is>
          <t>ref</t>
        </is>
      </c>
      <c r="O2433" t="n">
        <v>-30</v>
      </c>
      <c r="P2433" t="n">
        <v>0.002712</v>
      </c>
      <c r="Q2433" t="n">
        <v>100</v>
      </c>
      <c r="R2433" t="n">
        <v>0.1617</v>
      </c>
      <c r="S2433">
        <f>IMAGE("https://mitra.stanford.edu/kundaje/oak/projects/neuro-variants/variant_position/credible/roussos_2024/variant_figures/roussos_2024.childhood.GABA/rs7349039_count_position.png",4,220,900)</f>
        <v/>
      </c>
      <c r="T2433">
        <f>IMAGE("https://mitra.stanford.edu/kundaje/oak/projects/neuro-variants/variant_position/credible/roussos_2024/variant_figures/roussos_2024.childhood.GABA/rs7349039_profile_position.png",4,220,900)</f>
        <v/>
      </c>
    </row>
    <row r="2434">
      <c r="A2434" t="inlineStr">
        <is>
          <t>chr22</t>
        </is>
      </c>
      <c r="B2434" t="n">
        <v>38825665</v>
      </c>
      <c r="C2434" t="inlineStr">
        <is>
          <t>A</t>
        </is>
      </c>
      <c r="D2434" t="inlineStr">
        <is>
          <t>G</t>
        </is>
      </c>
      <c r="E2434" t="inlineStr">
        <is>
          <t>rs75974641</t>
        </is>
      </c>
      <c r="F2434" t="n">
        <v>0.0477617034</v>
      </c>
      <c r="G2434" t="n">
        <v>0.1461865237233041</v>
      </c>
      <c r="H2434" t="n">
        <v>0.0121670458829901</v>
      </c>
      <c r="I2434" t="n">
        <v>0.4279614728497622</v>
      </c>
      <c r="J2434" t="n">
        <v>0.2381855877363825</v>
      </c>
      <c r="K2434" t="n">
        <v>0.1835601673074351</v>
      </c>
      <c r="L2434" t="b">
        <v>0</v>
      </c>
      <c r="M2434" t="b">
        <v>0</v>
      </c>
      <c r="N2434" t="inlineStr">
        <is>
          <t>alt</t>
        </is>
      </c>
      <c r="O2434" t="n">
        <v>90</v>
      </c>
      <c r="P2434" t="n">
        <v>0.03113</v>
      </c>
      <c r="Q2434" t="n">
        <v>100</v>
      </c>
      <c r="R2434" t="n">
        <v>0.0683</v>
      </c>
      <c r="S2434">
        <f>IMAGE("https://mitra.stanford.edu/kundaje/oak/projects/neuro-variants/variant_position/credible/roussos_2024/variant_figures/roussos_2024.childhood.GABA/rs75974641_count_position.png",4,220,900)</f>
        <v/>
      </c>
      <c r="T2434">
        <f>IMAGE("https://mitra.stanford.edu/kundaje/oak/projects/neuro-variants/variant_position/credible/roussos_2024/variant_figures/roussos_2024.childhood.GABA/rs75974641_profile_position.png",4,220,900)</f>
        <v/>
      </c>
    </row>
    <row r="2435">
      <c r="A2435" t="inlineStr">
        <is>
          <t>chr22</t>
        </is>
      </c>
      <c r="B2435" t="n">
        <v>38828900</v>
      </c>
      <c r="C2435" t="inlineStr">
        <is>
          <t>C</t>
        </is>
      </c>
      <c r="D2435" t="inlineStr">
        <is>
          <t>T</t>
        </is>
      </c>
      <c r="E2435" t="inlineStr">
        <is>
          <t>rs8136346</t>
        </is>
      </c>
      <c r="F2435" t="n">
        <v>-0.337849146</v>
      </c>
      <c r="G2435" t="n">
        <v>0.0009429614757315</v>
      </c>
      <c r="H2435" t="n">
        <v>0.0360508570158387</v>
      </c>
      <c r="I2435" t="n">
        <v>0.0059038657834972</v>
      </c>
      <c r="J2435" t="n">
        <v>0.5070438315427949</v>
      </c>
      <c r="K2435" t="n">
        <v>0.0497706983288849</v>
      </c>
      <c r="L2435" t="b">
        <v>1</v>
      </c>
      <c r="M2435" t="b">
        <v>1</v>
      </c>
      <c r="N2435" t="inlineStr">
        <is>
          <t>ref</t>
        </is>
      </c>
      <c r="O2435" t="n">
        <v>-85</v>
      </c>
      <c r="P2435" t="n">
        <v>0.00225</v>
      </c>
      <c r="Q2435" t="n">
        <v>-85</v>
      </c>
      <c r="R2435" t="n">
        <v>0.0725</v>
      </c>
      <c r="S2435">
        <f>IMAGE("https://mitra.stanford.edu/kundaje/oak/projects/neuro-variants/variant_position/credible/roussos_2024/variant_figures/roussos_2024.childhood.GABA/rs8136346_count_position.png",4,220,900)</f>
        <v/>
      </c>
      <c r="T2435">
        <f>IMAGE("https://mitra.stanford.edu/kundaje/oak/projects/neuro-variants/variant_position/credible/roussos_2024/variant_figures/roussos_2024.childhood.GABA/rs8136346_profile_position.png",4,220,900)</f>
        <v/>
      </c>
    </row>
    <row r="2436">
      <c r="A2436" t="inlineStr">
        <is>
          <t>chr22</t>
        </is>
      </c>
      <c r="B2436" t="n">
        <v>38851745</v>
      </c>
      <c r="C2436" t="inlineStr">
        <is>
          <t>C</t>
        </is>
      </c>
      <c r="D2436" t="inlineStr">
        <is>
          <t>T</t>
        </is>
      </c>
      <c r="E2436" t="inlineStr">
        <is>
          <t>rs6001259</t>
        </is>
      </c>
      <c r="F2436" t="n">
        <v>0.0374045380999999</v>
      </c>
      <c r="G2436" t="n">
        <v>0.2118732695179443</v>
      </c>
      <c r="H2436" t="n">
        <v>0.0150586327146778</v>
      </c>
      <c r="I2436" t="n">
        <v>0.2247475680370896</v>
      </c>
      <c r="J2436" t="n">
        <v>0.4748099516240498</v>
      </c>
      <c r="K2436" t="n">
        <v>0.058217732140088</v>
      </c>
      <c r="L2436" t="b">
        <v>0</v>
      </c>
      <c r="M2436" t="b">
        <v>0</v>
      </c>
      <c r="N2436" t="inlineStr">
        <is>
          <t>alt</t>
        </is>
      </c>
      <c r="O2436" t="n">
        <v>65</v>
      </c>
      <c r="P2436" t="n">
        <v>0.00415</v>
      </c>
      <c r="Q2436" t="n">
        <v>65</v>
      </c>
      <c r="R2436" t="n">
        <v>0.08935999999999999</v>
      </c>
      <c r="S2436">
        <f>IMAGE("https://mitra.stanford.edu/kundaje/oak/projects/neuro-variants/variant_position/credible/roussos_2024/variant_figures/roussos_2024.childhood.GABA/rs6001259_count_position.png",4,220,900)</f>
        <v/>
      </c>
      <c r="T2436">
        <f>IMAGE("https://mitra.stanford.edu/kundaje/oak/projects/neuro-variants/variant_position/credible/roussos_2024/variant_figures/roussos_2024.childhood.GABA/rs6001259_profile_position.png",4,220,900)</f>
        <v/>
      </c>
    </row>
    <row r="2437">
      <c r="A2437" t="inlineStr">
        <is>
          <t>chr22</t>
        </is>
      </c>
      <c r="B2437" t="n">
        <v>38861668</v>
      </c>
      <c r="C2437" t="inlineStr">
        <is>
          <t>G</t>
        </is>
      </c>
      <c r="D2437" t="inlineStr">
        <is>
          <t>A</t>
        </is>
      </c>
      <c r="E2437" t="inlineStr">
        <is>
          <t>rs1053197</t>
        </is>
      </c>
      <c r="F2437" t="n">
        <v>-0.0783379548</v>
      </c>
      <c r="G2437" t="n">
        <v>0.0536959413263737</v>
      </c>
      <c r="H2437" t="n">
        <v>0.0161285023929592</v>
      </c>
      <c r="I2437" t="n">
        <v>0.1741182317109206</v>
      </c>
      <c r="J2437" t="n">
        <v>0.5561412326443425</v>
      </c>
      <c r="K2437" t="n">
        <v>0.038154014326126</v>
      </c>
      <c r="L2437" t="b">
        <v>0</v>
      </c>
      <c r="M2437" t="b">
        <v>0</v>
      </c>
      <c r="N2437" t="inlineStr">
        <is>
          <t>ref</t>
        </is>
      </c>
      <c r="O2437" t="n">
        <v>50</v>
      </c>
      <c r="P2437" t="n">
        <v>0.008449999999999999</v>
      </c>
      <c r="Q2437" t="n">
        <v>-80</v>
      </c>
      <c r="R2437" t="n">
        <v>0.03125</v>
      </c>
      <c r="S2437">
        <f>IMAGE("https://mitra.stanford.edu/kundaje/oak/projects/neuro-variants/variant_position/credible/roussos_2024/variant_figures/roussos_2024.childhood.GABA/rs1053197_count_position.png",4,220,900)</f>
        <v/>
      </c>
      <c r="T2437">
        <f>IMAGE("https://mitra.stanford.edu/kundaje/oak/projects/neuro-variants/variant_position/credible/roussos_2024/variant_figures/roussos_2024.childhood.GABA/rs1053197_profile_position.png",4,220,900)</f>
        <v/>
      </c>
    </row>
    <row r="2438">
      <c r="A2438" t="inlineStr">
        <is>
          <t>chr22</t>
        </is>
      </c>
      <c r="B2438" t="n">
        <v>39604216</v>
      </c>
      <c r="C2438" t="inlineStr">
        <is>
          <t>G</t>
        </is>
      </c>
      <c r="D2438" t="inlineStr">
        <is>
          <t>T</t>
        </is>
      </c>
      <c r="E2438" t="inlineStr">
        <is>
          <t>rs5750857</t>
        </is>
      </c>
      <c r="F2438" t="n">
        <v>-0.0339351686</v>
      </c>
      <c r="G2438" t="n">
        <v>0.2632197648154613</v>
      </c>
      <c r="H2438" t="n">
        <v>0.0131300507013087</v>
      </c>
      <c r="I2438" t="n">
        <v>0.3419832046711845</v>
      </c>
      <c r="J2438" t="n">
        <v>0.1763889761470963</v>
      </c>
      <c r="K2438" t="n">
        <v>0.2388458391690439</v>
      </c>
      <c r="L2438" t="b">
        <v>0</v>
      </c>
      <c r="M2438" t="b">
        <v>0</v>
      </c>
      <c r="N2438" t="inlineStr">
        <is>
          <t>ref</t>
        </is>
      </c>
      <c r="O2438" t="n">
        <v>-85</v>
      </c>
      <c r="P2438" t="n">
        <v>0.00198</v>
      </c>
      <c r="Q2438" t="n">
        <v>100</v>
      </c>
      <c r="R2438" t="n">
        <v>0.0867</v>
      </c>
      <c r="S2438">
        <f>IMAGE("https://mitra.stanford.edu/kundaje/oak/projects/neuro-variants/variant_position/credible/roussos_2024/variant_figures/roussos_2024.childhood.GABA/rs5750857_count_position.png",4,220,900)</f>
        <v/>
      </c>
      <c r="T2438">
        <f>IMAGE("https://mitra.stanford.edu/kundaje/oak/projects/neuro-variants/variant_position/credible/roussos_2024/variant_figures/roussos_2024.childhood.GABA/rs5750857_profile_position.png",4,220,900)</f>
        <v/>
      </c>
    </row>
    <row r="2439">
      <c r="A2439" t="inlineStr">
        <is>
          <t>chr22</t>
        </is>
      </c>
      <c r="B2439" t="n">
        <v>39650072</v>
      </c>
      <c r="C2439" t="inlineStr">
        <is>
          <t>A</t>
        </is>
      </c>
      <c r="D2439" t="inlineStr">
        <is>
          <t>G</t>
        </is>
      </c>
      <c r="E2439" t="inlineStr">
        <is>
          <t>rs136828</t>
        </is>
      </c>
      <c r="F2439" t="n">
        <v>0.0388054798</v>
      </c>
      <c r="G2439" t="n">
        <v>0.2081688099369528</v>
      </c>
      <c r="H2439" t="n">
        <v>0.0116517594003051</v>
      </c>
      <c r="I2439" t="n">
        <v>0.4644283249101045</v>
      </c>
      <c r="J2439" t="n">
        <v>0.6783826516722162</v>
      </c>
      <c r="K2439" t="n">
        <v>0.0173354378536819</v>
      </c>
      <c r="L2439" t="b">
        <v>0</v>
      </c>
      <c r="M2439" t="b">
        <v>0</v>
      </c>
      <c r="N2439" t="inlineStr">
        <is>
          <t>alt</t>
        </is>
      </c>
      <c r="O2439" t="n">
        <v>100</v>
      </c>
      <c r="P2439" t="n">
        <v>0.00876</v>
      </c>
      <c r="Q2439" t="n">
        <v>40</v>
      </c>
      <c r="R2439" t="n">
        <v>0.156</v>
      </c>
      <c r="S2439">
        <f>IMAGE("https://mitra.stanford.edu/kundaje/oak/projects/neuro-variants/variant_position/credible/roussos_2024/variant_figures/roussos_2024.childhood.GABA/rs136828_count_position.png",4,220,900)</f>
        <v/>
      </c>
      <c r="T2439">
        <f>IMAGE("https://mitra.stanford.edu/kundaje/oak/projects/neuro-variants/variant_position/credible/roussos_2024/variant_figures/roussos_2024.childhood.GABA/rs136828_profile_position.png",4,220,900)</f>
        <v/>
      </c>
    </row>
    <row r="2440">
      <c r="A2440" t="inlineStr">
        <is>
          <t>chr22</t>
        </is>
      </c>
      <c r="B2440" t="n">
        <v>41062993</v>
      </c>
      <c r="C2440" t="inlineStr">
        <is>
          <t>A</t>
        </is>
      </c>
      <c r="D2440" t="inlineStr">
        <is>
          <t>C</t>
        </is>
      </c>
      <c r="E2440" t="inlineStr">
        <is>
          <t>rs35060074</t>
        </is>
      </c>
      <c r="F2440" t="n">
        <v>-0.0213498962</v>
      </c>
      <c r="G2440" t="n">
        <v>0.4043714085667552</v>
      </c>
      <c r="H2440" t="n">
        <v>0.0481184418340756</v>
      </c>
      <c r="I2440" t="n">
        <v>0.0020205380032377</v>
      </c>
      <c r="J2440" t="n">
        <v>0.036672530418211</v>
      </c>
      <c r="K2440" t="n">
        <v>0.5688042301072084</v>
      </c>
      <c r="L2440" t="b">
        <v>1</v>
      </c>
      <c r="M2440" t="b">
        <v>0</v>
      </c>
      <c r="N2440" t="inlineStr">
        <is>
          <t>ref</t>
        </is>
      </c>
      <c r="O2440" t="n">
        <v>-60</v>
      </c>
      <c r="P2440" t="n">
        <v>0.003967</v>
      </c>
      <c r="Q2440" t="n">
        <v>25</v>
      </c>
      <c r="R2440" t="n">
        <v>0.04883</v>
      </c>
      <c r="S2440">
        <f>IMAGE("https://mitra.stanford.edu/kundaje/oak/projects/neuro-variants/variant_position/credible/roussos_2024/variant_figures/roussos_2024.childhood.GABA/rs35060074_count_position.png",4,220,900)</f>
        <v/>
      </c>
      <c r="T2440">
        <f>IMAGE("https://mitra.stanford.edu/kundaje/oak/projects/neuro-variants/variant_position/credible/roussos_2024/variant_figures/roussos_2024.childhood.GABA/rs35060074_profile_position.png",4,220,900)</f>
        <v/>
      </c>
    </row>
    <row r="2441">
      <c r="A2441" t="inlineStr">
        <is>
          <t>chr22</t>
        </is>
      </c>
      <c r="B2441" t="n">
        <v>41381909</v>
      </c>
      <c r="C2441" t="inlineStr">
        <is>
          <t>T</t>
        </is>
      </c>
      <c r="D2441" t="inlineStr">
        <is>
          <t>C</t>
        </is>
      </c>
      <c r="E2441" t="inlineStr">
        <is>
          <t>rs2234059</t>
        </is>
      </c>
      <c r="F2441" t="n">
        <v>0.07488644699999999</v>
      </c>
      <c r="G2441" t="n">
        <v>0.0571388955576086</v>
      </c>
      <c r="H2441" t="n">
        <v>0.0162050899874257</v>
      </c>
      <c r="I2441" t="n">
        <v>0.1697127552794016</v>
      </c>
      <c r="J2441" t="n">
        <v>0.9986628552281628</v>
      </c>
      <c r="K2441" t="n">
        <v>9.999990000010005e-07</v>
      </c>
      <c r="L2441" t="b">
        <v>0</v>
      </c>
      <c r="M2441" t="b">
        <v>0</v>
      </c>
      <c r="N2441" t="inlineStr">
        <is>
          <t>alt</t>
        </is>
      </c>
      <c r="O2441" t="n">
        <v>-90</v>
      </c>
      <c r="P2441" t="n">
        <v>0.01019</v>
      </c>
      <c r="Q2441" t="n">
        <v>-95</v>
      </c>
      <c r="R2441" t="n">
        <v>0.09669999999999999</v>
      </c>
      <c r="S2441">
        <f>IMAGE("https://mitra.stanford.edu/kundaje/oak/projects/neuro-variants/variant_position/credible/roussos_2024/variant_figures/roussos_2024.childhood.GABA/rs2234059_count_position.png",4,220,900)</f>
        <v/>
      </c>
      <c r="T2441">
        <f>IMAGE("https://mitra.stanford.edu/kundaje/oak/projects/neuro-variants/variant_position/credible/roussos_2024/variant_figures/roussos_2024.childhood.GABA/rs2234059_profile_position.png",4,220,900)</f>
        <v/>
      </c>
    </row>
    <row r="2442">
      <c r="A2442" t="inlineStr">
        <is>
          <t>chr22</t>
        </is>
      </c>
      <c r="B2442" t="n">
        <v>41394496</v>
      </c>
      <c r="C2442" t="inlineStr">
        <is>
          <t>T</t>
        </is>
      </c>
      <c r="D2442" t="inlineStr">
        <is>
          <t>C</t>
        </is>
      </c>
      <c r="E2442" t="inlineStr">
        <is>
          <t>rs2273071</t>
        </is>
      </c>
      <c r="F2442" t="n">
        <v>0.1169082469999999</v>
      </c>
      <c r="G2442" t="n">
        <v>0.0201833905186103</v>
      </c>
      <c r="H2442" t="n">
        <v>0.0271143488848486</v>
      </c>
      <c r="I2442" t="n">
        <v>0.0208650138675342</v>
      </c>
      <c r="J2442" t="n">
        <v>0.1946472325186906</v>
      </c>
      <c r="K2442" t="n">
        <v>0.2241102094636934</v>
      </c>
      <c r="L2442" t="b">
        <v>0</v>
      </c>
      <c r="M2442" t="b">
        <v>0</v>
      </c>
      <c r="N2442" t="inlineStr">
        <is>
          <t>alt</t>
        </is>
      </c>
      <c r="O2442" t="n">
        <v>100</v>
      </c>
      <c r="P2442" t="n">
        <v>0.006783</v>
      </c>
      <c r="Q2442" t="n">
        <v>100</v>
      </c>
      <c r="R2442" t="n">
        <v>0.05713</v>
      </c>
      <c r="S2442">
        <f>IMAGE("https://mitra.stanford.edu/kundaje/oak/projects/neuro-variants/variant_position/credible/roussos_2024/variant_figures/roussos_2024.childhood.GABA/rs2273071_count_position.png",4,220,900)</f>
        <v/>
      </c>
      <c r="T2442">
        <f>IMAGE("https://mitra.stanford.edu/kundaje/oak/projects/neuro-variants/variant_position/credible/roussos_2024/variant_figures/roussos_2024.childhood.GABA/rs2273071_profile_position.png",4,220,900)</f>
        <v/>
      </c>
    </row>
    <row r="2443">
      <c r="A2443" t="inlineStr">
        <is>
          <t>chr22</t>
        </is>
      </c>
      <c r="B2443" t="n">
        <v>41935405</v>
      </c>
      <c r="C2443" t="inlineStr">
        <is>
          <t>G</t>
        </is>
      </c>
      <c r="D2443" t="inlineStr">
        <is>
          <t>C</t>
        </is>
      </c>
      <c r="E2443" t="inlineStr">
        <is>
          <t>rs10154646</t>
        </is>
      </c>
      <c r="F2443" t="n">
        <v>-0.01162668417</v>
      </c>
      <c r="G2443" t="n">
        <v>0.59578523059026</v>
      </c>
      <c r="H2443" t="n">
        <v>0.0129942283435402</v>
      </c>
      <c r="I2443" t="n">
        <v>0.3471589260538094</v>
      </c>
      <c r="J2443" t="n">
        <v>0.4733817092835751</v>
      </c>
      <c r="K2443" t="n">
        <v>0.0595103456484436</v>
      </c>
      <c r="L2443" t="b">
        <v>0</v>
      </c>
      <c r="M2443" t="b">
        <v>0</v>
      </c>
      <c r="N2443" t="inlineStr">
        <is>
          <t>ref</t>
        </is>
      </c>
      <c r="O2443" t="n">
        <v>-55</v>
      </c>
      <c r="P2443" t="n">
        <v>0.004562</v>
      </c>
      <c r="Q2443" t="n">
        <v>0</v>
      </c>
      <c r="R2443" t="n">
        <v>0</v>
      </c>
      <c r="S2443">
        <f>IMAGE("https://mitra.stanford.edu/kundaje/oak/projects/neuro-variants/variant_position/credible/roussos_2024/variant_figures/roussos_2024.childhood.GABA/rs10154646_count_position.png",4,220,900)</f>
        <v/>
      </c>
      <c r="T2443">
        <f>IMAGE("https://mitra.stanford.edu/kundaje/oak/projects/neuro-variants/variant_position/credible/roussos_2024/variant_figures/roussos_2024.childhood.GABA/rs10154646_profile_position.png",4,220,900)</f>
        <v/>
      </c>
    </row>
    <row r="2444">
      <c r="A2444" t="inlineStr">
        <is>
          <t>chr22</t>
        </is>
      </c>
      <c r="B2444" t="n">
        <v>43750399</v>
      </c>
      <c r="C2444" t="inlineStr">
        <is>
          <t>G</t>
        </is>
      </c>
      <c r="D2444" t="inlineStr">
        <is>
          <t>C</t>
        </is>
      </c>
      <c r="E2444" t="inlineStr">
        <is>
          <t>rs76365544</t>
        </is>
      </c>
      <c r="F2444" t="n">
        <v>-0.0364755754</v>
      </c>
      <c r="G2444" t="n">
        <v>0.2302684142490205</v>
      </c>
      <c r="H2444" t="n">
        <v>0.0111864993179175</v>
      </c>
      <c r="I2444" t="n">
        <v>0.5095003164638058</v>
      </c>
      <c r="J2444" t="n">
        <v>0.2401656509811312</v>
      </c>
      <c r="K2444" t="n">
        <v>0.1778975399640937</v>
      </c>
      <c r="L2444" t="b">
        <v>0</v>
      </c>
      <c r="M2444" t="b">
        <v>0</v>
      </c>
      <c r="N2444" t="inlineStr">
        <is>
          <t>ref</t>
        </is>
      </c>
      <c r="O2444" t="n">
        <v>-100</v>
      </c>
      <c r="P2444" t="n">
        <v>0.00915</v>
      </c>
      <c r="Q2444" t="n">
        <v>-50</v>
      </c>
      <c r="R2444" t="n">
        <v>0.1079</v>
      </c>
      <c r="S2444">
        <f>IMAGE("https://mitra.stanford.edu/kundaje/oak/projects/neuro-variants/variant_position/credible/roussos_2024/variant_figures/roussos_2024.childhood.GABA/rs76365544_count_position.png",4,220,900)</f>
        <v/>
      </c>
      <c r="T2444">
        <f>IMAGE("https://mitra.stanford.edu/kundaje/oak/projects/neuro-variants/variant_position/credible/roussos_2024/variant_figures/roussos_2024.childhood.GABA/rs76365544_profile_position.png",4,220,900)</f>
        <v/>
      </c>
    </row>
    <row r="2445">
      <c r="A2445" t="inlineStr">
        <is>
          <t>chr22</t>
        </is>
      </c>
      <c r="B2445" t="n">
        <v>49834093</v>
      </c>
      <c r="C2445" t="inlineStr">
        <is>
          <t>G</t>
        </is>
      </c>
      <c r="D2445" t="inlineStr">
        <is>
          <t>A</t>
        </is>
      </c>
      <c r="E2445" t="inlineStr">
        <is>
          <t>rs138891</t>
        </is>
      </c>
      <c r="F2445" t="n">
        <v>-0.1872408019999999</v>
      </c>
      <c r="G2445" t="n">
        <v>0.0054098970839978</v>
      </c>
      <c r="H2445" t="n">
        <v>0.0279522754986494</v>
      </c>
      <c r="I2445" t="n">
        <v>0.0182261512030198</v>
      </c>
      <c r="J2445" t="n">
        <v>0.1511151598919394</v>
      </c>
      <c r="K2445" t="n">
        <v>0.2718560785014645</v>
      </c>
      <c r="L2445" t="b">
        <v>1</v>
      </c>
      <c r="M2445" t="b">
        <v>1</v>
      </c>
      <c r="N2445" t="inlineStr">
        <is>
          <t>ref</t>
        </is>
      </c>
      <c r="O2445" t="n">
        <v>50</v>
      </c>
      <c r="P2445" t="n">
        <v>0.008869999999999999</v>
      </c>
      <c r="Q2445" t="n">
        <v>70</v>
      </c>
      <c r="R2445" t="n">
        <v>0.04675</v>
      </c>
      <c r="S2445">
        <f>IMAGE("https://mitra.stanford.edu/kundaje/oak/projects/neuro-variants/variant_position/credible/roussos_2024/variant_figures/roussos_2024.childhood.GABA/rs138891_count_position.png",4,220,900)</f>
        <v/>
      </c>
      <c r="T2445">
        <f>IMAGE("https://mitra.stanford.edu/kundaje/oak/projects/neuro-variants/variant_position/credible/roussos_2024/variant_figures/roussos_2024.childhood.GABA/rs138891_profile_position.png",4,220,900)</f>
        <v/>
      </c>
    </row>
    <row r="2446">
      <c r="A2446" t="inlineStr">
        <is>
          <t>chr22</t>
        </is>
      </c>
      <c r="B2446" t="n">
        <v>49842658</v>
      </c>
      <c r="C2446" t="inlineStr">
        <is>
          <t>G</t>
        </is>
      </c>
      <c r="D2446" t="inlineStr">
        <is>
          <t>A</t>
        </is>
      </c>
      <c r="E2446" t="inlineStr">
        <is>
          <t>rs2319458</t>
        </is>
      </c>
      <c r="F2446" t="n">
        <v>-0.01629769046</v>
      </c>
      <c r="G2446" t="n">
        <v>0.535041947082616</v>
      </c>
      <c r="H2446" t="n">
        <v>0.0273557240034951</v>
      </c>
      <c r="I2446" t="n">
        <v>0.0191298671318618</v>
      </c>
      <c r="J2446" t="n">
        <v>0.047320474963875</v>
      </c>
      <c r="K2446" t="n">
        <v>0.500660000343612</v>
      </c>
      <c r="L2446" t="b">
        <v>1</v>
      </c>
      <c r="M2446" t="b">
        <v>0</v>
      </c>
      <c r="N2446" t="inlineStr">
        <is>
          <t>ref</t>
        </is>
      </c>
      <c r="O2446" t="n">
        <v>-25</v>
      </c>
      <c r="P2446" t="n">
        <v>0.001778</v>
      </c>
      <c r="Q2446" t="n">
        <v>-60</v>
      </c>
      <c r="R2446" t="n">
        <v>0.05823</v>
      </c>
      <c r="S2446">
        <f>IMAGE("https://mitra.stanford.edu/kundaje/oak/projects/neuro-variants/variant_position/credible/roussos_2024/variant_figures/roussos_2024.childhood.GABA/rs2319458_count_position.png",4,220,900)</f>
        <v/>
      </c>
      <c r="T2446">
        <f>IMAGE("https://mitra.stanford.edu/kundaje/oak/projects/neuro-variants/variant_position/credible/roussos_2024/variant_figures/roussos_2024.childhood.GABA/rs2319458_profile_position.png",4,220,900)</f>
        <v/>
      </c>
    </row>
    <row r="2447">
      <c r="A2447" t="inlineStr">
        <is>
          <t>chr22</t>
        </is>
      </c>
      <c r="B2447" t="n">
        <v>49865504</v>
      </c>
      <c r="C2447" t="inlineStr">
        <is>
          <t>A</t>
        </is>
      </c>
      <c r="D2447" t="inlineStr">
        <is>
          <t>T</t>
        </is>
      </c>
      <c r="E2447" t="inlineStr">
        <is>
          <t>rs13056783</t>
        </is>
      </c>
      <c r="F2447" t="n">
        <v>0.00245061646</v>
      </c>
      <c r="G2447" t="n">
        <v>0.806491439082762</v>
      </c>
      <c r="H2447" t="n">
        <v>0.0296533493528095</v>
      </c>
      <c r="I2447" t="n">
        <v>0.0134372208881382</v>
      </c>
      <c r="J2447" t="n">
        <v>0.3269407970513706</v>
      </c>
      <c r="K2447" t="n">
        <v>0.1210843110647441</v>
      </c>
      <c r="L2447" t="b">
        <v>1</v>
      </c>
      <c r="M2447" t="b">
        <v>0</v>
      </c>
      <c r="N2447" t="inlineStr">
        <is>
          <t>alt</t>
        </is>
      </c>
      <c r="O2447" t="n">
        <v>-70</v>
      </c>
      <c r="P2447" t="n">
        <v>0.01416</v>
      </c>
      <c r="Q2447" t="n">
        <v>-100</v>
      </c>
      <c r="R2447" t="n">
        <v>0.2783</v>
      </c>
      <c r="S2447">
        <f>IMAGE("https://mitra.stanford.edu/kundaje/oak/projects/neuro-variants/variant_position/credible/roussos_2024/variant_figures/roussos_2024.childhood.GABA/rs13056783_count_position.png",4,220,900)</f>
        <v/>
      </c>
      <c r="T2447">
        <f>IMAGE("https://mitra.stanford.edu/kundaje/oak/projects/neuro-variants/variant_position/credible/roussos_2024/variant_figures/roussos_2024.childhood.GABA/rs13056783_profile_position.png",4,220,900)</f>
        <v/>
      </c>
    </row>
    <row r="2448">
      <c r="A2448" t="inlineStr">
        <is>
          <t>chr22</t>
        </is>
      </c>
      <c r="B2448" t="n">
        <v>49867412</v>
      </c>
      <c r="C2448" t="inlineStr">
        <is>
          <t>G</t>
        </is>
      </c>
      <c r="D2448" t="inlineStr">
        <is>
          <t>C</t>
        </is>
      </c>
      <c r="E2448" t="inlineStr">
        <is>
          <t>rs2295409</t>
        </is>
      </c>
      <c r="F2448" t="n">
        <v>0.0734904349999999</v>
      </c>
      <c r="G2448" t="n">
        <v>0.0624935984453501</v>
      </c>
      <c r="H2448" t="n">
        <v>0.0173973763357665</v>
      </c>
      <c r="I2448" t="n">
        <v>0.1302919124102804</v>
      </c>
      <c r="J2448" t="n">
        <v>0.2029025570145127</v>
      </c>
      <c r="K2448" t="n">
        <v>0.2170997419869545</v>
      </c>
      <c r="L2448" t="b">
        <v>0</v>
      </c>
      <c r="M2448" t="b">
        <v>0</v>
      </c>
      <c r="N2448" t="inlineStr">
        <is>
          <t>alt</t>
        </is>
      </c>
      <c r="O2448" t="n">
        <v>-100</v>
      </c>
      <c r="P2448" t="n">
        <v>0.01233</v>
      </c>
      <c r="Q2448" t="n">
        <v>15</v>
      </c>
      <c r="R2448" t="n">
        <v>0.01489</v>
      </c>
      <c r="S2448">
        <f>IMAGE("https://mitra.stanford.edu/kundaje/oak/projects/neuro-variants/variant_position/credible/roussos_2024/variant_figures/roussos_2024.childhood.GABA/rs2295409_count_position.png",4,220,900)</f>
        <v/>
      </c>
      <c r="T2448">
        <f>IMAGE("https://mitra.stanford.edu/kundaje/oak/projects/neuro-variants/variant_position/credible/roussos_2024/variant_figures/roussos_2024.childhood.GABA/rs2295409_profile_position.png",4,220,900)</f>
        <v/>
      </c>
    </row>
    <row r="2449">
      <c r="A2449" t="inlineStr">
        <is>
          <t>chr22</t>
        </is>
      </c>
      <c r="B2449" t="n">
        <v>49867475</v>
      </c>
      <c r="C2449" t="inlineStr">
        <is>
          <t>G</t>
        </is>
      </c>
      <c r="D2449" t="inlineStr">
        <is>
          <t>T</t>
        </is>
      </c>
      <c r="E2449" t="inlineStr">
        <is>
          <t>rs8139758</t>
        </is>
      </c>
      <c r="F2449" t="n">
        <v>0.0076202432</v>
      </c>
      <c r="G2449" t="n">
        <v>0.5888835563071702</v>
      </c>
      <c r="H2449" t="n">
        <v>0.0093234745172179</v>
      </c>
      <c r="I2449" t="n">
        <v>0.7091588202472413</v>
      </c>
      <c r="J2449" t="n">
        <v>0.1680959561056312</v>
      </c>
      <c r="K2449" t="n">
        <v>0.2575421400353159</v>
      </c>
      <c r="L2449" t="b">
        <v>0</v>
      </c>
      <c r="M2449" t="b">
        <v>0</v>
      </c>
      <c r="N2449" t="inlineStr">
        <is>
          <t>alt</t>
        </is>
      </c>
      <c r="O2449" t="n">
        <v>65</v>
      </c>
      <c r="P2449" t="n">
        <v>0.002613</v>
      </c>
      <c r="Q2449" t="n">
        <v>-15</v>
      </c>
      <c r="R2449" t="n">
        <v>0.0116</v>
      </c>
      <c r="S2449">
        <f>IMAGE("https://mitra.stanford.edu/kundaje/oak/projects/neuro-variants/variant_position/credible/roussos_2024/variant_figures/roussos_2024.childhood.GABA/rs8139758_count_position.png",4,220,900)</f>
        <v/>
      </c>
      <c r="T2449">
        <f>IMAGE("https://mitra.stanford.edu/kundaje/oak/projects/neuro-variants/variant_position/credible/roussos_2024/variant_figures/roussos_2024.childhood.GABA/rs8139758_profile_position.png",4,220,900)</f>
        <v/>
      </c>
    </row>
    <row r="2450">
      <c r="A2450" t="inlineStr">
        <is>
          <t>chr22</t>
        </is>
      </c>
      <c r="B2450" t="n">
        <v>49869993</v>
      </c>
      <c r="C2450" t="inlineStr">
        <is>
          <t>G</t>
        </is>
      </c>
      <c r="D2450" t="inlineStr">
        <is>
          <t>T</t>
        </is>
      </c>
      <c r="E2450" t="inlineStr">
        <is>
          <t>rs5769761</t>
        </is>
      </c>
      <c r="F2450" t="n">
        <v>-0.0373186528</v>
      </c>
      <c r="G2450" t="n">
        <v>0.2318912493189961</v>
      </c>
      <c r="H2450" t="n">
        <v>0.012763149286366</v>
      </c>
      <c r="I2450" t="n">
        <v>0.3765095650511646</v>
      </c>
      <c r="J2450" t="n">
        <v>0.1716163012292935</v>
      </c>
      <c r="K2450" t="n">
        <v>0.2475326520549091</v>
      </c>
      <c r="L2450" t="b">
        <v>0</v>
      </c>
      <c r="M2450" t="b">
        <v>0</v>
      </c>
      <c r="N2450" t="inlineStr">
        <is>
          <t>ref</t>
        </is>
      </c>
      <c r="O2450" t="n">
        <v>-70</v>
      </c>
      <c r="P2450" t="n">
        <v>0.02946</v>
      </c>
      <c r="Q2450" t="n">
        <v>15</v>
      </c>
      <c r="R2450" t="n">
        <v>0.01776</v>
      </c>
      <c r="S2450">
        <f>IMAGE("https://mitra.stanford.edu/kundaje/oak/projects/neuro-variants/variant_position/credible/roussos_2024/variant_figures/roussos_2024.childhood.GABA/rs5769761_count_position.png",4,220,900)</f>
        <v/>
      </c>
      <c r="T2450">
        <f>IMAGE("https://mitra.stanford.edu/kundaje/oak/projects/neuro-variants/variant_position/credible/roussos_2024/variant_figures/roussos_2024.childhood.GABA/rs5769761_profile_position.png",4,220,900)</f>
        <v/>
      </c>
    </row>
    <row r="2451">
      <c r="A2451" t="inlineStr">
        <is>
          <t>chr22</t>
        </is>
      </c>
      <c r="B2451" t="n">
        <v>49870394</v>
      </c>
      <c r="C2451" t="inlineStr">
        <is>
          <t>G</t>
        </is>
      </c>
      <c r="D2451" t="inlineStr">
        <is>
          <t>A</t>
        </is>
      </c>
      <c r="E2451" t="inlineStr">
        <is>
          <t>rs5769762</t>
        </is>
      </c>
      <c r="F2451" t="n">
        <v>0.0367237966</v>
      </c>
      <c r="G2451" t="n">
        <v>0.2455707820004194</v>
      </c>
      <c r="H2451" t="n">
        <v>0.0221807132120283</v>
      </c>
      <c r="I2451" t="n">
        <v>0.0492540466636294</v>
      </c>
      <c r="J2451" t="n">
        <v>0.0693440975058113</v>
      </c>
      <c r="K2451" t="n">
        <v>0.4372998296865585</v>
      </c>
      <c r="L2451" t="b">
        <v>0</v>
      </c>
      <c r="M2451" t="b">
        <v>0</v>
      </c>
      <c r="N2451" t="inlineStr">
        <is>
          <t>alt</t>
        </is>
      </c>
      <c r="O2451" t="n">
        <v>-10</v>
      </c>
      <c r="P2451" t="n">
        <v>0.000557</v>
      </c>
      <c r="Q2451" t="n">
        <v>100</v>
      </c>
      <c r="R2451" t="n">
        <v>0.06165</v>
      </c>
      <c r="S2451">
        <f>IMAGE("https://mitra.stanford.edu/kundaje/oak/projects/neuro-variants/variant_position/credible/roussos_2024/variant_figures/roussos_2024.childhood.GABA/rs5769762_count_position.png",4,220,900)</f>
        <v/>
      </c>
      <c r="T2451">
        <f>IMAGE("https://mitra.stanford.edu/kundaje/oak/projects/neuro-variants/variant_position/credible/roussos_2024/variant_figures/roussos_2024.childhood.GABA/rs5769762_profile_position.png",4,220,900)</f>
        <v/>
      </c>
    </row>
    <row r="2452">
      <c r="A2452" t="inlineStr">
        <is>
          <t>chr22</t>
        </is>
      </c>
      <c r="B2452" t="n">
        <v>49874174</v>
      </c>
      <c r="C2452" t="inlineStr">
        <is>
          <t>T</t>
        </is>
      </c>
      <c r="D2452" t="inlineStr">
        <is>
          <t>C</t>
        </is>
      </c>
      <c r="E2452" t="inlineStr">
        <is>
          <t>rs4824106</t>
        </is>
      </c>
      <c r="F2452" t="n">
        <v>-0.0304193003999999</v>
      </c>
      <c r="G2452" t="n">
        <v>0.2973829110844841</v>
      </c>
      <c r="H2452" t="n">
        <v>0.0121413645303932</v>
      </c>
      <c r="I2452" t="n">
        <v>0.4283173387511284</v>
      </c>
      <c r="J2452" t="n">
        <v>0.4241209608175745</v>
      </c>
      <c r="K2452" t="n">
        <v>0.07627790834347439</v>
      </c>
      <c r="L2452" t="b">
        <v>0</v>
      </c>
      <c r="M2452" t="b">
        <v>0</v>
      </c>
      <c r="N2452" t="inlineStr">
        <is>
          <t>ref</t>
        </is>
      </c>
      <c r="O2452" t="n">
        <v>100</v>
      </c>
      <c r="P2452" t="n">
        <v>0.0354</v>
      </c>
      <c r="Q2452" t="n">
        <v>40</v>
      </c>
      <c r="R2452" t="n">
        <v>0.02075</v>
      </c>
      <c r="S2452">
        <f>IMAGE("https://mitra.stanford.edu/kundaje/oak/projects/neuro-variants/variant_position/credible/roussos_2024/variant_figures/roussos_2024.childhood.GABA/rs4824106_count_position.png",4,220,900)</f>
        <v/>
      </c>
      <c r="T2452">
        <f>IMAGE("https://mitra.stanford.edu/kundaje/oak/projects/neuro-variants/variant_position/credible/roussos_2024/variant_figures/roussos_2024.childhood.GABA/rs4824106_profile_position.png",4,220,900)</f>
        <v/>
      </c>
    </row>
    <row r="2453">
      <c r="A2453" t="inlineStr">
        <is>
          <t>chr22</t>
        </is>
      </c>
      <c r="B2453" t="n">
        <v>49879526</v>
      </c>
      <c r="C2453" t="inlineStr">
        <is>
          <t>A</t>
        </is>
      </c>
      <c r="D2453" t="inlineStr">
        <is>
          <t>G</t>
        </is>
      </c>
      <c r="E2453" t="inlineStr">
        <is>
          <t>rs8184990</t>
        </is>
      </c>
      <c r="F2453" t="n">
        <v>0.11615313</v>
      </c>
      <c r="G2453" t="n">
        <v>0.0195645483687349</v>
      </c>
      <c r="H2453" t="n">
        <v>0.0165753089143064</v>
      </c>
      <c r="I2453" t="n">
        <v>0.1563901277858655</v>
      </c>
      <c r="J2453" t="n">
        <v>0.7398222026763837</v>
      </c>
      <c r="K2453" t="n">
        <v>0.0108306525557506</v>
      </c>
      <c r="L2453" t="b">
        <v>1</v>
      </c>
      <c r="M2453" t="b">
        <v>0</v>
      </c>
      <c r="N2453" t="inlineStr">
        <is>
          <t>alt</t>
        </is>
      </c>
      <c r="O2453" t="n">
        <v>90</v>
      </c>
      <c r="P2453" t="n">
        <v>0.02472</v>
      </c>
      <c r="Q2453" t="n">
        <v>80</v>
      </c>
      <c r="R2453" t="n">
        <v>0.2725</v>
      </c>
      <c r="S2453">
        <f>IMAGE("https://mitra.stanford.edu/kundaje/oak/projects/neuro-variants/variant_position/credible/roussos_2024/variant_figures/roussos_2024.childhood.GABA/rs8184990_count_position.png",4,220,900)</f>
        <v/>
      </c>
      <c r="T2453">
        <f>IMAGE("https://mitra.stanford.edu/kundaje/oak/projects/neuro-variants/variant_position/credible/roussos_2024/variant_figures/roussos_2024.childhood.GABA/rs8184990_profile_position.png",4,220,900)</f>
        <v/>
      </c>
    </row>
    <row r="2454">
      <c r="A2454" t="inlineStr">
        <is>
          <t>chr22</t>
        </is>
      </c>
      <c r="B2454" t="n">
        <v>49884920</v>
      </c>
      <c r="C2454" t="inlineStr">
        <is>
          <t>A</t>
        </is>
      </c>
      <c r="D2454" t="inlineStr">
        <is>
          <t>G</t>
        </is>
      </c>
      <c r="E2454" t="inlineStr">
        <is>
          <t>rs910799</t>
        </is>
      </c>
      <c r="F2454" t="n">
        <v>0.304242244</v>
      </c>
      <c r="G2454" t="n">
        <v>0.0012829444255783</v>
      </c>
      <c r="H2454" t="n">
        <v>0.0542114551318679</v>
      </c>
      <c r="I2454" t="n">
        <v>0.0013685882213577</v>
      </c>
      <c r="J2454" t="n">
        <v>0.7364693933111348</v>
      </c>
      <c r="K2454" t="n">
        <v>0.0113312387181612</v>
      </c>
      <c r="L2454" t="b">
        <v>1</v>
      </c>
      <c r="M2454" t="b">
        <v>1</v>
      </c>
      <c r="N2454" t="inlineStr">
        <is>
          <t>alt</t>
        </is>
      </c>
      <c r="O2454" t="n">
        <v>-40</v>
      </c>
      <c r="P2454" t="n">
        <v>0.0065</v>
      </c>
      <c r="Q2454" t="n">
        <v>-40</v>
      </c>
      <c r="R2454" t="n">
        <v>0.1221</v>
      </c>
      <c r="S2454">
        <f>IMAGE("https://mitra.stanford.edu/kundaje/oak/projects/neuro-variants/variant_position/credible/roussos_2024/variant_figures/roussos_2024.childhood.GABA/rs910799_count_position.png",4,220,900)</f>
        <v/>
      </c>
      <c r="T2454">
        <f>IMAGE("https://mitra.stanford.edu/kundaje/oak/projects/neuro-variants/variant_position/credible/roussos_2024/variant_figures/roussos_2024.childhood.GABA/rs910799_profile_position.png",4,220,900)</f>
        <v/>
      </c>
    </row>
    <row r="2455">
      <c r="A2455" t="inlineStr">
        <is>
          <t>chr22</t>
        </is>
      </c>
      <c r="B2455" t="n">
        <v>49884994</v>
      </c>
      <c r="C2455" t="inlineStr">
        <is>
          <t>C</t>
        </is>
      </c>
      <c r="D2455" t="inlineStr">
        <is>
          <t>T</t>
        </is>
      </c>
      <c r="E2455" t="inlineStr">
        <is>
          <t>rs910800</t>
        </is>
      </c>
      <c r="F2455" t="n">
        <v>-0.192625668</v>
      </c>
      <c r="G2455" t="n">
        <v>0.005144234038884</v>
      </c>
      <c r="H2455" t="n">
        <v>0.0446693875895835</v>
      </c>
      <c r="I2455" t="n">
        <v>0.0033774274605339</v>
      </c>
      <c r="J2455" t="n">
        <v>0.6979487340579256</v>
      </c>
      <c r="K2455" t="n">
        <v>0.0150841280243589</v>
      </c>
      <c r="L2455" t="b">
        <v>1</v>
      </c>
      <c r="M2455" t="b">
        <v>1</v>
      </c>
      <c r="N2455" t="inlineStr">
        <is>
          <t>ref</t>
        </is>
      </c>
      <c r="O2455" t="n">
        <v>-75</v>
      </c>
      <c r="P2455" t="n">
        <v>0.002625</v>
      </c>
      <c r="Q2455" t="n">
        <v>50</v>
      </c>
      <c r="R2455" t="n">
        <v>0.0614</v>
      </c>
      <c r="S2455">
        <f>IMAGE("https://mitra.stanford.edu/kundaje/oak/projects/neuro-variants/variant_position/credible/roussos_2024/variant_figures/roussos_2024.childhood.GABA/rs910800_count_position.png",4,220,900)</f>
        <v/>
      </c>
      <c r="T2455">
        <f>IMAGE("https://mitra.stanford.edu/kundaje/oak/projects/neuro-variants/variant_position/credible/roussos_2024/variant_figures/roussos_2024.childhood.GABA/rs910800_profile_position.png",4,220,900)</f>
        <v/>
      </c>
    </row>
    <row r="2456">
      <c r="A2456" t="inlineStr">
        <is>
          <t>chr22</t>
        </is>
      </c>
      <c r="B2456" t="n">
        <v>49893179</v>
      </c>
      <c r="C2456" t="inlineStr">
        <is>
          <t>G</t>
        </is>
      </c>
      <c r="D2456" t="inlineStr">
        <is>
          <t>A</t>
        </is>
      </c>
      <c r="E2456" t="inlineStr">
        <is>
          <t>rs768618</t>
        </is>
      </c>
      <c r="F2456" t="n">
        <v>-0.101938679</v>
      </c>
      <c r="G2456" t="n">
        <v>0.0288419314774078</v>
      </c>
      <c r="H2456" t="n">
        <v>0.0154753878030956</v>
      </c>
      <c r="I2456" t="n">
        <v>0.2049913067505451</v>
      </c>
      <c r="J2456" t="n">
        <v>0.1579244413729555</v>
      </c>
      <c r="K2456" t="n">
        <v>0.2611841971201367</v>
      </c>
      <c r="L2456" t="b">
        <v>0</v>
      </c>
      <c r="M2456" t="b">
        <v>0</v>
      </c>
      <c r="N2456" t="inlineStr">
        <is>
          <t>ref</t>
        </is>
      </c>
      <c r="O2456" t="n">
        <v>-25</v>
      </c>
      <c r="P2456" t="n">
        <v>0.001785</v>
      </c>
      <c r="Q2456" t="n">
        <v>-45</v>
      </c>
      <c r="R2456" t="n">
        <v>0.1145</v>
      </c>
      <c r="S2456">
        <f>IMAGE("https://mitra.stanford.edu/kundaje/oak/projects/neuro-variants/variant_position/credible/roussos_2024/variant_figures/roussos_2024.childhood.GABA/rs768618_count_position.png",4,220,900)</f>
        <v/>
      </c>
      <c r="T2456">
        <f>IMAGE("https://mitra.stanford.edu/kundaje/oak/projects/neuro-variants/variant_position/credible/roussos_2024/variant_figures/roussos_2024.childhood.GABA/rs768618_profile_position.png",4,220,900)</f>
        <v/>
      </c>
    </row>
    <row r="2457">
      <c r="A2457" t="inlineStr">
        <is>
          <t>chr22</t>
        </is>
      </c>
      <c r="B2457" t="n">
        <v>49893618</v>
      </c>
      <c r="C2457" t="inlineStr">
        <is>
          <t>C</t>
        </is>
      </c>
      <c r="D2457" t="inlineStr">
        <is>
          <t>T</t>
        </is>
      </c>
      <c r="E2457" t="inlineStr">
        <is>
          <t>rs768619</t>
        </is>
      </c>
      <c r="F2457" t="n">
        <v>0.02216518034</v>
      </c>
      <c r="G2457" t="n">
        <v>0.3985101826559057</v>
      </c>
      <c r="H2457" t="n">
        <v>0.0197100012125709</v>
      </c>
      <c r="I2457" t="n">
        <v>0.07930724465162289</v>
      </c>
      <c r="J2457" t="n">
        <v>0.09008293020041459</v>
      </c>
      <c r="K2457" t="n">
        <v>0.3774042145551968</v>
      </c>
      <c r="L2457" t="b">
        <v>0</v>
      </c>
      <c r="M2457" t="b">
        <v>0</v>
      </c>
      <c r="N2457" t="inlineStr">
        <is>
          <t>alt</t>
        </is>
      </c>
      <c r="O2457" t="n">
        <v>-75</v>
      </c>
      <c r="P2457" t="n">
        <v>0.009339999999999999</v>
      </c>
      <c r="Q2457" t="n">
        <v>-95</v>
      </c>
      <c r="R2457" t="n">
        <v>0.1495</v>
      </c>
      <c r="S2457">
        <f>IMAGE("https://mitra.stanford.edu/kundaje/oak/projects/neuro-variants/variant_position/credible/roussos_2024/variant_figures/roussos_2024.childhood.GABA/rs768619_count_position.png",4,220,900)</f>
        <v/>
      </c>
      <c r="T2457">
        <f>IMAGE("https://mitra.stanford.edu/kundaje/oak/projects/neuro-variants/variant_position/credible/roussos_2024/variant_figures/roussos_2024.childhood.GABA/rs768619_profile_position.png",4,220,900)</f>
        <v/>
      </c>
    </row>
    <row r="2458">
      <c r="A2458" t="inlineStr">
        <is>
          <t>chr22</t>
        </is>
      </c>
      <c r="B2458" t="n">
        <v>49898221</v>
      </c>
      <c r="C2458" t="inlineStr">
        <is>
          <t>A</t>
        </is>
      </c>
      <c r="D2458" t="inlineStr">
        <is>
          <t>G</t>
        </is>
      </c>
      <c r="E2458" t="inlineStr">
        <is>
          <t>rs8138687</t>
        </is>
      </c>
      <c r="F2458" t="n">
        <v>-0.246877208</v>
      </c>
      <c r="G2458" t="n">
        <v>0.0024433163519231</v>
      </c>
      <c r="H2458" t="n">
        <v>0.0272138983535959</v>
      </c>
      <c r="I2458" t="n">
        <v>0.022014876962827</v>
      </c>
      <c r="J2458" t="n">
        <v>0.053977927163829</v>
      </c>
      <c r="K2458" t="n">
        <v>0.4903535617283334</v>
      </c>
      <c r="L2458" t="b">
        <v>1</v>
      </c>
      <c r="M2458" t="b">
        <v>1</v>
      </c>
      <c r="N2458" t="inlineStr">
        <is>
          <t>ref</t>
        </is>
      </c>
      <c r="O2458" t="n">
        <v>70</v>
      </c>
      <c r="P2458" t="n">
        <v>0.01918</v>
      </c>
      <c r="Q2458" t="n">
        <v>100</v>
      </c>
      <c r="R2458" t="n">
        <v>0.07764</v>
      </c>
      <c r="S2458">
        <f>IMAGE("https://mitra.stanford.edu/kundaje/oak/projects/neuro-variants/variant_position/credible/roussos_2024/variant_figures/roussos_2024.childhood.GABA/rs8138687_count_position.png",4,220,900)</f>
        <v/>
      </c>
      <c r="T2458">
        <f>IMAGE("https://mitra.stanford.edu/kundaje/oak/projects/neuro-variants/variant_position/credible/roussos_2024/variant_figures/roussos_2024.childhood.GABA/rs8138687_profile_position.png",4,220,900)</f>
        <v/>
      </c>
    </row>
    <row r="2459">
      <c r="A2459" t="inlineStr">
        <is>
          <t>chr22</t>
        </is>
      </c>
      <c r="B2459" t="n">
        <v>49915587</v>
      </c>
      <c r="C2459" t="inlineStr">
        <is>
          <t>T</t>
        </is>
      </c>
      <c r="D2459" t="inlineStr">
        <is>
          <t>A</t>
        </is>
      </c>
      <c r="E2459" t="inlineStr">
        <is>
          <t>rs3883952</t>
        </is>
      </c>
      <c r="F2459" t="n">
        <v>-0.00118732383</v>
      </c>
      <c r="G2459" t="n">
        <v>0.8481509690466844</v>
      </c>
      <c r="H2459" t="n">
        <v>0.0205445316961012</v>
      </c>
      <c r="I2459" t="n">
        <v>0.0692239651596088</v>
      </c>
      <c r="J2459" t="n">
        <v>0.270137798161295</v>
      </c>
      <c r="K2459" t="n">
        <v>0.1578311061972215</v>
      </c>
      <c r="L2459" t="b">
        <v>0</v>
      </c>
      <c r="M2459" t="b">
        <v>0</v>
      </c>
      <c r="N2459" t="inlineStr">
        <is>
          <t>ref</t>
        </is>
      </c>
      <c r="O2459" t="n">
        <v>-100</v>
      </c>
      <c r="P2459" t="n">
        <v>0.002563</v>
      </c>
      <c r="Q2459" t="n">
        <v>90</v>
      </c>
      <c r="R2459" t="n">
        <v>0.0503</v>
      </c>
      <c r="S2459">
        <f>IMAGE("https://mitra.stanford.edu/kundaje/oak/projects/neuro-variants/variant_position/credible/roussos_2024/variant_figures/roussos_2024.childhood.GABA/rs3883952_count_position.png",4,220,900)</f>
        <v/>
      </c>
      <c r="T2459">
        <f>IMAGE("https://mitra.stanford.edu/kundaje/oak/projects/neuro-variants/variant_position/credible/roussos_2024/variant_figures/roussos_2024.childhood.GABA/rs3883952_profile_position.png",4,220,900)</f>
        <v/>
      </c>
    </row>
    <row r="2460">
      <c r="A2460" t="inlineStr">
        <is>
          <t>chr22</t>
        </is>
      </c>
      <c r="B2460" t="n">
        <v>49919710</v>
      </c>
      <c r="C2460" t="inlineStr">
        <is>
          <t>G</t>
        </is>
      </c>
      <c r="D2460" t="inlineStr">
        <is>
          <t>C</t>
        </is>
      </c>
      <c r="E2460" t="inlineStr">
        <is>
          <t>rs8137331</t>
        </is>
      </c>
      <c r="F2460" t="n">
        <v>-0.0259968996</v>
      </c>
      <c r="G2460" t="n">
        <v>0.3006389065629382</v>
      </c>
      <c r="H2460" t="n">
        <v>0.0118491265595405</v>
      </c>
      <c r="I2460" t="n">
        <v>0.4480955257081916</v>
      </c>
      <c r="J2460" t="n">
        <v>0.5780695692236811</v>
      </c>
      <c r="K2460" t="n">
        <v>0.032777153420805</v>
      </c>
      <c r="L2460" t="b">
        <v>0</v>
      </c>
      <c r="M2460" t="b">
        <v>0</v>
      </c>
      <c r="N2460" t="inlineStr">
        <is>
          <t>ref</t>
        </is>
      </c>
      <c r="O2460" t="n">
        <v>85</v>
      </c>
      <c r="P2460" t="n">
        <v>0.00609</v>
      </c>
      <c r="Q2460" t="n">
        <v>0</v>
      </c>
      <c r="R2460" t="n">
        <v>0</v>
      </c>
      <c r="S2460">
        <f>IMAGE("https://mitra.stanford.edu/kundaje/oak/projects/neuro-variants/variant_position/credible/roussos_2024/variant_figures/roussos_2024.childhood.GABA/rs8137331_count_position.png",4,220,900)</f>
        <v/>
      </c>
      <c r="T2460">
        <f>IMAGE("https://mitra.stanford.edu/kundaje/oak/projects/neuro-variants/variant_position/credible/roussos_2024/variant_figures/roussos_2024.childhood.GABA/rs8137331_profile_position.png",4,220,900)</f>
        <v/>
      </c>
    </row>
    <row r="2461">
      <c r="A2461" t="inlineStr">
        <is>
          <t>chr22</t>
        </is>
      </c>
      <c r="B2461" t="n">
        <v>49920698</v>
      </c>
      <c r="C2461" t="inlineStr">
        <is>
          <t>A</t>
        </is>
      </c>
      <c r="D2461" t="inlineStr">
        <is>
          <t>G</t>
        </is>
      </c>
      <c r="E2461" t="inlineStr">
        <is>
          <t>rs7284417</t>
        </is>
      </c>
      <c r="F2461" t="n">
        <v>0.01853371126</v>
      </c>
      <c r="G2461" t="n">
        <v>0.4244628002282143</v>
      </c>
      <c r="H2461" t="n">
        <v>0.0123821911904818</v>
      </c>
      <c r="I2461" t="n">
        <v>0.4076065790782907</v>
      </c>
      <c r="J2461" t="n">
        <v>0.5686854725555486</v>
      </c>
      <c r="K2461" t="n">
        <v>0.0347392317284565</v>
      </c>
      <c r="L2461" t="b">
        <v>0</v>
      </c>
      <c r="M2461" t="b">
        <v>0</v>
      </c>
      <c r="N2461" t="inlineStr">
        <is>
          <t>alt</t>
        </is>
      </c>
      <c r="O2461" t="n">
        <v>100</v>
      </c>
      <c r="P2461" t="n">
        <v>0.00432</v>
      </c>
      <c r="Q2461" t="n">
        <v>100</v>
      </c>
      <c r="R2461" t="n">
        <v>0.1948</v>
      </c>
      <c r="S2461">
        <f>IMAGE("https://mitra.stanford.edu/kundaje/oak/projects/neuro-variants/variant_position/credible/roussos_2024/variant_figures/roussos_2024.childhood.GABA/rs7284417_count_position.png",4,220,900)</f>
        <v/>
      </c>
      <c r="T2461">
        <f>IMAGE("https://mitra.stanford.edu/kundaje/oak/projects/neuro-variants/variant_position/credible/roussos_2024/variant_figures/roussos_2024.childhood.GABA/rs7284417_profile_position.png",4,220,900)</f>
        <v/>
      </c>
    </row>
    <row r="2462">
      <c r="A2462" t="inlineStr">
        <is>
          <t>chr22</t>
        </is>
      </c>
      <c r="B2462" t="n">
        <v>50660705</v>
      </c>
      <c r="C2462" t="inlineStr">
        <is>
          <t>G</t>
        </is>
      </c>
      <c r="D2462" t="inlineStr">
        <is>
          <t>A</t>
        </is>
      </c>
      <c r="E2462" t="inlineStr">
        <is>
          <t>rs6010043</t>
        </is>
      </c>
      <c r="F2462" t="n">
        <v>-0.0044353046</v>
      </c>
      <c r="G2462" t="n">
        <v>0.748550003696679</v>
      </c>
      <c r="H2462" t="n">
        <v>0.0269705629282434</v>
      </c>
      <c r="I2462" t="n">
        <v>0.0214944591376014</v>
      </c>
      <c r="J2462" t="n">
        <v>0.0016261439551003</v>
      </c>
      <c r="K2462" t="n">
        <v>0.895974412710502</v>
      </c>
      <c r="L2462" t="b">
        <v>0</v>
      </c>
      <c r="M2462" t="b">
        <v>0</v>
      </c>
      <c r="N2462" t="inlineStr">
        <is>
          <t>ref</t>
        </is>
      </c>
      <c r="O2462" t="n">
        <v>90</v>
      </c>
      <c r="P2462" t="n">
        <v>0.01206</v>
      </c>
      <c r="Q2462" t="n">
        <v>-100</v>
      </c>
      <c r="R2462" t="n">
        <v>0.04382</v>
      </c>
      <c r="S2462">
        <f>IMAGE("https://mitra.stanford.edu/kundaje/oak/projects/neuro-variants/variant_position/credible/roussos_2024/variant_figures/roussos_2024.childhood.GABA/rs6010043_count_position.png",4,220,900)</f>
        <v/>
      </c>
      <c r="T2462">
        <f>IMAGE("https://mitra.stanford.edu/kundaje/oak/projects/neuro-variants/variant_position/credible/roussos_2024/variant_figures/roussos_2024.childhood.GABA/rs6010043_profile_position.png",4,220,900)</f>
        <v/>
      </c>
    </row>
    <row r="2463">
      <c r="A2463" t="inlineStr">
        <is>
          <t>chr3</t>
        </is>
      </c>
      <c r="B2463" t="n">
        <v>2325211</v>
      </c>
      <c r="C2463" t="inlineStr">
        <is>
          <t>G</t>
        </is>
      </c>
      <c r="D2463" t="inlineStr">
        <is>
          <t>A</t>
        </is>
      </c>
      <c r="E2463" t="inlineStr">
        <is>
          <t>rs4685508</t>
        </is>
      </c>
      <c r="F2463" t="n">
        <v>-0.0446480666</v>
      </c>
      <c r="G2463" t="n">
        <v>0.1714985415313221</v>
      </c>
      <c r="H2463" t="n">
        <v>0.0101283758034119</v>
      </c>
      <c r="I2463" t="n">
        <v>0.6251285306074533</v>
      </c>
      <c r="J2463" t="n">
        <v>0.1277397331993047</v>
      </c>
      <c r="K2463" t="n">
        <v>0.3017484284881201</v>
      </c>
      <c r="L2463" t="b">
        <v>0</v>
      </c>
      <c r="M2463" t="b">
        <v>0</v>
      </c>
      <c r="N2463" t="inlineStr">
        <is>
          <t>ref</t>
        </is>
      </c>
      <c r="O2463" t="n">
        <v>55</v>
      </c>
      <c r="P2463" t="n">
        <v>0.009834000000000001</v>
      </c>
      <c r="Q2463" t="n">
        <v>-5</v>
      </c>
      <c r="R2463" t="n">
        <v>0.00403</v>
      </c>
      <c r="S2463">
        <f>IMAGE("https://mitra.stanford.edu/kundaje/oak/projects/neuro-variants/variant_position/credible/roussos_2024/variant_figures/roussos_2024.childhood.GABA/rs4685508_count_position.png",4,220,900)</f>
        <v/>
      </c>
      <c r="T2463">
        <f>IMAGE("https://mitra.stanford.edu/kundaje/oak/projects/neuro-variants/variant_position/credible/roussos_2024/variant_figures/roussos_2024.childhood.GABA/rs4685508_profile_position.png",4,220,900)</f>
        <v/>
      </c>
    </row>
    <row r="2464">
      <c r="A2464" t="inlineStr">
        <is>
          <t>chr3</t>
        </is>
      </c>
      <c r="B2464" t="n">
        <v>2326193</v>
      </c>
      <c r="C2464" t="inlineStr">
        <is>
          <t>G</t>
        </is>
      </c>
      <c r="D2464" t="inlineStr">
        <is>
          <t>A</t>
        </is>
      </c>
      <c r="E2464" t="inlineStr">
        <is>
          <t>rs12638682</t>
        </is>
      </c>
      <c r="F2464" t="n">
        <v>0.0362493716</v>
      </c>
      <c r="G2464" t="n">
        <v>0.2316121671605773</v>
      </c>
      <c r="H2464" t="n">
        <v>0.0162432142003628</v>
      </c>
      <c r="I2464" t="n">
        <v>0.1706534027327243</v>
      </c>
      <c r="J2464" t="n">
        <v>0.09959477288433741</v>
      </c>
      <c r="K2464" t="n">
        <v>0.3534184757158207</v>
      </c>
      <c r="L2464" t="b">
        <v>0</v>
      </c>
      <c r="M2464" t="b">
        <v>0</v>
      </c>
      <c r="N2464" t="inlineStr">
        <is>
          <t>alt</t>
        </is>
      </c>
      <c r="O2464" t="n">
        <v>100</v>
      </c>
      <c r="P2464" t="n">
        <v>0.000965</v>
      </c>
      <c r="Q2464" t="n">
        <v>100</v>
      </c>
      <c r="R2464" t="n">
        <v>0.093</v>
      </c>
      <c r="S2464">
        <f>IMAGE("https://mitra.stanford.edu/kundaje/oak/projects/neuro-variants/variant_position/credible/roussos_2024/variant_figures/roussos_2024.childhood.GABA/rs12638682_count_position.png",4,220,900)</f>
        <v/>
      </c>
      <c r="T2464">
        <f>IMAGE("https://mitra.stanford.edu/kundaje/oak/projects/neuro-variants/variant_position/credible/roussos_2024/variant_figures/roussos_2024.childhood.GABA/rs12638682_profile_position.png",4,220,900)</f>
        <v/>
      </c>
    </row>
    <row r="2465">
      <c r="A2465" t="inlineStr">
        <is>
          <t>chr3</t>
        </is>
      </c>
      <c r="B2465" t="n">
        <v>2331105</v>
      </c>
      <c r="C2465" t="inlineStr">
        <is>
          <t>A</t>
        </is>
      </c>
      <c r="D2465" t="inlineStr">
        <is>
          <t>C</t>
        </is>
      </c>
      <c r="E2465" t="inlineStr">
        <is>
          <t>rs56251018</t>
        </is>
      </c>
      <c r="F2465" t="n">
        <v>-0.1605397499999999</v>
      </c>
      <c r="G2465" t="n">
        <v>0.0097979764466235</v>
      </c>
      <c r="H2465" t="n">
        <v>0.0381141145837855</v>
      </c>
      <c r="I2465" t="n">
        <v>0.0048210582055896</v>
      </c>
      <c r="J2465" t="n">
        <v>0.011323323071768</v>
      </c>
      <c r="K2465" t="n">
        <v>0.7281849402181151</v>
      </c>
      <c r="L2465" t="b">
        <v>1</v>
      </c>
      <c r="M2465" t="b">
        <v>1</v>
      </c>
      <c r="N2465" t="inlineStr">
        <is>
          <t>ref</t>
        </is>
      </c>
      <c r="O2465" t="n">
        <v>40</v>
      </c>
      <c r="P2465" t="n">
        <v>0.002167</v>
      </c>
      <c r="Q2465" t="n">
        <v>-35</v>
      </c>
      <c r="R2465" t="n">
        <v>0.02783</v>
      </c>
      <c r="S2465">
        <f>IMAGE("https://mitra.stanford.edu/kundaje/oak/projects/neuro-variants/variant_position/credible/roussos_2024/variant_figures/roussos_2024.childhood.GABA/rs56251018_count_position.png",4,220,900)</f>
        <v/>
      </c>
      <c r="T2465">
        <f>IMAGE("https://mitra.stanford.edu/kundaje/oak/projects/neuro-variants/variant_position/credible/roussos_2024/variant_figures/roussos_2024.childhood.GABA/rs56251018_profile_position.png",4,220,900)</f>
        <v/>
      </c>
    </row>
    <row r="2466">
      <c r="A2466" t="inlineStr">
        <is>
          <t>chr3</t>
        </is>
      </c>
      <c r="B2466" t="n">
        <v>2343483</v>
      </c>
      <c r="C2466" t="inlineStr">
        <is>
          <t>G</t>
        </is>
      </c>
      <c r="D2466" t="inlineStr">
        <is>
          <t>A</t>
        </is>
      </c>
      <c r="E2466" t="inlineStr">
        <is>
          <t>rs1720179</t>
        </is>
      </c>
      <c r="F2466" t="n">
        <v>0.390005488</v>
      </c>
      <c r="G2466" t="n">
        <v>0.0006657027996436</v>
      </c>
      <c r="H2466" t="n">
        <v>0.0537670728537005</v>
      </c>
      <c r="I2466" t="n">
        <v>0.0014496477582251</v>
      </c>
      <c r="J2466" t="n">
        <v>0.2790747837741617</v>
      </c>
      <c r="K2466" t="n">
        <v>0.1574644083505751</v>
      </c>
      <c r="L2466" t="b">
        <v>1</v>
      </c>
      <c r="M2466" t="b">
        <v>1</v>
      </c>
      <c r="N2466" t="inlineStr">
        <is>
          <t>alt</t>
        </is>
      </c>
      <c r="O2466" t="n">
        <v>-100</v>
      </c>
      <c r="P2466" t="n">
        <v>0.01279</v>
      </c>
      <c r="Q2466" t="n">
        <v>-95</v>
      </c>
      <c r="R2466" t="n">
        <v>0.2346</v>
      </c>
      <c r="S2466">
        <f>IMAGE("https://mitra.stanford.edu/kundaje/oak/projects/neuro-variants/variant_position/credible/roussos_2024/variant_figures/roussos_2024.childhood.GABA/rs1720179_count_position.png",4,220,900)</f>
        <v/>
      </c>
      <c r="T2466">
        <f>IMAGE("https://mitra.stanford.edu/kundaje/oak/projects/neuro-variants/variant_position/credible/roussos_2024/variant_figures/roussos_2024.childhood.GABA/rs1720179_profile_position.png",4,220,900)</f>
        <v/>
      </c>
    </row>
    <row r="2467">
      <c r="A2467" t="inlineStr">
        <is>
          <t>chr3</t>
        </is>
      </c>
      <c r="B2467" t="n">
        <v>2348928</v>
      </c>
      <c r="C2467" t="inlineStr">
        <is>
          <t>C</t>
        </is>
      </c>
      <c r="D2467" t="inlineStr">
        <is>
          <t>A</t>
        </is>
      </c>
      <c r="E2467" t="inlineStr">
        <is>
          <t>rs1685495</t>
        </is>
      </c>
      <c r="F2467" t="n">
        <v>-0.0597181996</v>
      </c>
      <c r="G2467" t="n">
        <v>0.1101864873590191</v>
      </c>
      <c r="H2467" t="n">
        <v>0.014368449617857</v>
      </c>
      <c r="I2467" t="n">
        <v>0.2593572437453476</v>
      </c>
      <c r="J2467" t="n">
        <v>0.0012638478775313</v>
      </c>
      <c r="K2467" t="n">
        <v>0.9061908676290862</v>
      </c>
      <c r="L2467" t="b">
        <v>0</v>
      </c>
      <c r="M2467" t="b">
        <v>0</v>
      </c>
      <c r="N2467" t="inlineStr">
        <is>
          <t>ref</t>
        </is>
      </c>
      <c r="O2467" t="n">
        <v>100</v>
      </c>
      <c r="P2467" t="n">
        <v>0.01367</v>
      </c>
      <c r="Q2467" t="n">
        <v>-55</v>
      </c>
      <c r="R2467" t="n">
        <v>0.0868</v>
      </c>
      <c r="S2467">
        <f>IMAGE("https://mitra.stanford.edu/kundaje/oak/projects/neuro-variants/variant_position/credible/roussos_2024/variant_figures/roussos_2024.childhood.GABA/rs1685495_count_position.png",4,220,900)</f>
        <v/>
      </c>
      <c r="T2467">
        <f>IMAGE("https://mitra.stanford.edu/kundaje/oak/projects/neuro-variants/variant_position/credible/roussos_2024/variant_figures/roussos_2024.childhood.GABA/rs1685495_profile_position.png",4,220,900)</f>
        <v/>
      </c>
    </row>
    <row r="2468">
      <c r="A2468" t="inlineStr">
        <is>
          <t>chr3</t>
        </is>
      </c>
      <c r="B2468" t="n">
        <v>2351034</v>
      </c>
      <c r="C2468" t="inlineStr">
        <is>
          <t>T</t>
        </is>
      </c>
      <c r="D2468" t="inlineStr">
        <is>
          <t>G</t>
        </is>
      </c>
      <c r="E2468" t="inlineStr">
        <is>
          <t>rs4685517</t>
        </is>
      </c>
      <c r="F2468" t="n">
        <v>-0.00704363187</v>
      </c>
      <c r="G2468" t="n">
        <v>0.714875157267661</v>
      </c>
      <c r="H2468" t="n">
        <v>0.0163715995981384</v>
      </c>
      <c r="I2468" t="n">
        <v>0.1635742267974961</v>
      </c>
      <c r="J2468" t="n">
        <v>0.1008062658373646</v>
      </c>
      <c r="K2468" t="n">
        <v>0.3497160202982269</v>
      </c>
      <c r="L2468" t="b">
        <v>0</v>
      </c>
      <c r="M2468" t="b">
        <v>0</v>
      </c>
      <c r="N2468" t="inlineStr">
        <is>
          <t>ref</t>
        </is>
      </c>
      <c r="O2468" t="n">
        <v>-90</v>
      </c>
      <c r="P2468" t="n">
        <v>0.03287</v>
      </c>
      <c r="Q2468" t="n">
        <v>-85</v>
      </c>
      <c r="R2468" t="n">
        <v>0.1637</v>
      </c>
      <c r="S2468">
        <f>IMAGE("https://mitra.stanford.edu/kundaje/oak/projects/neuro-variants/variant_position/credible/roussos_2024/variant_figures/roussos_2024.childhood.GABA/rs4685517_count_position.png",4,220,900)</f>
        <v/>
      </c>
      <c r="T2468">
        <f>IMAGE("https://mitra.stanford.edu/kundaje/oak/projects/neuro-variants/variant_position/credible/roussos_2024/variant_figures/roussos_2024.childhood.GABA/rs4685517_profile_position.png",4,220,900)</f>
        <v/>
      </c>
    </row>
    <row r="2469">
      <c r="A2469" t="inlineStr">
        <is>
          <t>chr3</t>
        </is>
      </c>
      <c r="B2469" t="n">
        <v>2394813</v>
      </c>
      <c r="C2469" t="inlineStr">
        <is>
          <t>A</t>
        </is>
      </c>
      <c r="D2469" t="inlineStr">
        <is>
          <t>G</t>
        </is>
      </c>
      <c r="E2469" t="inlineStr">
        <is>
          <t>rs6787394</t>
        </is>
      </c>
      <c r="F2469" t="n">
        <v>0.00714942595</v>
      </c>
      <c r="G2469" t="n">
        <v>0.7007182579012587</v>
      </c>
      <c r="H2469" t="n">
        <v>0.0217352285297124</v>
      </c>
      <c r="I2469" t="n">
        <v>0.0553532095021462</v>
      </c>
      <c r="J2469" t="n">
        <v>0.1099097401101547</v>
      </c>
      <c r="K2469" t="n">
        <v>0.3315363774632739</v>
      </c>
      <c r="L2469" t="b">
        <v>0</v>
      </c>
      <c r="M2469" t="b">
        <v>0</v>
      </c>
      <c r="N2469" t="inlineStr">
        <is>
          <t>alt</t>
        </is>
      </c>
      <c r="O2469" t="n">
        <v>20</v>
      </c>
      <c r="P2469" t="n">
        <v>0.001984</v>
      </c>
      <c r="Q2469" t="n">
        <v>-10</v>
      </c>
      <c r="R2469" t="n">
        <v>0.00525</v>
      </c>
      <c r="S2469">
        <f>IMAGE("https://mitra.stanford.edu/kundaje/oak/projects/neuro-variants/variant_position/credible/roussos_2024/variant_figures/roussos_2024.childhood.GABA/rs6787394_count_position.png",4,220,900)</f>
        <v/>
      </c>
      <c r="T2469">
        <f>IMAGE("https://mitra.stanford.edu/kundaje/oak/projects/neuro-variants/variant_position/credible/roussos_2024/variant_figures/roussos_2024.childhood.GABA/rs6787394_profile_position.png",4,220,900)</f>
        <v/>
      </c>
    </row>
    <row r="2470">
      <c r="A2470" t="inlineStr">
        <is>
          <t>chr3</t>
        </is>
      </c>
      <c r="B2470" t="n">
        <v>2507826</v>
      </c>
      <c r="C2470" t="inlineStr">
        <is>
          <t>T</t>
        </is>
      </c>
      <c r="D2470" t="inlineStr">
        <is>
          <t>G</t>
        </is>
      </c>
      <c r="E2470" t="inlineStr">
        <is>
          <t>rs67888396</t>
        </is>
      </c>
      <c r="F2470" t="n">
        <v>-0.00422631856</v>
      </c>
      <c r="G2470" t="n">
        <v>0.7036055703233774</v>
      </c>
      <c r="H2470" t="n">
        <v>0.0177872388998858</v>
      </c>
      <c r="I2470" t="n">
        <v>0.1230085880228237</v>
      </c>
      <c r="J2470" t="n">
        <v>0.0250591610646897</v>
      </c>
      <c r="K2470" t="n">
        <v>0.6068336173343196</v>
      </c>
      <c r="L2470" t="b">
        <v>0</v>
      </c>
      <c r="M2470" t="b">
        <v>0</v>
      </c>
      <c r="N2470" t="inlineStr">
        <is>
          <t>ref</t>
        </is>
      </c>
      <c r="O2470" t="n">
        <v>35</v>
      </c>
      <c r="P2470" t="n">
        <v>0.00876</v>
      </c>
      <c r="Q2470" t="n">
        <v>-25</v>
      </c>
      <c r="R2470" t="n">
        <v>0.0191</v>
      </c>
      <c r="S2470">
        <f>IMAGE("https://mitra.stanford.edu/kundaje/oak/projects/neuro-variants/variant_position/credible/roussos_2024/variant_figures/roussos_2024.childhood.GABA/rs67888396_count_position.png",4,220,900)</f>
        <v/>
      </c>
      <c r="T2470">
        <f>IMAGE("https://mitra.stanford.edu/kundaje/oak/projects/neuro-variants/variant_position/credible/roussos_2024/variant_figures/roussos_2024.childhood.GABA/rs67888396_profile_position.png",4,220,900)</f>
        <v/>
      </c>
    </row>
    <row r="2471">
      <c r="A2471" t="inlineStr">
        <is>
          <t>chr3</t>
        </is>
      </c>
      <c r="B2471" t="n">
        <v>2507907</v>
      </c>
      <c r="C2471" t="inlineStr">
        <is>
          <t>T</t>
        </is>
      </c>
      <c r="D2471" t="inlineStr">
        <is>
          <t>C</t>
        </is>
      </c>
      <c r="E2471" t="inlineStr">
        <is>
          <t>rs67733815</t>
        </is>
      </c>
      <c r="F2471" t="n">
        <v>0.0048861262399999</v>
      </c>
      <c r="G2471" t="n">
        <v>0.6958486332609735</v>
      </c>
      <c r="H2471" t="n">
        <v>0.0208412446324786</v>
      </c>
      <c r="I2471" t="n">
        <v>0.0650684421955091</v>
      </c>
      <c r="J2471" t="n">
        <v>0.0238068312705492</v>
      </c>
      <c r="K2471" t="n">
        <v>0.6152916664415995</v>
      </c>
      <c r="L2471" t="b">
        <v>0</v>
      </c>
      <c r="M2471" t="b">
        <v>0</v>
      </c>
      <c r="N2471" t="inlineStr">
        <is>
          <t>alt</t>
        </is>
      </c>
      <c r="O2471" t="n">
        <v>-45</v>
      </c>
      <c r="P2471" t="n">
        <v>0.07196</v>
      </c>
      <c r="Q2471" t="n">
        <v>-100</v>
      </c>
      <c r="R2471" t="n">
        <v>0.06476</v>
      </c>
      <c r="S2471">
        <f>IMAGE("https://mitra.stanford.edu/kundaje/oak/projects/neuro-variants/variant_position/credible/roussos_2024/variant_figures/roussos_2024.childhood.GABA/rs67733815_count_position.png",4,220,900)</f>
        <v/>
      </c>
      <c r="T2471">
        <f>IMAGE("https://mitra.stanford.edu/kundaje/oak/projects/neuro-variants/variant_position/credible/roussos_2024/variant_figures/roussos_2024.childhood.GABA/rs67733815_profile_position.png",4,220,900)</f>
        <v/>
      </c>
    </row>
    <row r="2472">
      <c r="A2472" t="inlineStr">
        <is>
          <t>chr3</t>
        </is>
      </c>
      <c r="B2472" t="n">
        <v>3558477</v>
      </c>
      <c r="C2472" t="inlineStr">
        <is>
          <t>A</t>
        </is>
      </c>
      <c r="D2472" t="inlineStr">
        <is>
          <t>G</t>
        </is>
      </c>
      <c r="E2472" t="inlineStr">
        <is>
          <t>rs1072848</t>
        </is>
      </c>
      <c r="F2472" t="n">
        <v>0.01080789842</v>
      </c>
      <c r="G2472" t="n">
        <v>0.5409626631655279</v>
      </c>
      <c r="H2472" t="n">
        <v>0.0130061310940467</v>
      </c>
      <c r="I2472" t="n">
        <v>0.3533984942886226</v>
      </c>
      <c r="J2472" t="n">
        <v>0.0239576134531213</v>
      </c>
      <c r="K2472" t="n">
        <v>0.634165257133691</v>
      </c>
      <c r="L2472" t="b">
        <v>0</v>
      </c>
      <c r="M2472" t="b">
        <v>0</v>
      </c>
      <c r="N2472" t="inlineStr">
        <is>
          <t>alt</t>
        </is>
      </c>
      <c r="O2472" t="n">
        <v>-100</v>
      </c>
      <c r="P2472" t="n">
        <v>0.005726</v>
      </c>
      <c r="Q2472" t="n">
        <v>-75</v>
      </c>
      <c r="R2472" t="n">
        <v>0.03387</v>
      </c>
      <c r="S2472">
        <f>IMAGE("https://mitra.stanford.edu/kundaje/oak/projects/neuro-variants/variant_position/credible/roussos_2024/variant_figures/roussos_2024.childhood.GABA/rs1072848_count_position.png",4,220,900)</f>
        <v/>
      </c>
      <c r="T2472">
        <f>IMAGE("https://mitra.stanford.edu/kundaje/oak/projects/neuro-variants/variant_position/credible/roussos_2024/variant_figures/roussos_2024.childhood.GABA/rs1072848_profile_position.png",4,220,900)</f>
        <v/>
      </c>
    </row>
    <row r="2473">
      <c r="A2473" t="inlineStr">
        <is>
          <t>chr3</t>
        </is>
      </c>
      <c r="B2473" t="n">
        <v>3562021</v>
      </c>
      <c r="C2473" t="inlineStr">
        <is>
          <t>G</t>
        </is>
      </c>
      <c r="D2473" t="inlineStr">
        <is>
          <t>A</t>
        </is>
      </c>
      <c r="E2473" t="inlineStr">
        <is>
          <t>rs7642870</t>
        </is>
      </c>
      <c r="F2473" t="n">
        <v>-0.0254445131999999</v>
      </c>
      <c r="G2473" t="n">
        <v>0.3677765192263161</v>
      </c>
      <c r="H2473" t="n">
        <v>0.008433257515604</v>
      </c>
      <c r="I2473" t="n">
        <v>0.7994890553310238</v>
      </c>
      <c r="J2473" t="n">
        <v>0.0227482146970743</v>
      </c>
      <c r="K2473" t="n">
        <v>0.631237951609196</v>
      </c>
      <c r="L2473" t="b">
        <v>0</v>
      </c>
      <c r="M2473" t="b">
        <v>0</v>
      </c>
      <c r="N2473" t="inlineStr">
        <is>
          <t>ref</t>
        </is>
      </c>
      <c r="O2473" t="n">
        <v>55</v>
      </c>
      <c r="P2473" t="n">
        <v>0.00776</v>
      </c>
      <c r="Q2473" t="n">
        <v>-80</v>
      </c>
      <c r="R2473" t="n">
        <v>0.06370000000000001</v>
      </c>
      <c r="S2473">
        <f>IMAGE("https://mitra.stanford.edu/kundaje/oak/projects/neuro-variants/variant_position/credible/roussos_2024/variant_figures/roussos_2024.childhood.GABA/rs7642870_count_position.png",4,220,900)</f>
        <v/>
      </c>
      <c r="T2473">
        <f>IMAGE("https://mitra.stanford.edu/kundaje/oak/projects/neuro-variants/variant_position/credible/roussos_2024/variant_figures/roussos_2024.childhood.GABA/rs7642870_profile_position.png",4,220,900)</f>
        <v/>
      </c>
    </row>
    <row r="2474">
      <c r="A2474" t="inlineStr">
        <is>
          <t>chr3</t>
        </is>
      </c>
      <c r="B2474" t="n">
        <v>16730989</v>
      </c>
      <c r="C2474" t="inlineStr">
        <is>
          <t>G</t>
        </is>
      </c>
      <c r="D2474" t="inlineStr">
        <is>
          <t>T</t>
        </is>
      </c>
      <c r="E2474" t="inlineStr">
        <is>
          <t>rs56345807</t>
        </is>
      </c>
      <c r="F2474" t="n">
        <v>0.03859695</v>
      </c>
      <c r="G2474" t="n">
        <v>0.2100807198388928</v>
      </c>
      <c r="H2474" t="n">
        <v>0.0136816055220744</v>
      </c>
      <c r="I2474" t="n">
        <v>0.3017188793670271</v>
      </c>
      <c r="J2474" t="n">
        <v>0.0725178530292558</v>
      </c>
      <c r="K2474" t="n">
        <v>0.4335237586250427</v>
      </c>
      <c r="L2474" t="b">
        <v>0</v>
      </c>
      <c r="M2474" t="b">
        <v>0</v>
      </c>
      <c r="N2474" t="inlineStr">
        <is>
          <t>alt</t>
        </is>
      </c>
      <c r="O2474" t="n">
        <v>10</v>
      </c>
      <c r="P2474" t="n">
        <v>0.0008926</v>
      </c>
      <c r="Q2474" t="n">
        <v>55</v>
      </c>
      <c r="R2474" t="n">
        <v>0.04358</v>
      </c>
      <c r="S2474">
        <f>IMAGE("https://mitra.stanford.edu/kundaje/oak/projects/neuro-variants/variant_position/credible/roussos_2024/variant_figures/roussos_2024.childhood.GABA/rs56345807_count_position.png",4,220,900)</f>
        <v/>
      </c>
      <c r="T2474">
        <f>IMAGE("https://mitra.stanford.edu/kundaje/oak/projects/neuro-variants/variant_position/credible/roussos_2024/variant_figures/roussos_2024.childhood.GABA/rs56345807_profile_position.png",4,220,900)</f>
        <v/>
      </c>
    </row>
    <row r="2475">
      <c r="A2475" t="inlineStr">
        <is>
          <t>chr3</t>
        </is>
      </c>
      <c r="B2475" t="n">
        <v>16745264</v>
      </c>
      <c r="C2475" t="inlineStr">
        <is>
          <t>C</t>
        </is>
      </c>
      <c r="D2475" t="inlineStr">
        <is>
          <t>T</t>
        </is>
      </c>
      <c r="E2475" t="inlineStr">
        <is>
          <t>rs138823185</t>
        </is>
      </c>
      <c r="F2475" t="n">
        <v>-0.0600733309999999</v>
      </c>
      <c r="G2475" t="n">
        <v>0.1026531807975495</v>
      </c>
      <c r="H2475" t="n">
        <v>0.0159381224287298</v>
      </c>
      <c r="I2475" t="n">
        <v>0.183387424825914</v>
      </c>
      <c r="J2475" t="n">
        <v>0.2867667692823186</v>
      </c>
      <c r="K2475" t="n">
        <v>0.1470038073658049</v>
      </c>
      <c r="L2475" t="b">
        <v>0</v>
      </c>
      <c r="M2475" t="b">
        <v>0</v>
      </c>
      <c r="N2475" t="inlineStr">
        <is>
          <t>ref</t>
        </is>
      </c>
      <c r="O2475" t="n">
        <v>-70</v>
      </c>
      <c r="P2475" t="n">
        <v>0.0005727</v>
      </c>
      <c r="Q2475" t="n">
        <v>20</v>
      </c>
      <c r="R2475" t="n">
        <v>0.04517</v>
      </c>
      <c r="S2475">
        <f>IMAGE("https://mitra.stanford.edu/kundaje/oak/projects/neuro-variants/variant_position/credible/roussos_2024/variant_figures/roussos_2024.childhood.GABA/rs138823185_count_position.png",4,220,900)</f>
        <v/>
      </c>
      <c r="T2475">
        <f>IMAGE("https://mitra.stanford.edu/kundaje/oak/projects/neuro-variants/variant_position/credible/roussos_2024/variant_figures/roussos_2024.childhood.GABA/rs138823185_profile_position.png",4,220,900)</f>
        <v/>
      </c>
    </row>
    <row r="2476">
      <c r="A2476" t="inlineStr">
        <is>
          <t>chr3</t>
        </is>
      </c>
      <c r="B2476" t="n">
        <v>16748700</v>
      </c>
      <c r="C2476" t="inlineStr">
        <is>
          <t>A</t>
        </is>
      </c>
      <c r="D2476" t="inlineStr">
        <is>
          <t>G</t>
        </is>
      </c>
      <c r="E2476" t="inlineStr">
        <is>
          <t>rs9874028</t>
        </is>
      </c>
      <c r="F2476" t="n">
        <v>0.175182924</v>
      </c>
      <c r="G2476" t="n">
        <v>0.0065273739962703</v>
      </c>
      <c r="H2476" t="n">
        <v>0.0240321093781924</v>
      </c>
      <c r="I2476" t="n">
        <v>0.036114479484035</v>
      </c>
      <c r="J2476" t="n">
        <v>0.2111746350861761</v>
      </c>
      <c r="K2476" t="n">
        <v>0.2103901215545125</v>
      </c>
      <c r="L2476" t="b">
        <v>1</v>
      </c>
      <c r="M2476" t="b">
        <v>1</v>
      </c>
      <c r="N2476" t="inlineStr">
        <is>
          <t>alt</t>
        </is>
      </c>
      <c r="O2476" t="n">
        <v>20</v>
      </c>
      <c r="P2476" t="n">
        <v>0.0008435</v>
      </c>
      <c r="Q2476" t="n">
        <v>50</v>
      </c>
      <c r="R2476" t="n">
        <v>0.03064</v>
      </c>
      <c r="S2476">
        <f>IMAGE("https://mitra.stanford.edu/kundaje/oak/projects/neuro-variants/variant_position/credible/roussos_2024/variant_figures/roussos_2024.childhood.GABA/rs9874028_count_position.png",4,220,900)</f>
        <v/>
      </c>
      <c r="T2476">
        <f>IMAGE("https://mitra.stanford.edu/kundaje/oak/projects/neuro-variants/variant_position/credible/roussos_2024/variant_figures/roussos_2024.childhood.GABA/rs9874028_profile_position.png",4,220,900)</f>
        <v/>
      </c>
    </row>
    <row r="2477">
      <c r="A2477" t="inlineStr">
        <is>
          <t>chr3</t>
        </is>
      </c>
      <c r="B2477" t="n">
        <v>17411731</v>
      </c>
      <c r="C2477" t="inlineStr">
        <is>
          <t>T</t>
        </is>
      </c>
      <c r="D2477" t="inlineStr">
        <is>
          <t>C</t>
        </is>
      </c>
      <c r="E2477" t="inlineStr">
        <is>
          <t>rs6787756</t>
        </is>
      </c>
      <c r="F2477" t="n">
        <v>0.0820574714</v>
      </c>
      <c r="G2477" t="n">
        <v>0.0464362740907962</v>
      </c>
      <c r="H2477" t="n">
        <v>0.0144195211190316</v>
      </c>
      <c r="I2477" t="n">
        <v>0.2533749854595903</v>
      </c>
      <c r="J2477" t="n">
        <v>0.103230298841909</v>
      </c>
      <c r="K2477" t="n">
        <v>0.3456060260453806</v>
      </c>
      <c r="L2477" t="b">
        <v>0</v>
      </c>
      <c r="M2477" t="b">
        <v>0</v>
      </c>
      <c r="N2477" t="inlineStr">
        <is>
          <t>alt</t>
        </is>
      </c>
      <c r="O2477" t="n">
        <v>0</v>
      </c>
      <c r="P2477" t="n">
        <v>0</v>
      </c>
      <c r="Q2477" t="n">
        <v>-65</v>
      </c>
      <c r="R2477" t="n">
        <v>0.03906</v>
      </c>
      <c r="S2477">
        <f>IMAGE("https://mitra.stanford.edu/kundaje/oak/projects/neuro-variants/variant_position/credible/roussos_2024/variant_figures/roussos_2024.childhood.GABA/rs6787756_count_position.png",4,220,900)</f>
        <v/>
      </c>
      <c r="T2477">
        <f>IMAGE("https://mitra.stanford.edu/kundaje/oak/projects/neuro-variants/variant_position/credible/roussos_2024/variant_figures/roussos_2024.childhood.GABA/rs6787756_profile_position.png",4,220,900)</f>
        <v/>
      </c>
    </row>
    <row r="2478">
      <c r="A2478" t="inlineStr">
        <is>
          <t>chr3</t>
        </is>
      </c>
      <c r="B2478" t="n">
        <v>17613896</v>
      </c>
      <c r="C2478" t="inlineStr">
        <is>
          <t>T</t>
        </is>
      </c>
      <c r="D2478" t="inlineStr">
        <is>
          <t>C</t>
        </is>
      </c>
      <c r="E2478" t="inlineStr">
        <is>
          <t>rs9681617</t>
        </is>
      </c>
      <c r="F2478" t="n">
        <v>-0.0546663468</v>
      </c>
      <c r="G2478" t="n">
        <v>0.1198859298524564</v>
      </c>
      <c r="H2478" t="n">
        <v>0.0234309201822373</v>
      </c>
      <c r="I2478" t="n">
        <v>0.0400807215004223</v>
      </c>
      <c r="J2478" t="n">
        <v>0.0122510523339825</v>
      </c>
      <c r="K2478" t="n">
        <v>0.7377985178094107</v>
      </c>
      <c r="L2478" t="b">
        <v>0</v>
      </c>
      <c r="M2478" t="b">
        <v>0</v>
      </c>
      <c r="N2478" t="inlineStr">
        <is>
          <t>ref</t>
        </is>
      </c>
      <c r="O2478" t="n">
        <v>-100</v>
      </c>
      <c r="P2478" t="n">
        <v>0.00707</v>
      </c>
      <c r="Q2478" t="n">
        <v>-100</v>
      </c>
      <c r="R2478" t="n">
        <v>0.03415</v>
      </c>
      <c r="S2478">
        <f>IMAGE("https://mitra.stanford.edu/kundaje/oak/projects/neuro-variants/variant_position/credible/roussos_2024/variant_figures/roussos_2024.childhood.GABA/rs9681617_count_position.png",4,220,900)</f>
        <v/>
      </c>
      <c r="T2478">
        <f>IMAGE("https://mitra.stanford.edu/kundaje/oak/projects/neuro-variants/variant_position/credible/roussos_2024/variant_figures/roussos_2024.childhood.GABA/rs9681617_profile_position.png",4,220,900)</f>
        <v/>
      </c>
    </row>
    <row r="2479">
      <c r="A2479" t="inlineStr">
        <is>
          <t>chr3</t>
        </is>
      </c>
      <c r="B2479" t="n">
        <v>17648935</v>
      </c>
      <c r="C2479" t="inlineStr">
        <is>
          <t>C</t>
        </is>
      </c>
      <c r="D2479" t="inlineStr">
        <is>
          <t>T</t>
        </is>
      </c>
      <c r="E2479" t="inlineStr">
        <is>
          <t>rs55701200</t>
        </is>
      </c>
      <c r="F2479" t="n">
        <v>-0.0837856134</v>
      </c>
      <c r="G2479" t="n">
        <v>0.0518243171508049</v>
      </c>
      <c r="H2479" t="n">
        <v>0.0281128469006356</v>
      </c>
      <c r="I2479" t="n">
        <v>0.0172008803570359</v>
      </c>
      <c r="J2479" t="n">
        <v>0.0226969068710602</v>
      </c>
      <c r="K2479" t="n">
        <v>0.6386989651327374</v>
      </c>
      <c r="L2479" t="b">
        <v>1</v>
      </c>
      <c r="M2479" t="b">
        <v>0</v>
      </c>
      <c r="N2479" t="inlineStr">
        <is>
          <t>ref</t>
        </is>
      </c>
      <c r="O2479" t="n">
        <v>15</v>
      </c>
      <c r="P2479" t="n">
        <v>0.000908</v>
      </c>
      <c r="Q2479" t="n">
        <v>0</v>
      </c>
      <c r="R2479" t="n">
        <v>0</v>
      </c>
      <c r="S2479">
        <f>IMAGE("https://mitra.stanford.edu/kundaje/oak/projects/neuro-variants/variant_position/credible/roussos_2024/variant_figures/roussos_2024.childhood.GABA/rs55701200_count_position.png",4,220,900)</f>
        <v/>
      </c>
      <c r="T2479">
        <f>IMAGE("https://mitra.stanford.edu/kundaje/oak/projects/neuro-variants/variant_position/credible/roussos_2024/variant_figures/roussos_2024.childhood.GABA/rs55701200_profile_position.png",4,220,900)</f>
        <v/>
      </c>
    </row>
    <row r="2480">
      <c r="A2480" t="inlineStr">
        <is>
          <t>chr3</t>
        </is>
      </c>
      <c r="B2480" t="n">
        <v>17655683</v>
      </c>
      <c r="C2480" t="inlineStr">
        <is>
          <t>T</t>
        </is>
      </c>
      <c r="D2480" t="inlineStr">
        <is>
          <t>C</t>
        </is>
      </c>
      <c r="E2480" t="inlineStr">
        <is>
          <t>rs11128837</t>
        </is>
      </c>
      <c r="F2480" t="n">
        <v>0.0248452298999999</v>
      </c>
      <c r="G2480" t="n">
        <v>0.3361290508136048</v>
      </c>
      <c r="H2480" t="n">
        <v>0.0144016106564156</v>
      </c>
      <c r="I2480" t="n">
        <v>0.2588688182306186</v>
      </c>
      <c r="J2480" t="n">
        <v>0.0795826265418524</v>
      </c>
      <c r="K2480" t="n">
        <v>0.3948188101666263</v>
      </c>
      <c r="L2480" t="b">
        <v>0</v>
      </c>
      <c r="M2480" t="b">
        <v>0</v>
      </c>
      <c r="N2480" t="inlineStr">
        <is>
          <t>alt</t>
        </is>
      </c>
      <c r="O2480" t="n">
        <v>-80</v>
      </c>
      <c r="P2480" t="n">
        <v>0.03015</v>
      </c>
      <c r="Q2480" t="n">
        <v>-5</v>
      </c>
      <c r="R2480" t="n">
        <v>0.00757</v>
      </c>
      <c r="S2480">
        <f>IMAGE("https://mitra.stanford.edu/kundaje/oak/projects/neuro-variants/variant_position/credible/roussos_2024/variant_figures/roussos_2024.childhood.GABA/rs11128837_count_position.png",4,220,900)</f>
        <v/>
      </c>
      <c r="T2480">
        <f>IMAGE("https://mitra.stanford.edu/kundaje/oak/projects/neuro-variants/variant_position/credible/roussos_2024/variant_figures/roussos_2024.childhood.GABA/rs11128837_profile_position.png",4,220,900)</f>
        <v/>
      </c>
    </row>
    <row r="2481">
      <c r="A2481" t="inlineStr">
        <is>
          <t>chr3</t>
        </is>
      </c>
      <c r="B2481" t="n">
        <v>17672024</v>
      </c>
      <c r="C2481" t="inlineStr">
        <is>
          <t>T</t>
        </is>
      </c>
      <c r="D2481" t="inlineStr">
        <is>
          <t>A</t>
        </is>
      </c>
      <c r="E2481" t="inlineStr">
        <is>
          <t>rs13083917</t>
        </is>
      </c>
      <c r="F2481" t="n">
        <v>-0.00210783212</v>
      </c>
      <c r="G2481" t="n">
        <v>0.687904343733166</v>
      </c>
      <c r="H2481" t="n">
        <v>0.0077571100639268</v>
      </c>
      <c r="I2481" t="n">
        <v>0.8785626432729143</v>
      </c>
      <c r="J2481" t="n">
        <v>0.06461644782308219</v>
      </c>
      <c r="K2481" t="n">
        <v>0.4459164629684824</v>
      </c>
      <c r="L2481" t="b">
        <v>0</v>
      </c>
      <c r="M2481" t="b">
        <v>0</v>
      </c>
      <c r="N2481" t="inlineStr">
        <is>
          <t>ref</t>
        </is>
      </c>
      <c r="O2481" t="n">
        <v>-95</v>
      </c>
      <c r="P2481" t="n">
        <v>0.010056</v>
      </c>
      <c r="Q2481" t="n">
        <v>-100</v>
      </c>
      <c r="R2481" t="n">
        <v>0.334</v>
      </c>
      <c r="S2481">
        <f>IMAGE("https://mitra.stanford.edu/kundaje/oak/projects/neuro-variants/variant_position/credible/roussos_2024/variant_figures/roussos_2024.childhood.GABA/rs13083917_count_position.png",4,220,900)</f>
        <v/>
      </c>
      <c r="T2481">
        <f>IMAGE("https://mitra.stanford.edu/kundaje/oak/projects/neuro-variants/variant_position/credible/roussos_2024/variant_figures/roussos_2024.childhood.GABA/rs13083917_profile_position.png",4,220,900)</f>
        <v/>
      </c>
    </row>
    <row r="2482">
      <c r="A2482" t="inlineStr">
        <is>
          <t>chr3</t>
        </is>
      </c>
      <c r="B2482" t="n">
        <v>17678612</v>
      </c>
      <c r="C2482" t="inlineStr">
        <is>
          <t>C</t>
        </is>
      </c>
      <c r="D2482" t="inlineStr">
        <is>
          <t>A</t>
        </is>
      </c>
      <c r="E2482" t="inlineStr">
        <is>
          <t>rs4909009</t>
        </is>
      </c>
      <c r="F2482" t="n">
        <v>-0.00444158448</v>
      </c>
      <c r="G2482" t="n">
        <v>0.3249132966103275</v>
      </c>
      <c r="H2482" t="n">
        <v>0.0119963874529169</v>
      </c>
      <c r="I2482" t="n">
        <v>0.4403916969593893</v>
      </c>
      <c r="J2482" t="n">
        <v>0.016671902159117</v>
      </c>
      <c r="K2482" t="n">
        <v>0.6828194378610701</v>
      </c>
      <c r="L2482" t="b">
        <v>0</v>
      </c>
      <c r="M2482" t="b">
        <v>0</v>
      </c>
      <c r="N2482" t="inlineStr">
        <is>
          <t>ref</t>
        </is>
      </c>
      <c r="O2482" t="n">
        <v>0</v>
      </c>
      <c r="P2482" t="n">
        <v>0</v>
      </c>
      <c r="Q2482" t="n">
        <v>10</v>
      </c>
      <c r="R2482" t="n">
        <v>0.01245</v>
      </c>
      <c r="S2482">
        <f>IMAGE("https://mitra.stanford.edu/kundaje/oak/projects/neuro-variants/variant_position/credible/roussos_2024/variant_figures/roussos_2024.childhood.GABA/rs4909009_count_position.png",4,220,900)</f>
        <v/>
      </c>
      <c r="T2482">
        <f>IMAGE("https://mitra.stanford.edu/kundaje/oak/projects/neuro-variants/variant_position/credible/roussos_2024/variant_figures/roussos_2024.childhood.GABA/rs4909009_profile_position.png",4,220,900)</f>
        <v/>
      </c>
    </row>
    <row r="2483">
      <c r="A2483" t="inlineStr">
        <is>
          <t>chr3</t>
        </is>
      </c>
      <c r="B2483" t="n">
        <v>17693826</v>
      </c>
      <c r="C2483" t="inlineStr">
        <is>
          <t>A</t>
        </is>
      </c>
      <c r="D2483" t="inlineStr">
        <is>
          <t>G</t>
        </is>
      </c>
      <c r="E2483" t="inlineStr">
        <is>
          <t>rs6797952</t>
        </is>
      </c>
      <c r="F2483" t="n">
        <v>0.0577022588</v>
      </c>
      <c r="G2483" t="n">
        <v>0.0883370922726851</v>
      </c>
      <c r="H2483" t="n">
        <v>0.035253443647168</v>
      </c>
      <c r="I2483" t="n">
        <v>0.0077567791762198</v>
      </c>
      <c r="J2483" t="n">
        <v>0.528754371636196</v>
      </c>
      <c r="K2483" t="n">
        <v>0.0442978257640533</v>
      </c>
      <c r="L2483" t="b">
        <v>1</v>
      </c>
      <c r="M2483" t="b">
        <v>1</v>
      </c>
      <c r="N2483" t="inlineStr">
        <is>
          <t>alt</t>
        </is>
      </c>
      <c r="O2483" t="n">
        <v>-100</v>
      </c>
      <c r="P2483" t="n">
        <v>0.01388</v>
      </c>
      <c r="Q2483" t="n">
        <v>-100</v>
      </c>
      <c r="R2483" t="n">
        <v>0.18</v>
      </c>
      <c r="S2483">
        <f>IMAGE("https://mitra.stanford.edu/kundaje/oak/projects/neuro-variants/variant_position/credible/roussos_2024/variant_figures/roussos_2024.childhood.GABA/rs6797952_count_position.png",4,220,900)</f>
        <v/>
      </c>
      <c r="T2483">
        <f>IMAGE("https://mitra.stanford.edu/kundaje/oak/projects/neuro-variants/variant_position/credible/roussos_2024/variant_figures/roussos_2024.childhood.GABA/rs6797952_profile_position.png",4,220,900)</f>
        <v/>
      </c>
    </row>
    <row r="2484">
      <c r="A2484" t="inlineStr">
        <is>
          <t>chr3</t>
        </is>
      </c>
      <c r="B2484" t="n">
        <v>17699917</v>
      </c>
      <c r="C2484" t="inlineStr">
        <is>
          <t>C</t>
        </is>
      </c>
      <c r="D2484" t="inlineStr">
        <is>
          <t>G</t>
        </is>
      </c>
      <c r="E2484" t="inlineStr">
        <is>
          <t>rs35642812</t>
        </is>
      </c>
      <c r="F2484" t="n">
        <v>0.0236566474</v>
      </c>
      <c r="G2484" t="n">
        <v>0.3598796782262538</v>
      </c>
      <c r="H2484" t="n">
        <v>0.0115444244047025</v>
      </c>
      <c r="I2484" t="n">
        <v>0.4797644356686598</v>
      </c>
      <c r="J2484" t="n">
        <v>0.0032899834558438</v>
      </c>
      <c r="K2484" t="n">
        <v>0.8498967905530584</v>
      </c>
      <c r="L2484" t="b">
        <v>0</v>
      </c>
      <c r="M2484" t="b">
        <v>0</v>
      </c>
      <c r="N2484" t="inlineStr">
        <is>
          <t>alt</t>
        </is>
      </c>
      <c r="O2484" t="n">
        <v>30</v>
      </c>
      <c r="P2484" t="n">
        <v>0.00293</v>
      </c>
      <c r="Q2484" t="n">
        <v>-30</v>
      </c>
      <c r="R2484" t="n">
        <v>0.0293</v>
      </c>
      <c r="S2484">
        <f>IMAGE("https://mitra.stanford.edu/kundaje/oak/projects/neuro-variants/variant_position/credible/roussos_2024/variant_figures/roussos_2024.childhood.GABA/rs35642812_count_position.png",4,220,900)</f>
        <v/>
      </c>
      <c r="T2484">
        <f>IMAGE("https://mitra.stanford.edu/kundaje/oak/projects/neuro-variants/variant_position/credible/roussos_2024/variant_figures/roussos_2024.childhood.GABA/rs35642812_profile_position.png",4,220,900)</f>
        <v/>
      </c>
    </row>
    <row r="2485">
      <c r="A2485" t="inlineStr">
        <is>
          <t>chr3</t>
        </is>
      </c>
      <c r="B2485" t="n">
        <v>17712309</v>
      </c>
      <c r="C2485" t="inlineStr">
        <is>
          <t>C</t>
        </is>
      </c>
      <c r="D2485" t="inlineStr">
        <is>
          <t>A</t>
        </is>
      </c>
      <c r="E2485" t="inlineStr">
        <is>
          <t>rs6810235</t>
        </is>
      </c>
      <c r="F2485" t="n">
        <v>0.014027074666</v>
      </c>
      <c r="G2485" t="n">
        <v>0.5241588073325213</v>
      </c>
      <c r="H2485" t="n">
        <v>0.0089379723429966</v>
      </c>
      <c r="I2485" t="n">
        <v>0.7457904912499197</v>
      </c>
      <c r="J2485" t="n">
        <v>0.048566522167075</v>
      </c>
      <c r="K2485" t="n">
        <v>0.4995361357228268</v>
      </c>
      <c r="L2485" t="b">
        <v>0</v>
      </c>
      <c r="M2485" t="b">
        <v>0</v>
      </c>
      <c r="N2485" t="inlineStr">
        <is>
          <t>alt</t>
        </is>
      </c>
      <c r="O2485" t="n">
        <v>-85</v>
      </c>
      <c r="P2485" t="n">
        <v>0.009849999999999999</v>
      </c>
      <c r="Q2485" t="n">
        <v>-90</v>
      </c>
      <c r="R2485" t="n">
        <v>0.1709</v>
      </c>
      <c r="S2485">
        <f>IMAGE("https://mitra.stanford.edu/kundaje/oak/projects/neuro-variants/variant_position/credible/roussos_2024/variant_figures/roussos_2024.childhood.GABA/rs6810235_count_position.png",4,220,900)</f>
        <v/>
      </c>
      <c r="T2485">
        <f>IMAGE("https://mitra.stanford.edu/kundaje/oak/projects/neuro-variants/variant_position/credible/roussos_2024/variant_figures/roussos_2024.childhood.GABA/rs6810235_profile_position.png",4,220,900)</f>
        <v/>
      </c>
    </row>
    <row r="2486">
      <c r="A2486" t="inlineStr">
        <is>
          <t>chr3</t>
        </is>
      </c>
      <c r="B2486" t="n">
        <v>17716436</v>
      </c>
      <c r="C2486" t="inlineStr">
        <is>
          <t>G</t>
        </is>
      </c>
      <c r="D2486" t="inlineStr">
        <is>
          <t>C</t>
        </is>
      </c>
      <c r="E2486" t="inlineStr">
        <is>
          <t>rs13071934</t>
        </is>
      </c>
      <c r="F2486" t="n">
        <v>-0.246717482</v>
      </c>
      <c r="G2486" t="n">
        <v>0.0025834946025893</v>
      </c>
      <c r="H2486" t="n">
        <v>0.0350460009253302</v>
      </c>
      <c r="I2486" t="n">
        <v>0.0072560305818015</v>
      </c>
      <c r="J2486" t="n">
        <v>0.0413897091160394</v>
      </c>
      <c r="K2486" t="n">
        <v>0.5243962413340006</v>
      </c>
      <c r="L2486" t="b">
        <v>1</v>
      </c>
      <c r="M2486" t="b">
        <v>1</v>
      </c>
      <c r="N2486" t="inlineStr">
        <is>
          <t>ref</t>
        </is>
      </c>
      <c r="O2486" t="n">
        <v>-100</v>
      </c>
      <c r="P2486" t="n">
        <v>0.004364</v>
      </c>
      <c r="Q2486" t="n">
        <v>-30</v>
      </c>
      <c r="R2486" t="n">
        <v>0.01514</v>
      </c>
      <c r="S2486">
        <f>IMAGE("https://mitra.stanford.edu/kundaje/oak/projects/neuro-variants/variant_position/credible/roussos_2024/variant_figures/roussos_2024.childhood.GABA/rs13071934_count_position.png",4,220,900)</f>
        <v/>
      </c>
      <c r="T2486">
        <f>IMAGE("https://mitra.stanford.edu/kundaje/oak/projects/neuro-variants/variant_position/credible/roussos_2024/variant_figures/roussos_2024.childhood.GABA/rs13071934_profile_position.png",4,220,900)</f>
        <v/>
      </c>
    </row>
    <row r="2487">
      <c r="A2487" t="inlineStr">
        <is>
          <t>chr3</t>
        </is>
      </c>
      <c r="B2487" t="n">
        <v>17735631</v>
      </c>
      <c r="C2487" t="inlineStr">
        <is>
          <t>A</t>
        </is>
      </c>
      <c r="D2487" t="inlineStr">
        <is>
          <t>G</t>
        </is>
      </c>
      <c r="E2487" t="inlineStr">
        <is>
          <t>rs9880456</t>
        </is>
      </c>
      <c r="F2487" t="n">
        <v>0.0421701853999999</v>
      </c>
      <c r="G2487" t="n">
        <v>0.1878821392407586</v>
      </c>
      <c r="H2487" t="n">
        <v>0.0096819791174082</v>
      </c>
      <c r="I2487" t="n">
        <v>0.6797472978330308</v>
      </c>
      <c r="J2487" t="n">
        <v>0.1246099558124436</v>
      </c>
      <c r="K2487" t="n">
        <v>0.3196260286724825</v>
      </c>
      <c r="L2487" t="b">
        <v>0</v>
      </c>
      <c r="M2487" t="b">
        <v>0</v>
      </c>
      <c r="N2487" t="inlineStr">
        <is>
          <t>alt</t>
        </is>
      </c>
      <c r="O2487" t="n">
        <v>-95</v>
      </c>
      <c r="P2487" t="n">
        <v>0.00443</v>
      </c>
      <c r="Q2487" t="n">
        <v>85</v>
      </c>
      <c r="R2487" t="n">
        <v>0.0941</v>
      </c>
      <c r="S2487">
        <f>IMAGE("https://mitra.stanford.edu/kundaje/oak/projects/neuro-variants/variant_position/credible/roussos_2024/variant_figures/roussos_2024.childhood.GABA/rs9880456_count_position.png",4,220,900)</f>
        <v/>
      </c>
      <c r="T2487">
        <f>IMAGE("https://mitra.stanford.edu/kundaje/oak/projects/neuro-variants/variant_position/credible/roussos_2024/variant_figures/roussos_2024.childhood.GABA/rs9880456_profile_position.png",4,220,900)</f>
        <v/>
      </c>
    </row>
    <row r="2488">
      <c r="A2488" t="inlineStr">
        <is>
          <t>chr3</t>
        </is>
      </c>
      <c r="B2488" t="n">
        <v>17757432</v>
      </c>
      <c r="C2488" t="inlineStr">
        <is>
          <t>A</t>
        </is>
      </c>
      <c r="D2488" t="inlineStr">
        <is>
          <t>G</t>
        </is>
      </c>
      <c r="E2488" t="inlineStr">
        <is>
          <t>rs4566568</t>
        </is>
      </c>
      <c r="F2488" t="n">
        <v>0.0310118658</v>
      </c>
      <c r="G2488" t="n">
        <v>0.2763157362733776</v>
      </c>
      <c r="H2488" t="n">
        <v>0.0135026094643832</v>
      </c>
      <c r="I2488" t="n">
        <v>0.3183902009388802</v>
      </c>
      <c r="J2488" t="n">
        <v>0.0137096605306694</v>
      </c>
      <c r="K2488" t="n">
        <v>0.7063040299292979</v>
      </c>
      <c r="L2488" t="b">
        <v>0</v>
      </c>
      <c r="M2488" t="b">
        <v>0</v>
      </c>
      <c r="N2488" t="inlineStr">
        <is>
          <t>alt</t>
        </is>
      </c>
      <c r="O2488" t="n">
        <v>-40</v>
      </c>
      <c r="P2488" t="n">
        <v>0.002956</v>
      </c>
      <c r="Q2488" t="n">
        <v>50</v>
      </c>
      <c r="R2488" t="n">
        <v>0.01587</v>
      </c>
      <c r="S2488">
        <f>IMAGE("https://mitra.stanford.edu/kundaje/oak/projects/neuro-variants/variant_position/credible/roussos_2024/variant_figures/roussos_2024.childhood.GABA/rs4566568_count_position.png",4,220,900)</f>
        <v/>
      </c>
      <c r="T2488">
        <f>IMAGE("https://mitra.stanford.edu/kundaje/oak/projects/neuro-variants/variant_position/credible/roussos_2024/variant_figures/roussos_2024.childhood.GABA/rs4566568_profile_position.png",4,220,900)</f>
        <v/>
      </c>
    </row>
    <row r="2489">
      <c r="A2489" t="inlineStr">
        <is>
          <t>chr3</t>
        </is>
      </c>
      <c r="B2489" t="n">
        <v>17762972</v>
      </c>
      <c r="C2489" t="inlineStr">
        <is>
          <t>A</t>
        </is>
      </c>
      <c r="D2489" t="inlineStr">
        <is>
          <t>G</t>
        </is>
      </c>
      <c r="E2489" t="inlineStr">
        <is>
          <t>rs7609916</t>
        </is>
      </c>
      <c r="F2489" t="n">
        <v>0.0538009716</v>
      </c>
      <c r="G2489" t="n">
        <v>0.1239632865405911</v>
      </c>
      <c r="H2489" t="n">
        <v>0.0119131796901604</v>
      </c>
      <c r="I2489" t="n">
        <v>0.4319037313424438</v>
      </c>
      <c r="J2489" t="n">
        <v>0.0480963749450273</v>
      </c>
      <c r="K2489" t="n">
        <v>0.5042265064953846</v>
      </c>
      <c r="L2489" t="b">
        <v>0</v>
      </c>
      <c r="M2489" t="b">
        <v>0</v>
      </c>
      <c r="N2489" t="inlineStr">
        <is>
          <t>alt</t>
        </is>
      </c>
      <c r="O2489" t="n">
        <v>-85</v>
      </c>
      <c r="P2489" t="n">
        <v>0.002296</v>
      </c>
      <c r="Q2489" t="n">
        <v>35</v>
      </c>
      <c r="R2489" t="n">
        <v>0.01497</v>
      </c>
      <c r="S2489">
        <f>IMAGE("https://mitra.stanford.edu/kundaje/oak/projects/neuro-variants/variant_position/credible/roussos_2024/variant_figures/roussos_2024.childhood.GABA/rs7609916_count_position.png",4,220,900)</f>
        <v/>
      </c>
      <c r="T2489">
        <f>IMAGE("https://mitra.stanford.edu/kundaje/oak/projects/neuro-variants/variant_position/credible/roussos_2024/variant_figures/roussos_2024.childhood.GABA/rs7609916_profile_position.png",4,220,900)</f>
        <v/>
      </c>
    </row>
    <row r="2490">
      <c r="A2490" t="inlineStr">
        <is>
          <t>chr3</t>
        </is>
      </c>
      <c r="B2490" t="n">
        <v>17780701</v>
      </c>
      <c r="C2490" t="inlineStr">
        <is>
          <t>A</t>
        </is>
      </c>
      <c r="D2490" t="inlineStr">
        <is>
          <t>C</t>
        </is>
      </c>
      <c r="E2490" t="inlineStr">
        <is>
          <t>rs11709790</t>
        </is>
      </c>
      <c r="F2490" t="n">
        <v>0.0365179972</v>
      </c>
      <c r="G2490" t="n">
        <v>0.2263778115505821</v>
      </c>
      <c r="H2490" t="n">
        <v>0.0143319067423801</v>
      </c>
      <c r="I2490" t="n">
        <v>0.2644404033677411</v>
      </c>
      <c r="J2490" t="n">
        <v>0.0247879625557579</v>
      </c>
      <c r="K2490" t="n">
        <v>0.6412538932163383</v>
      </c>
      <c r="L2490" t="b">
        <v>0</v>
      </c>
      <c r="M2490" t="b">
        <v>0</v>
      </c>
      <c r="N2490" t="inlineStr">
        <is>
          <t>alt</t>
        </is>
      </c>
      <c r="O2490" t="n">
        <v>10</v>
      </c>
      <c r="P2490" t="n">
        <v>0.000681</v>
      </c>
      <c r="Q2490" t="n">
        <v>-95</v>
      </c>
      <c r="R2490" t="n">
        <v>0.05908</v>
      </c>
      <c r="S2490">
        <f>IMAGE("https://mitra.stanford.edu/kundaje/oak/projects/neuro-variants/variant_position/credible/roussos_2024/variant_figures/roussos_2024.childhood.GABA/rs11709790_count_position.png",4,220,900)</f>
        <v/>
      </c>
      <c r="T2490">
        <f>IMAGE("https://mitra.stanford.edu/kundaje/oak/projects/neuro-variants/variant_position/credible/roussos_2024/variant_figures/roussos_2024.childhood.GABA/rs11709790_profile_position.png",4,220,900)</f>
        <v/>
      </c>
    </row>
    <row r="2491">
      <c r="A2491" t="inlineStr">
        <is>
          <t>chr3</t>
        </is>
      </c>
      <c r="B2491" t="n">
        <v>17782174</v>
      </c>
      <c r="C2491" t="inlineStr">
        <is>
          <t>A</t>
        </is>
      </c>
      <c r="D2491" t="inlineStr">
        <is>
          <t>G</t>
        </is>
      </c>
      <c r="E2491" t="inlineStr">
        <is>
          <t>rs4616675</t>
        </is>
      </c>
      <c r="F2491" t="n">
        <v>0.0703385524</v>
      </c>
      <c r="G2491" t="n">
        <v>0.0664569310661446</v>
      </c>
      <c r="H2491" t="n">
        <v>0.0120503135008124</v>
      </c>
      <c r="I2491" t="n">
        <v>0.4270832305220677</v>
      </c>
      <c r="J2491" t="n">
        <v>0.1906902473246633</v>
      </c>
      <c r="K2491" t="n">
        <v>0.234197053247461</v>
      </c>
      <c r="L2491" t="b">
        <v>0</v>
      </c>
      <c r="M2491" t="b">
        <v>0</v>
      </c>
      <c r="N2491" t="inlineStr">
        <is>
          <t>alt</t>
        </is>
      </c>
      <c r="O2491" t="n">
        <v>-40</v>
      </c>
      <c r="P2491" t="n">
        <v>0.00222</v>
      </c>
      <c r="Q2491" t="n">
        <v>100</v>
      </c>
      <c r="R2491" t="n">
        <v>0.0822</v>
      </c>
      <c r="S2491">
        <f>IMAGE("https://mitra.stanford.edu/kundaje/oak/projects/neuro-variants/variant_position/credible/roussos_2024/variant_figures/roussos_2024.childhood.GABA/rs4616675_count_position.png",4,220,900)</f>
        <v/>
      </c>
      <c r="T2491">
        <f>IMAGE("https://mitra.stanford.edu/kundaje/oak/projects/neuro-variants/variant_position/credible/roussos_2024/variant_figures/roussos_2024.childhood.GABA/rs4616675_profile_position.png",4,220,900)</f>
        <v/>
      </c>
    </row>
    <row r="2492">
      <c r="A2492" t="inlineStr">
        <is>
          <t>chr3</t>
        </is>
      </c>
      <c r="B2492" t="n">
        <v>17803260</v>
      </c>
      <c r="C2492" t="inlineStr">
        <is>
          <t>C</t>
        </is>
      </c>
      <c r="D2492" t="inlineStr">
        <is>
          <t>T</t>
        </is>
      </c>
      <c r="E2492" t="inlineStr">
        <is>
          <t>rs17200916</t>
        </is>
      </c>
      <c r="F2492" t="n">
        <v>-0.0663888364</v>
      </c>
      <c r="G2492" t="n">
        <v>0.0787973255092469</v>
      </c>
      <c r="H2492" t="n">
        <v>0.0096189847141116</v>
      </c>
      <c r="I2492" t="n">
        <v>0.6565452684404967</v>
      </c>
      <c r="J2492" t="n">
        <v>0.083965780821344</v>
      </c>
      <c r="K2492" t="n">
        <v>0.40383836836367</v>
      </c>
      <c r="L2492" t="b">
        <v>0</v>
      </c>
      <c r="M2492" t="b">
        <v>0</v>
      </c>
      <c r="N2492" t="inlineStr">
        <is>
          <t>ref</t>
        </is>
      </c>
      <c r="O2492" t="n">
        <v>-90</v>
      </c>
      <c r="P2492" t="n">
        <v>0.001708</v>
      </c>
      <c r="Q2492" t="n">
        <v>100</v>
      </c>
      <c r="R2492" t="n">
        <v>0.09247</v>
      </c>
      <c r="S2492">
        <f>IMAGE("https://mitra.stanford.edu/kundaje/oak/projects/neuro-variants/variant_position/credible/roussos_2024/variant_figures/roussos_2024.childhood.GABA/rs17200916_count_position.png",4,220,900)</f>
        <v/>
      </c>
      <c r="T2492">
        <f>IMAGE("https://mitra.stanford.edu/kundaje/oak/projects/neuro-variants/variant_position/credible/roussos_2024/variant_figures/roussos_2024.childhood.GABA/rs17200916_profile_position.png",4,220,900)</f>
        <v/>
      </c>
    </row>
    <row r="2493">
      <c r="A2493" t="inlineStr">
        <is>
          <t>chr3</t>
        </is>
      </c>
      <c r="B2493" t="n">
        <v>17811044</v>
      </c>
      <c r="C2493" t="inlineStr">
        <is>
          <t>G</t>
        </is>
      </c>
      <c r="D2493" t="inlineStr">
        <is>
          <t>T</t>
        </is>
      </c>
      <c r="E2493" t="inlineStr">
        <is>
          <t>rs11128871</t>
        </is>
      </c>
      <c r="F2493" t="n">
        <v>-0.0563732558</v>
      </c>
      <c r="G2493" t="n">
        <v>0.1452501105521841</v>
      </c>
      <c r="H2493" t="n">
        <v>0.0145802230083494</v>
      </c>
      <c r="I2493" t="n">
        <v>0.2500701816020627</v>
      </c>
      <c r="J2493" t="n">
        <v>0.0507895122615232</v>
      </c>
      <c r="K2493" t="n">
        <v>0.4971597427635036</v>
      </c>
      <c r="L2493" t="b">
        <v>0</v>
      </c>
      <c r="M2493" t="b">
        <v>0</v>
      </c>
      <c r="N2493" t="inlineStr">
        <is>
          <t>ref</t>
        </is>
      </c>
      <c r="O2493" t="n">
        <v>40</v>
      </c>
      <c r="P2493" t="n">
        <v>0.01413</v>
      </c>
      <c r="Q2493" t="n">
        <v>100</v>
      </c>
      <c r="R2493" t="n">
        <v>0.05798</v>
      </c>
      <c r="S2493">
        <f>IMAGE("https://mitra.stanford.edu/kundaje/oak/projects/neuro-variants/variant_position/credible/roussos_2024/variant_figures/roussos_2024.childhood.GABA/rs11128871_count_position.png",4,220,900)</f>
        <v/>
      </c>
      <c r="T2493">
        <f>IMAGE("https://mitra.stanford.edu/kundaje/oak/projects/neuro-variants/variant_position/credible/roussos_2024/variant_figures/roussos_2024.childhood.GABA/rs11128871_profile_position.png",4,220,900)</f>
        <v/>
      </c>
    </row>
    <row r="2494">
      <c r="A2494" t="inlineStr">
        <is>
          <t>chr3</t>
        </is>
      </c>
      <c r="B2494" t="n">
        <v>17811429</v>
      </c>
      <c r="C2494" t="inlineStr">
        <is>
          <t>G</t>
        </is>
      </c>
      <c r="D2494" t="inlineStr">
        <is>
          <t>A</t>
        </is>
      </c>
      <c r="E2494" t="inlineStr">
        <is>
          <t>rs12495352</t>
        </is>
      </c>
      <c r="F2494" t="n">
        <v>-0.0122239453</v>
      </c>
      <c r="G2494" t="n">
        <v>0.5721839928942142</v>
      </c>
      <c r="H2494" t="n">
        <v>0.0074092868913118</v>
      </c>
      <c r="I2494" t="n">
        <v>0.9056072787398682</v>
      </c>
      <c r="J2494" t="n">
        <v>0.0323480136541642</v>
      </c>
      <c r="K2494" t="n">
        <v>0.5776956403326468</v>
      </c>
      <c r="L2494" t="b">
        <v>0</v>
      </c>
      <c r="M2494" t="b">
        <v>0</v>
      </c>
      <c r="N2494" t="inlineStr">
        <is>
          <t>ref</t>
        </is>
      </c>
      <c r="O2494" t="n">
        <v>55</v>
      </c>
      <c r="P2494" t="n">
        <v>0.001524</v>
      </c>
      <c r="Q2494" t="n">
        <v>-55</v>
      </c>
      <c r="R2494" t="n">
        <v>0.06604</v>
      </c>
      <c r="S2494">
        <f>IMAGE("https://mitra.stanford.edu/kundaje/oak/projects/neuro-variants/variant_position/credible/roussos_2024/variant_figures/roussos_2024.childhood.GABA/rs12495352_count_position.png",4,220,900)</f>
        <v/>
      </c>
      <c r="T2494">
        <f>IMAGE("https://mitra.stanford.edu/kundaje/oak/projects/neuro-variants/variant_position/credible/roussos_2024/variant_figures/roussos_2024.childhood.GABA/rs12495352_profile_position.png",4,220,900)</f>
        <v/>
      </c>
    </row>
    <row r="2495">
      <c r="A2495" t="inlineStr">
        <is>
          <t>chr3</t>
        </is>
      </c>
      <c r="B2495" t="n">
        <v>17815368</v>
      </c>
      <c r="C2495" t="inlineStr">
        <is>
          <t>G</t>
        </is>
      </c>
      <c r="D2495" t="inlineStr">
        <is>
          <t>A</t>
        </is>
      </c>
      <c r="E2495" t="inlineStr">
        <is>
          <t>rs6771673</t>
        </is>
      </c>
      <c r="F2495" t="n">
        <v>0.0179289945999999</v>
      </c>
      <c r="G2495" t="n">
        <v>0.4506555693210848</v>
      </c>
      <c r="H2495" t="n">
        <v>0.0203454151657285</v>
      </c>
      <c r="I2495" t="n">
        <v>0.0692493096064024</v>
      </c>
      <c r="J2495" t="n">
        <v>0.0980859039601264</v>
      </c>
      <c r="K2495" t="n">
        <v>0.3756440712862834</v>
      </c>
      <c r="L2495" t="b">
        <v>0</v>
      </c>
      <c r="M2495" t="b">
        <v>0</v>
      </c>
      <c r="N2495" t="inlineStr">
        <is>
          <t>alt</t>
        </is>
      </c>
      <c r="O2495" t="n">
        <v>-15</v>
      </c>
      <c r="P2495" t="n">
        <v>0.000885</v>
      </c>
      <c r="Q2495" t="n">
        <v>-100</v>
      </c>
      <c r="R2495" t="n">
        <v>0.07263</v>
      </c>
      <c r="S2495">
        <f>IMAGE("https://mitra.stanford.edu/kundaje/oak/projects/neuro-variants/variant_position/credible/roussos_2024/variant_figures/roussos_2024.childhood.GABA/rs6771673_count_position.png",4,220,900)</f>
        <v/>
      </c>
      <c r="T2495">
        <f>IMAGE("https://mitra.stanford.edu/kundaje/oak/projects/neuro-variants/variant_position/credible/roussos_2024/variant_figures/roussos_2024.childhood.GABA/rs6771673_profile_position.png",4,220,900)</f>
        <v/>
      </c>
    </row>
    <row r="2496">
      <c r="A2496" t="inlineStr">
        <is>
          <t>chr3</t>
        </is>
      </c>
      <c r="B2496" t="n">
        <v>17815640</v>
      </c>
      <c r="C2496" t="inlineStr">
        <is>
          <t>T</t>
        </is>
      </c>
      <c r="D2496" t="inlineStr">
        <is>
          <t>A</t>
        </is>
      </c>
      <c r="E2496" t="inlineStr">
        <is>
          <t>rs4908979</t>
        </is>
      </c>
      <c r="F2496" t="n">
        <v>-0.0624293916</v>
      </c>
      <c r="G2496" t="n">
        <v>0.09993432360744491</v>
      </c>
      <c r="H2496" t="n">
        <v>0.0206351048376751</v>
      </c>
      <c r="I2496" t="n">
        <v>0.06766615817218299</v>
      </c>
      <c r="J2496" t="n">
        <v>0.110861552637641</v>
      </c>
      <c r="K2496" t="n">
        <v>0.3497246658636574</v>
      </c>
      <c r="L2496" t="b">
        <v>0</v>
      </c>
      <c r="M2496" t="b">
        <v>0</v>
      </c>
      <c r="N2496" t="inlineStr">
        <is>
          <t>ref</t>
        </is>
      </c>
      <c r="O2496" t="n">
        <v>100</v>
      </c>
      <c r="P2496" t="n">
        <v>0.0469</v>
      </c>
      <c r="Q2496" t="n">
        <v>-60</v>
      </c>
      <c r="R2496" t="n">
        <v>0.03757</v>
      </c>
      <c r="S2496">
        <f>IMAGE("https://mitra.stanford.edu/kundaje/oak/projects/neuro-variants/variant_position/credible/roussos_2024/variant_figures/roussos_2024.childhood.GABA/rs4908979_count_position.png",4,220,900)</f>
        <v/>
      </c>
      <c r="T2496">
        <f>IMAGE("https://mitra.stanford.edu/kundaje/oak/projects/neuro-variants/variant_position/credible/roussos_2024/variant_figures/roussos_2024.childhood.GABA/rs4908979_profile_position.png",4,220,900)</f>
        <v/>
      </c>
    </row>
    <row r="2497">
      <c r="A2497" t="inlineStr">
        <is>
          <t>chr3</t>
        </is>
      </c>
      <c r="B2497" t="n">
        <v>17816952</v>
      </c>
      <c r="C2497" t="inlineStr">
        <is>
          <t>T</t>
        </is>
      </c>
      <c r="D2497" t="inlineStr">
        <is>
          <t>C</t>
        </is>
      </c>
      <c r="E2497" t="inlineStr">
        <is>
          <t>rs2033373</t>
        </is>
      </c>
      <c r="F2497" t="n">
        <v>0.087654549</v>
      </c>
      <c r="G2497" t="n">
        <v>0.0383983997474443</v>
      </c>
      <c r="H2497" t="n">
        <v>0.0192529215916791</v>
      </c>
      <c r="I2497" t="n">
        <v>0.09222066719962339</v>
      </c>
      <c r="J2497" t="n">
        <v>0.1848819920001675</v>
      </c>
      <c r="K2497" t="n">
        <v>0.2491702184625991</v>
      </c>
      <c r="L2497" t="b">
        <v>0</v>
      </c>
      <c r="M2497" t="b">
        <v>0</v>
      </c>
      <c r="N2497" t="inlineStr">
        <is>
          <t>alt</t>
        </is>
      </c>
      <c r="O2497" t="n">
        <v>40</v>
      </c>
      <c r="P2497" t="n">
        <v>0.001681</v>
      </c>
      <c r="Q2497" t="n">
        <v>-70</v>
      </c>
      <c r="R2497" t="n">
        <v>0.05508</v>
      </c>
      <c r="S2497">
        <f>IMAGE("https://mitra.stanford.edu/kundaje/oak/projects/neuro-variants/variant_position/credible/roussos_2024/variant_figures/roussos_2024.childhood.GABA/rs2033373_count_position.png",4,220,900)</f>
        <v/>
      </c>
      <c r="T2497">
        <f>IMAGE("https://mitra.stanford.edu/kundaje/oak/projects/neuro-variants/variant_position/credible/roussos_2024/variant_figures/roussos_2024.childhood.GABA/rs2033373_profile_position.png",4,220,900)</f>
        <v/>
      </c>
    </row>
    <row r="2498">
      <c r="A2498" t="inlineStr">
        <is>
          <t>chr3</t>
        </is>
      </c>
      <c r="B2498" t="n">
        <v>18869767</v>
      </c>
      <c r="C2498" t="inlineStr">
        <is>
          <t>C</t>
        </is>
      </c>
      <c r="D2498" t="inlineStr">
        <is>
          <t>T</t>
        </is>
      </c>
      <c r="E2498" t="inlineStr">
        <is>
          <t>rs7638304</t>
        </is>
      </c>
      <c r="F2498" t="n">
        <v>-0.01383220728</v>
      </c>
      <c r="G2498" t="n">
        <v>0.4958507620059579</v>
      </c>
      <c r="H2498" t="n">
        <v>0.0131258636110957</v>
      </c>
      <c r="I2498" t="n">
        <v>0.3425059241777886</v>
      </c>
      <c r="J2498" t="n">
        <v>0.0169200645012669</v>
      </c>
      <c r="K2498" t="n">
        <v>0.6736804971353895</v>
      </c>
      <c r="L2498" t="b">
        <v>0</v>
      </c>
      <c r="M2498" t="b">
        <v>0</v>
      </c>
      <c r="N2498" t="inlineStr">
        <is>
          <t>ref</t>
        </is>
      </c>
      <c r="O2498" t="n">
        <v>25</v>
      </c>
      <c r="P2498" t="n">
        <v>0.002022</v>
      </c>
      <c r="Q2498" t="n">
        <v>-65</v>
      </c>
      <c r="R2498" t="n">
        <v>0.10693</v>
      </c>
      <c r="S2498">
        <f>IMAGE("https://mitra.stanford.edu/kundaje/oak/projects/neuro-variants/variant_position/credible/roussos_2024/variant_figures/roussos_2024.childhood.GABA/rs7638304_count_position.png",4,220,900)</f>
        <v/>
      </c>
      <c r="T2498">
        <f>IMAGE("https://mitra.stanford.edu/kundaje/oak/projects/neuro-variants/variant_position/credible/roussos_2024/variant_figures/roussos_2024.childhood.GABA/rs7638304_profile_position.png",4,220,900)</f>
        <v/>
      </c>
    </row>
    <row r="2499">
      <c r="A2499" t="inlineStr">
        <is>
          <t>chr3</t>
        </is>
      </c>
      <c r="B2499" t="n">
        <v>24451001</v>
      </c>
      <c r="C2499" t="inlineStr">
        <is>
          <t>A</t>
        </is>
      </c>
      <c r="D2499" t="inlineStr">
        <is>
          <t>G</t>
        </is>
      </c>
      <c r="E2499" t="inlineStr">
        <is>
          <t>rs6781559</t>
        </is>
      </c>
      <c r="F2499" t="n">
        <v>0.00292827228</v>
      </c>
      <c r="G2499" t="n">
        <v>0.6685019882969255</v>
      </c>
      <c r="H2499" t="n">
        <v>0.0205631215212472</v>
      </c>
      <c r="I2499" t="n">
        <v>0.0667534700517685</v>
      </c>
      <c r="J2499" t="n">
        <v>0.043728927142887</v>
      </c>
      <c r="K2499" t="n">
        <v>0.5116280551283761</v>
      </c>
      <c r="L2499" t="b">
        <v>0</v>
      </c>
      <c r="M2499" t="b">
        <v>0</v>
      </c>
      <c r="N2499" t="inlineStr">
        <is>
          <t>alt</t>
        </is>
      </c>
      <c r="O2499" t="n">
        <v>75</v>
      </c>
      <c r="P2499" t="n">
        <v>0.01538</v>
      </c>
      <c r="Q2499" t="n">
        <v>-50</v>
      </c>
      <c r="R2499" t="n">
        <v>0.2275</v>
      </c>
      <c r="S2499">
        <f>IMAGE("https://mitra.stanford.edu/kundaje/oak/projects/neuro-variants/variant_position/credible/roussos_2024/variant_figures/roussos_2024.childhood.GABA/rs6781559_count_position.png",4,220,900)</f>
        <v/>
      </c>
      <c r="T2499">
        <f>IMAGE("https://mitra.stanford.edu/kundaje/oak/projects/neuro-variants/variant_position/credible/roussos_2024/variant_figures/roussos_2024.childhood.GABA/rs6781559_profile_position.png",4,220,900)</f>
        <v/>
      </c>
    </row>
    <row r="2500">
      <c r="A2500" t="inlineStr">
        <is>
          <t>chr3</t>
        </is>
      </c>
      <c r="B2500" t="n">
        <v>24458364</v>
      </c>
      <c r="C2500" t="inlineStr">
        <is>
          <t>G</t>
        </is>
      </c>
      <c r="D2500" t="inlineStr">
        <is>
          <t>C</t>
        </is>
      </c>
      <c r="E2500" t="inlineStr">
        <is>
          <t>rs58274299</t>
        </is>
      </c>
      <c r="F2500" t="n">
        <v>0.142812492</v>
      </c>
      <c r="G2500" t="n">
        <v>0.0109553766892046</v>
      </c>
      <c r="H2500" t="n">
        <v>0.0229472634019008</v>
      </c>
      <c r="I2500" t="n">
        <v>0.04366988589776</v>
      </c>
      <c r="J2500" t="n">
        <v>0.1337270423656048</v>
      </c>
      <c r="K2500" t="n">
        <v>0.2927603584562621</v>
      </c>
      <c r="L2500" t="b">
        <v>1</v>
      </c>
      <c r="M2500" t="b">
        <v>0</v>
      </c>
      <c r="N2500" t="inlineStr">
        <is>
          <t>alt</t>
        </is>
      </c>
      <c r="O2500" t="n">
        <v>-35</v>
      </c>
      <c r="P2500" t="n">
        <v>0.00119</v>
      </c>
      <c r="Q2500" t="n">
        <v>0</v>
      </c>
      <c r="R2500" t="n">
        <v>0</v>
      </c>
      <c r="S2500">
        <f>IMAGE("https://mitra.stanford.edu/kundaje/oak/projects/neuro-variants/variant_position/credible/roussos_2024/variant_figures/roussos_2024.childhood.GABA/rs58274299_count_position.png",4,220,900)</f>
        <v/>
      </c>
      <c r="T2500">
        <f>IMAGE("https://mitra.stanford.edu/kundaje/oak/projects/neuro-variants/variant_position/credible/roussos_2024/variant_figures/roussos_2024.childhood.GABA/rs58274299_profile_position.png",4,220,900)</f>
        <v/>
      </c>
    </row>
    <row r="2501">
      <c r="A2501" t="inlineStr">
        <is>
          <t>chr3</t>
        </is>
      </c>
      <c r="B2501" t="n">
        <v>24461494</v>
      </c>
      <c r="C2501" t="inlineStr">
        <is>
          <t>G</t>
        </is>
      </c>
      <c r="D2501" t="inlineStr">
        <is>
          <t>A</t>
        </is>
      </c>
      <c r="E2501" t="inlineStr">
        <is>
          <t>rs78158283</t>
        </is>
      </c>
      <c r="F2501" t="n">
        <v>-0.0470416126</v>
      </c>
      <c r="G2501" t="n">
        <v>0.1662661021294985</v>
      </c>
      <c r="H2501" t="n">
        <v>0.0141478830664049</v>
      </c>
      <c r="I2501" t="n">
        <v>0.2762511939123031</v>
      </c>
      <c r="J2501" t="n">
        <v>0.0211723314694979</v>
      </c>
      <c r="K2501" t="n">
        <v>0.6449971317775899</v>
      </c>
      <c r="L2501" t="b">
        <v>0</v>
      </c>
      <c r="M2501" t="b">
        <v>0</v>
      </c>
      <c r="N2501" t="inlineStr">
        <is>
          <t>ref</t>
        </is>
      </c>
      <c r="O2501" t="n">
        <v>70</v>
      </c>
      <c r="P2501" t="n">
        <v>0.00417</v>
      </c>
      <c r="Q2501" t="n">
        <v>-70</v>
      </c>
      <c r="R2501" t="n">
        <v>0.06604</v>
      </c>
      <c r="S2501">
        <f>IMAGE("https://mitra.stanford.edu/kundaje/oak/projects/neuro-variants/variant_position/credible/roussos_2024/variant_figures/roussos_2024.childhood.GABA/rs78158283_count_position.png",4,220,900)</f>
        <v/>
      </c>
      <c r="T2501">
        <f>IMAGE("https://mitra.stanford.edu/kundaje/oak/projects/neuro-variants/variant_position/credible/roussos_2024/variant_figures/roussos_2024.childhood.GABA/rs78158283_profile_position.png",4,220,900)</f>
        <v/>
      </c>
    </row>
    <row r="2502">
      <c r="A2502" t="inlineStr">
        <is>
          <t>chr3</t>
        </is>
      </c>
      <c r="B2502" t="n">
        <v>24472985</v>
      </c>
      <c r="C2502" t="inlineStr">
        <is>
          <t>G</t>
        </is>
      </c>
      <c r="D2502" t="inlineStr">
        <is>
          <t>A</t>
        </is>
      </c>
      <c r="E2502" t="inlineStr">
        <is>
          <t>rs77704657</t>
        </is>
      </c>
      <c r="F2502" t="n">
        <v>-0.1484589106</v>
      </c>
      <c r="G2502" t="n">
        <v>0.014071133314066</v>
      </c>
      <c r="H2502" t="n">
        <v>0.0312037914933291</v>
      </c>
      <c r="I2502" t="n">
        <v>0.0134544274271257</v>
      </c>
      <c r="J2502" t="n">
        <v>0.0059098238780339</v>
      </c>
      <c r="K2502" t="n">
        <v>0.8266208135640126</v>
      </c>
      <c r="L2502" t="b">
        <v>1</v>
      </c>
      <c r="M2502" t="b">
        <v>0</v>
      </c>
      <c r="N2502" t="inlineStr">
        <is>
          <t>ref</t>
        </is>
      </c>
      <c r="O2502" t="n">
        <v>35</v>
      </c>
      <c r="P2502" t="n">
        <v>0.00473</v>
      </c>
      <c r="Q2502" t="n">
        <v>-25</v>
      </c>
      <c r="R2502" t="n">
        <v>0.05084</v>
      </c>
      <c r="S2502">
        <f>IMAGE("https://mitra.stanford.edu/kundaje/oak/projects/neuro-variants/variant_position/credible/roussos_2024/variant_figures/roussos_2024.childhood.GABA/rs77704657_count_position.png",4,220,900)</f>
        <v/>
      </c>
      <c r="T2502">
        <f>IMAGE("https://mitra.stanford.edu/kundaje/oak/projects/neuro-variants/variant_position/credible/roussos_2024/variant_figures/roussos_2024.childhood.GABA/rs77704657_profile_position.png",4,220,900)</f>
        <v/>
      </c>
    </row>
    <row r="2503">
      <c r="A2503" t="inlineStr">
        <is>
          <t>chr3</t>
        </is>
      </c>
      <c r="B2503" t="n">
        <v>24515284</v>
      </c>
      <c r="C2503" t="inlineStr">
        <is>
          <t>G</t>
        </is>
      </c>
      <c r="D2503" t="inlineStr">
        <is>
          <t>C</t>
        </is>
      </c>
      <c r="E2503" t="inlineStr">
        <is>
          <t>rs2362188</t>
        </is>
      </c>
      <c r="F2503" t="n">
        <v>-0.00604869098</v>
      </c>
      <c r="G2503" t="n">
        <v>0.7636971683087875</v>
      </c>
      <c r="H2503" t="n">
        <v>0.0073618253523574</v>
      </c>
      <c r="I2503" t="n">
        <v>0.907971099986662</v>
      </c>
      <c r="J2503" t="n">
        <v>0.0009162111788234</v>
      </c>
      <c r="K2503" t="n">
        <v>0.9305734385278092</v>
      </c>
      <c r="L2503" t="b">
        <v>0</v>
      </c>
      <c r="M2503" t="b">
        <v>0</v>
      </c>
      <c r="N2503" t="inlineStr">
        <is>
          <t>ref</t>
        </is>
      </c>
      <c r="O2503" t="n">
        <v>50</v>
      </c>
      <c r="P2503" t="n">
        <v>0.00924</v>
      </c>
      <c r="Q2503" t="n">
        <v>-60</v>
      </c>
      <c r="R2503" t="n">
        <v>0.01828</v>
      </c>
      <c r="S2503">
        <f>IMAGE("https://mitra.stanford.edu/kundaje/oak/projects/neuro-variants/variant_position/credible/roussos_2024/variant_figures/roussos_2024.childhood.GABA/rs2362188_count_position.png",4,220,900)</f>
        <v/>
      </c>
      <c r="T2503">
        <f>IMAGE("https://mitra.stanford.edu/kundaje/oak/projects/neuro-variants/variant_position/credible/roussos_2024/variant_figures/roussos_2024.childhood.GABA/rs2362188_profile_position.png",4,220,900)</f>
        <v/>
      </c>
    </row>
    <row r="2504">
      <c r="A2504" t="inlineStr">
        <is>
          <t>chr3</t>
        </is>
      </c>
      <c r="B2504" t="n">
        <v>24583168</v>
      </c>
      <c r="C2504" t="inlineStr">
        <is>
          <t>C</t>
        </is>
      </c>
      <c r="D2504" t="inlineStr">
        <is>
          <t>A</t>
        </is>
      </c>
      <c r="E2504" t="inlineStr">
        <is>
          <t>rs79369190</t>
        </is>
      </c>
      <c r="F2504" t="n">
        <v>0.142449664</v>
      </c>
      <c r="G2504" t="n">
        <v>0.0168480650270047</v>
      </c>
      <c r="H2504" t="n">
        <v>0.0283134600808668</v>
      </c>
      <c r="I2504" t="n">
        <v>0.0195190918351062</v>
      </c>
      <c r="J2504" t="n">
        <v>0.3830987832715544</v>
      </c>
      <c r="K2504" t="n">
        <v>0.0927624941569079</v>
      </c>
      <c r="L2504" t="b">
        <v>1</v>
      </c>
      <c r="M2504" t="b">
        <v>0</v>
      </c>
      <c r="N2504" t="inlineStr">
        <is>
          <t>alt</t>
        </is>
      </c>
      <c r="O2504" t="n">
        <v>-25</v>
      </c>
      <c r="P2504" t="n">
        <v>0.00232</v>
      </c>
      <c r="Q2504" t="n">
        <v>100</v>
      </c>
      <c r="R2504" t="n">
        <v>0.10986</v>
      </c>
      <c r="S2504">
        <f>IMAGE("https://mitra.stanford.edu/kundaje/oak/projects/neuro-variants/variant_position/credible/roussos_2024/variant_figures/roussos_2024.childhood.GABA/rs79369190_count_position.png",4,220,900)</f>
        <v/>
      </c>
      <c r="T2504">
        <f>IMAGE("https://mitra.stanford.edu/kundaje/oak/projects/neuro-variants/variant_position/credible/roussos_2024/variant_figures/roussos_2024.childhood.GABA/rs79369190_profile_position.png",4,220,900)</f>
        <v/>
      </c>
    </row>
    <row r="2505">
      <c r="A2505" t="inlineStr">
        <is>
          <t>chr3</t>
        </is>
      </c>
      <c r="B2505" t="n">
        <v>29687101</v>
      </c>
      <c r="C2505" t="inlineStr">
        <is>
          <t>T</t>
        </is>
      </c>
      <c r="D2505" t="inlineStr">
        <is>
          <t>C</t>
        </is>
      </c>
      <c r="E2505" t="inlineStr">
        <is>
          <t>rs1440502</t>
        </is>
      </c>
      <c r="F2505" t="n">
        <v>0.01364586468</v>
      </c>
      <c r="G2505" t="n">
        <v>0.5219279265054318</v>
      </c>
      <c r="H2505" t="n">
        <v>0.0142439243635837</v>
      </c>
      <c r="I2505" t="n">
        <v>0.2695123812174503</v>
      </c>
      <c r="J2505" t="n">
        <v>0.0010387217021632</v>
      </c>
      <c r="K2505" t="n">
        <v>0.9134857436667512</v>
      </c>
      <c r="L2505" t="b">
        <v>0</v>
      </c>
      <c r="M2505" t="b">
        <v>0</v>
      </c>
      <c r="N2505" t="inlineStr">
        <is>
          <t>alt</t>
        </is>
      </c>
      <c r="O2505" t="n">
        <v>5</v>
      </c>
      <c r="P2505" t="n">
        <v>0.001345</v>
      </c>
      <c r="Q2505" t="n">
        <v>-95</v>
      </c>
      <c r="R2505" t="n">
        <v>0.0653</v>
      </c>
      <c r="S2505">
        <f>IMAGE("https://mitra.stanford.edu/kundaje/oak/projects/neuro-variants/variant_position/credible/roussos_2024/variant_figures/roussos_2024.childhood.GABA/rs1440502_count_position.png",4,220,900)</f>
        <v/>
      </c>
      <c r="T2505">
        <f>IMAGE("https://mitra.stanford.edu/kundaje/oak/projects/neuro-variants/variant_position/credible/roussos_2024/variant_figures/roussos_2024.childhood.GABA/rs1440502_profile_position.png",4,220,900)</f>
        <v/>
      </c>
    </row>
    <row r="2506">
      <c r="A2506" t="inlineStr">
        <is>
          <t>chr3</t>
        </is>
      </c>
      <c r="B2506" t="n">
        <v>29700840</v>
      </c>
      <c r="C2506" t="inlineStr">
        <is>
          <t>A</t>
        </is>
      </c>
      <c r="D2506" t="inlineStr">
        <is>
          <t>G</t>
        </is>
      </c>
      <c r="E2506" t="inlineStr">
        <is>
          <t>rs7634119</t>
        </is>
      </c>
      <c r="F2506" t="n">
        <v>0.0562849407999999</v>
      </c>
      <c r="G2506" t="n">
        <v>0.1049838748942073</v>
      </c>
      <c r="H2506" t="n">
        <v>0.0110477951361501</v>
      </c>
      <c r="I2506" t="n">
        <v>0.5147057837772387</v>
      </c>
      <c r="J2506" t="n">
        <v>0.210948461812318</v>
      </c>
      <c r="K2506" t="n">
        <v>0.20450138285506</v>
      </c>
      <c r="L2506" t="b">
        <v>0</v>
      </c>
      <c r="M2506" t="b">
        <v>0</v>
      </c>
      <c r="N2506" t="inlineStr">
        <is>
          <t>alt</t>
        </is>
      </c>
      <c r="O2506" t="n">
        <v>-100</v>
      </c>
      <c r="P2506" t="n">
        <v>0.02216</v>
      </c>
      <c r="Q2506" t="n">
        <v>-50</v>
      </c>
      <c r="R2506" t="n">
        <v>0.06383999999999999</v>
      </c>
      <c r="S2506">
        <f>IMAGE("https://mitra.stanford.edu/kundaje/oak/projects/neuro-variants/variant_position/credible/roussos_2024/variant_figures/roussos_2024.childhood.GABA/rs7634119_count_position.png",4,220,900)</f>
        <v/>
      </c>
      <c r="T2506">
        <f>IMAGE("https://mitra.stanford.edu/kundaje/oak/projects/neuro-variants/variant_position/credible/roussos_2024/variant_figures/roussos_2024.childhood.GABA/rs7634119_profile_position.png",4,220,900)</f>
        <v/>
      </c>
    </row>
    <row r="2507">
      <c r="A2507" t="inlineStr">
        <is>
          <t>chr3</t>
        </is>
      </c>
      <c r="B2507" t="n">
        <v>29702478</v>
      </c>
      <c r="C2507" t="inlineStr">
        <is>
          <t>C</t>
        </is>
      </c>
      <c r="D2507" t="inlineStr">
        <is>
          <t>A</t>
        </is>
      </c>
      <c r="E2507" t="inlineStr">
        <is>
          <t>rs140030786</t>
        </is>
      </c>
      <c r="F2507" t="n">
        <v>0.01788172136</v>
      </c>
      <c r="G2507" t="n">
        <v>0.4375446581755484</v>
      </c>
      <c r="H2507" t="n">
        <v>0.0156507925259207</v>
      </c>
      <c r="I2507" t="n">
        <v>0.1945914767023153</v>
      </c>
      <c r="J2507" t="n">
        <v>0.2643358254277397</v>
      </c>
      <c r="K2507" t="n">
        <v>0.1656243996187734</v>
      </c>
      <c r="L2507" t="b">
        <v>0</v>
      </c>
      <c r="M2507" t="b">
        <v>0</v>
      </c>
      <c r="N2507" t="inlineStr">
        <is>
          <t>alt</t>
        </is>
      </c>
      <c r="O2507" t="n">
        <v>10</v>
      </c>
      <c r="P2507" t="n">
        <v>0.001017</v>
      </c>
      <c r="Q2507" t="n">
        <v>10</v>
      </c>
      <c r="R2507" t="n">
        <v>0.02382</v>
      </c>
      <c r="S2507">
        <f>IMAGE("https://mitra.stanford.edu/kundaje/oak/projects/neuro-variants/variant_position/credible/roussos_2024/variant_figures/roussos_2024.childhood.GABA/rs140030786_count_position.png",4,220,900)</f>
        <v/>
      </c>
      <c r="T2507">
        <f>IMAGE("https://mitra.stanford.edu/kundaje/oak/projects/neuro-variants/variant_position/credible/roussos_2024/variant_figures/roussos_2024.childhood.GABA/rs140030786_profile_position.png",4,220,900)</f>
        <v/>
      </c>
    </row>
    <row r="2508">
      <c r="A2508" t="inlineStr">
        <is>
          <t>chr3</t>
        </is>
      </c>
      <c r="B2508" t="n">
        <v>29714011</v>
      </c>
      <c r="C2508" t="inlineStr">
        <is>
          <t>T</t>
        </is>
      </c>
      <c r="D2508" t="inlineStr">
        <is>
          <t>C</t>
        </is>
      </c>
      <c r="E2508" t="inlineStr">
        <is>
          <t>rs7632532</t>
        </is>
      </c>
      <c r="F2508" t="n">
        <v>-0.0011760740959999</v>
      </c>
      <c r="G2508" t="n">
        <v>0.8018041295277467</v>
      </c>
      <c r="H2508" t="n">
        <v>0.0097894078376128</v>
      </c>
      <c r="I2508" t="n">
        <v>0.6651874796513596</v>
      </c>
      <c r="J2508" t="n">
        <v>0.0035538522753449</v>
      </c>
      <c r="K2508" t="n">
        <v>0.8448584382475782</v>
      </c>
      <c r="L2508" t="b">
        <v>0</v>
      </c>
      <c r="M2508" t="b">
        <v>0</v>
      </c>
      <c r="N2508" t="inlineStr">
        <is>
          <t>ref</t>
        </is>
      </c>
      <c r="O2508" t="n">
        <v>10</v>
      </c>
      <c r="P2508" t="n">
        <v>0.001221</v>
      </c>
      <c r="Q2508" t="n">
        <v>30</v>
      </c>
      <c r="R2508" t="n">
        <v>0.0184</v>
      </c>
      <c r="S2508">
        <f>IMAGE("https://mitra.stanford.edu/kundaje/oak/projects/neuro-variants/variant_position/credible/roussos_2024/variant_figures/roussos_2024.childhood.GABA/rs7632532_count_position.png",4,220,900)</f>
        <v/>
      </c>
      <c r="T2508">
        <f>IMAGE("https://mitra.stanford.edu/kundaje/oak/projects/neuro-variants/variant_position/credible/roussos_2024/variant_figures/roussos_2024.childhood.GABA/rs7632532_profile_position.png",4,220,900)</f>
        <v/>
      </c>
    </row>
    <row r="2509">
      <c r="A2509" t="inlineStr">
        <is>
          <t>chr3</t>
        </is>
      </c>
      <c r="B2509" t="n">
        <v>29750230</v>
      </c>
      <c r="C2509" t="inlineStr">
        <is>
          <t>T</t>
        </is>
      </c>
      <c r="D2509" t="inlineStr">
        <is>
          <t>G</t>
        </is>
      </c>
      <c r="E2509" t="inlineStr">
        <is>
          <t>rs7634890</t>
        </is>
      </c>
      <c r="F2509" t="n">
        <v>-0.1159429352</v>
      </c>
      <c r="G2509" t="n">
        <v>0.0224464726442601</v>
      </c>
      <c r="H2509" t="n">
        <v>0.0380085586782204</v>
      </c>
      <c r="I2509" t="n">
        <v>0.0047070783407799</v>
      </c>
      <c r="J2509" t="n">
        <v>0.0129976335574123</v>
      </c>
      <c r="K2509" t="n">
        <v>0.7138580629669462</v>
      </c>
      <c r="L2509" t="b">
        <v>1</v>
      </c>
      <c r="M2509" t="b">
        <v>0</v>
      </c>
      <c r="N2509" t="inlineStr">
        <is>
          <t>ref</t>
        </is>
      </c>
      <c r="O2509" t="n">
        <v>-80</v>
      </c>
      <c r="P2509" t="n">
        <v>0.01135</v>
      </c>
      <c r="Q2509" t="n">
        <v>-90</v>
      </c>
      <c r="R2509" t="n">
        <v>0.00903</v>
      </c>
      <c r="S2509">
        <f>IMAGE("https://mitra.stanford.edu/kundaje/oak/projects/neuro-variants/variant_position/credible/roussos_2024/variant_figures/roussos_2024.childhood.GABA/rs7634890_count_position.png",4,220,900)</f>
        <v/>
      </c>
      <c r="T2509">
        <f>IMAGE("https://mitra.stanford.edu/kundaje/oak/projects/neuro-variants/variant_position/credible/roussos_2024/variant_figures/roussos_2024.childhood.GABA/rs7634890_profile_position.png",4,220,900)</f>
        <v/>
      </c>
    </row>
    <row r="2510">
      <c r="A2510" t="inlineStr">
        <is>
          <t>chr3</t>
        </is>
      </c>
      <c r="B2510" t="n">
        <v>29752250</v>
      </c>
      <c r="C2510" t="inlineStr">
        <is>
          <t>T</t>
        </is>
      </c>
      <c r="D2510" t="inlineStr">
        <is>
          <t>G</t>
        </is>
      </c>
      <c r="E2510" t="inlineStr">
        <is>
          <t>rs1595901</t>
        </is>
      </c>
      <c r="F2510" t="n">
        <v>0.06848495068</v>
      </c>
      <c r="G2510" t="n">
        <v>0.0891392570892679</v>
      </c>
      <c r="H2510" t="n">
        <v>0.0177136973483711</v>
      </c>
      <c r="I2510" t="n">
        <v>0.1294020809886551</v>
      </c>
      <c r="J2510" t="n">
        <v>0.1968723168101191</v>
      </c>
      <c r="K2510" t="n">
        <v>0.2163897071180336</v>
      </c>
      <c r="L2510" t="b">
        <v>0</v>
      </c>
      <c r="M2510" t="b">
        <v>0</v>
      </c>
      <c r="N2510" t="inlineStr">
        <is>
          <t>alt</t>
        </is>
      </c>
      <c r="O2510" t="n">
        <v>-55</v>
      </c>
      <c r="P2510" t="n">
        <v>0.003662</v>
      </c>
      <c r="Q2510" t="n">
        <v>75</v>
      </c>
      <c r="R2510" t="n">
        <v>0.0437</v>
      </c>
      <c r="S2510">
        <f>IMAGE("https://mitra.stanford.edu/kundaje/oak/projects/neuro-variants/variant_position/credible/roussos_2024/variant_figures/roussos_2024.childhood.GABA/rs1595901_count_position.png",4,220,900)</f>
        <v/>
      </c>
      <c r="T2510">
        <f>IMAGE("https://mitra.stanford.edu/kundaje/oak/projects/neuro-variants/variant_position/credible/roussos_2024/variant_figures/roussos_2024.childhood.GABA/rs1595901_profile_position.png",4,220,900)</f>
        <v/>
      </c>
    </row>
    <row r="2511">
      <c r="A2511" t="inlineStr">
        <is>
          <t>chr3</t>
        </is>
      </c>
      <c r="B2511" t="n">
        <v>29758222</v>
      </c>
      <c r="C2511" t="inlineStr">
        <is>
          <t>A</t>
        </is>
      </c>
      <c r="D2511" t="inlineStr">
        <is>
          <t>G</t>
        </is>
      </c>
      <c r="E2511" t="inlineStr">
        <is>
          <t>rs6780082</t>
        </is>
      </c>
      <c r="F2511" t="n">
        <v>0.0846291992</v>
      </c>
      <c r="G2511" t="n">
        <v>0.047189179988517</v>
      </c>
      <c r="H2511" t="n">
        <v>0.0118608475070832</v>
      </c>
      <c r="I2511" t="n">
        <v>0.4420859780041198</v>
      </c>
      <c r="J2511" t="n">
        <v>0.0558019727335552</v>
      </c>
      <c r="K2511" t="n">
        <v>0.468732641669442</v>
      </c>
      <c r="L2511" t="b">
        <v>0</v>
      </c>
      <c r="M2511" t="b">
        <v>0</v>
      </c>
      <c r="N2511" t="inlineStr">
        <is>
          <t>alt</t>
        </is>
      </c>
      <c r="O2511" t="n">
        <v>10</v>
      </c>
      <c r="P2511" t="n">
        <v>0.001415</v>
      </c>
      <c r="Q2511" t="n">
        <v>25</v>
      </c>
      <c r="R2511" t="n">
        <v>0.0924</v>
      </c>
      <c r="S2511">
        <f>IMAGE("https://mitra.stanford.edu/kundaje/oak/projects/neuro-variants/variant_position/credible/roussos_2024/variant_figures/roussos_2024.childhood.GABA/rs6780082_count_position.png",4,220,900)</f>
        <v/>
      </c>
      <c r="T2511">
        <f>IMAGE("https://mitra.stanford.edu/kundaje/oak/projects/neuro-variants/variant_position/credible/roussos_2024/variant_figures/roussos_2024.childhood.GABA/rs6780082_profile_position.png",4,220,900)</f>
        <v/>
      </c>
    </row>
    <row r="2512">
      <c r="A2512" t="inlineStr">
        <is>
          <t>chr3</t>
        </is>
      </c>
      <c r="B2512" t="n">
        <v>29758779</v>
      </c>
      <c r="C2512" t="inlineStr">
        <is>
          <t>G</t>
        </is>
      </c>
      <c r="D2512" t="inlineStr">
        <is>
          <t>A</t>
        </is>
      </c>
      <c r="E2512" t="inlineStr">
        <is>
          <t>rs17551079</t>
        </is>
      </c>
      <c r="F2512" t="n">
        <v>-0.0306702399999999</v>
      </c>
      <c r="G2512" t="n">
        <v>0.2954529275077338</v>
      </c>
      <c r="H2512" t="n">
        <v>0.009218179263509801</v>
      </c>
      <c r="I2512" t="n">
        <v>0.7219761783622347</v>
      </c>
      <c r="J2512" t="n">
        <v>0.1762109694037821</v>
      </c>
      <c r="K2512" t="n">
        <v>0.2406851711289982</v>
      </c>
      <c r="L2512" t="b">
        <v>0</v>
      </c>
      <c r="M2512" t="b">
        <v>0</v>
      </c>
      <c r="N2512" t="inlineStr">
        <is>
          <t>ref</t>
        </is>
      </c>
      <c r="O2512" t="n">
        <v>-90</v>
      </c>
      <c r="P2512" t="n">
        <v>0.003284</v>
      </c>
      <c r="Q2512" t="n">
        <v>5</v>
      </c>
      <c r="R2512" t="n">
        <v>0.005493</v>
      </c>
      <c r="S2512">
        <f>IMAGE("https://mitra.stanford.edu/kundaje/oak/projects/neuro-variants/variant_position/credible/roussos_2024/variant_figures/roussos_2024.childhood.GABA/rs17551079_count_position.png",4,220,900)</f>
        <v/>
      </c>
      <c r="T2512">
        <f>IMAGE("https://mitra.stanford.edu/kundaje/oak/projects/neuro-variants/variant_position/credible/roussos_2024/variant_figures/roussos_2024.childhood.GABA/rs17551079_profile_position.png",4,220,900)</f>
        <v/>
      </c>
    </row>
    <row r="2513">
      <c r="A2513" t="inlineStr">
        <is>
          <t>chr3</t>
        </is>
      </c>
      <c r="B2513" t="n">
        <v>29760935</v>
      </c>
      <c r="C2513" t="inlineStr">
        <is>
          <t>C</t>
        </is>
      </c>
      <c r="D2513" t="inlineStr">
        <is>
          <t>T</t>
        </is>
      </c>
      <c r="E2513" t="inlineStr">
        <is>
          <t>rs2028408</t>
        </is>
      </c>
      <c r="F2513" t="n">
        <v>0.0035612576999999</v>
      </c>
      <c r="G2513" t="n">
        <v>0.7253056536881044</v>
      </c>
      <c r="H2513" t="n">
        <v>0.0309233354832226</v>
      </c>
      <c r="I2513" t="n">
        <v>0.0109622760865824</v>
      </c>
      <c r="J2513" t="n">
        <v>0.1032470524177503</v>
      </c>
      <c r="K2513" t="n">
        <v>0.3428715745571672</v>
      </c>
      <c r="L2513" t="b">
        <v>1</v>
      </c>
      <c r="M2513" t="b">
        <v>0</v>
      </c>
      <c r="N2513" t="inlineStr">
        <is>
          <t>alt</t>
        </is>
      </c>
      <c r="O2513" t="n">
        <v>45</v>
      </c>
      <c r="P2513" t="n">
        <v>0.004562</v>
      </c>
      <c r="Q2513" t="n">
        <v>-65</v>
      </c>
      <c r="R2513" t="n">
        <v>0.09569999999999999</v>
      </c>
      <c r="S2513">
        <f>IMAGE("https://mitra.stanford.edu/kundaje/oak/projects/neuro-variants/variant_position/credible/roussos_2024/variant_figures/roussos_2024.childhood.GABA/rs2028408_count_position.png",4,220,900)</f>
        <v/>
      </c>
      <c r="T2513">
        <f>IMAGE("https://mitra.stanford.edu/kundaje/oak/projects/neuro-variants/variant_position/credible/roussos_2024/variant_figures/roussos_2024.childhood.GABA/rs2028408_profile_position.png",4,220,900)</f>
        <v/>
      </c>
    </row>
    <row r="2514">
      <c r="A2514" t="inlineStr">
        <is>
          <t>chr3</t>
        </is>
      </c>
      <c r="B2514" t="n">
        <v>29760939</v>
      </c>
      <c r="C2514" t="inlineStr">
        <is>
          <t>T</t>
        </is>
      </c>
      <c r="D2514" t="inlineStr">
        <is>
          <t>G</t>
        </is>
      </c>
      <c r="E2514" t="inlineStr">
        <is>
          <t>rs2028409</t>
        </is>
      </c>
      <c r="F2514" t="n">
        <v>-0.00834477604</v>
      </c>
      <c r="G2514" t="n">
        <v>0.6452038734909096</v>
      </c>
      <c r="H2514" t="n">
        <v>0.0349971889023014</v>
      </c>
      <c r="I2514" t="n">
        <v>0.0064804298632435</v>
      </c>
      <c r="J2514" t="n">
        <v>0.1025109421792213</v>
      </c>
      <c r="K2514" t="n">
        <v>0.3444458133613537</v>
      </c>
      <c r="L2514" t="b">
        <v>1</v>
      </c>
      <c r="M2514" t="b">
        <v>1</v>
      </c>
      <c r="N2514" t="inlineStr">
        <is>
          <t>ref</t>
        </is>
      </c>
      <c r="O2514" t="n">
        <v>45</v>
      </c>
      <c r="P2514" t="n">
        <v>0.004288</v>
      </c>
      <c r="Q2514" t="n">
        <v>-70</v>
      </c>
      <c r="R2514" t="n">
        <v>0.0809</v>
      </c>
      <c r="S2514">
        <f>IMAGE("https://mitra.stanford.edu/kundaje/oak/projects/neuro-variants/variant_position/credible/roussos_2024/variant_figures/roussos_2024.childhood.GABA/rs2028409_count_position.png",4,220,900)</f>
        <v/>
      </c>
      <c r="T2514">
        <f>IMAGE("https://mitra.stanford.edu/kundaje/oak/projects/neuro-variants/variant_position/credible/roussos_2024/variant_figures/roussos_2024.childhood.GABA/rs2028409_profile_position.png",4,220,900)</f>
        <v/>
      </c>
    </row>
    <row r="2515">
      <c r="A2515" t="inlineStr">
        <is>
          <t>chr3</t>
        </is>
      </c>
      <c r="B2515" t="n">
        <v>29764026</v>
      </c>
      <c r="C2515" t="inlineStr">
        <is>
          <t>T</t>
        </is>
      </c>
      <c r="D2515" t="inlineStr">
        <is>
          <t>C</t>
        </is>
      </c>
      <c r="E2515" t="inlineStr">
        <is>
          <t>rs12715161</t>
        </is>
      </c>
      <c r="F2515" t="n">
        <v>0.0142049676</v>
      </c>
      <c r="G2515" t="n">
        <v>0.5222651776682441</v>
      </c>
      <c r="H2515" t="n">
        <v>0.0096043305675199</v>
      </c>
      <c r="I2515" t="n">
        <v>0.6902693679401464</v>
      </c>
      <c r="J2515" t="n">
        <v>0.1161881426566982</v>
      </c>
      <c r="K2515" t="n">
        <v>0.31847200444156</v>
      </c>
      <c r="L2515" t="b">
        <v>0</v>
      </c>
      <c r="M2515" t="b">
        <v>0</v>
      </c>
      <c r="N2515" t="inlineStr">
        <is>
          <t>alt</t>
        </is>
      </c>
      <c r="O2515" t="n">
        <v>-100</v>
      </c>
      <c r="P2515" t="n">
        <v>0.00156</v>
      </c>
      <c r="Q2515" t="n">
        <v>60</v>
      </c>
      <c r="R2515" t="n">
        <v>0.1293</v>
      </c>
      <c r="S2515">
        <f>IMAGE("https://mitra.stanford.edu/kundaje/oak/projects/neuro-variants/variant_position/credible/roussos_2024/variant_figures/roussos_2024.childhood.GABA/rs12715161_count_position.png",4,220,900)</f>
        <v/>
      </c>
      <c r="T2515">
        <f>IMAGE("https://mitra.stanford.edu/kundaje/oak/projects/neuro-variants/variant_position/credible/roussos_2024/variant_figures/roussos_2024.childhood.GABA/rs12715161_profile_position.png",4,220,900)</f>
        <v/>
      </c>
    </row>
    <row r="2516">
      <c r="A2516" t="inlineStr">
        <is>
          <t>chr3</t>
        </is>
      </c>
      <c r="B2516" t="n">
        <v>29764085</v>
      </c>
      <c r="C2516" t="inlineStr">
        <is>
          <t>A</t>
        </is>
      </c>
      <c r="D2516" t="inlineStr">
        <is>
          <t>T</t>
        </is>
      </c>
      <c r="E2516" t="inlineStr">
        <is>
          <t>rs7340606</t>
        </is>
      </c>
      <c r="F2516" t="n">
        <v>-0.00068094142</v>
      </c>
      <c r="G2516" t="n">
        <v>0.8261845189725693</v>
      </c>
      <c r="H2516" t="n">
        <v>0.0221258913781483</v>
      </c>
      <c r="I2516" t="n">
        <v>0.0508825835875053</v>
      </c>
      <c r="J2516" t="n">
        <v>0.1189126929278967</v>
      </c>
      <c r="K2516" t="n">
        <v>0.3141283148112406</v>
      </c>
      <c r="L2516" t="b">
        <v>0</v>
      </c>
      <c r="M2516" t="b">
        <v>0</v>
      </c>
      <c r="N2516" t="inlineStr">
        <is>
          <t>ref</t>
        </is>
      </c>
      <c r="O2516" t="n">
        <v>85</v>
      </c>
      <c r="P2516" t="n">
        <v>0.005863</v>
      </c>
      <c r="Q2516" t="n">
        <v>100</v>
      </c>
      <c r="R2516" t="n">
        <v>0.12415</v>
      </c>
      <c r="S2516">
        <f>IMAGE("https://mitra.stanford.edu/kundaje/oak/projects/neuro-variants/variant_position/credible/roussos_2024/variant_figures/roussos_2024.childhood.GABA/rs7340606_count_position.png",4,220,900)</f>
        <v/>
      </c>
      <c r="T2516">
        <f>IMAGE("https://mitra.stanford.edu/kundaje/oak/projects/neuro-variants/variant_position/credible/roussos_2024/variant_figures/roussos_2024.childhood.GABA/rs7340606_profile_position.png",4,220,900)</f>
        <v/>
      </c>
    </row>
    <row r="2517">
      <c r="A2517" t="inlineStr">
        <is>
          <t>chr3</t>
        </is>
      </c>
      <c r="B2517" t="n">
        <v>29963152</v>
      </c>
      <c r="C2517" t="inlineStr">
        <is>
          <t>T</t>
        </is>
      </c>
      <c r="D2517" t="inlineStr">
        <is>
          <t>C</t>
        </is>
      </c>
      <c r="E2517" t="inlineStr">
        <is>
          <t>rs7612854</t>
        </is>
      </c>
      <c r="F2517" t="n">
        <v>-0.020318649</v>
      </c>
      <c r="G2517" t="n">
        <v>0.4452243696618808</v>
      </c>
      <c r="H2517" t="n">
        <v>0.0264084280827689</v>
      </c>
      <c r="I2517" t="n">
        <v>0.0231697955731686</v>
      </c>
      <c r="J2517" t="n">
        <v>0.0068365060417582</v>
      </c>
      <c r="K2517" t="n">
        <v>0.7807347386809054</v>
      </c>
      <c r="L2517" t="b">
        <v>0</v>
      </c>
      <c r="M2517" t="b">
        <v>0</v>
      </c>
      <c r="N2517" t="inlineStr">
        <is>
          <t>ref</t>
        </is>
      </c>
      <c r="O2517" t="n">
        <v>-100</v>
      </c>
      <c r="P2517" t="n">
        <v>0.004288</v>
      </c>
      <c r="Q2517" t="n">
        <v>45</v>
      </c>
      <c r="R2517" t="n">
        <v>0.03967</v>
      </c>
      <c r="S2517">
        <f>IMAGE("https://mitra.stanford.edu/kundaje/oak/projects/neuro-variants/variant_position/credible/roussos_2024/variant_figures/roussos_2024.childhood.GABA/rs7612854_count_position.png",4,220,900)</f>
        <v/>
      </c>
      <c r="T2517">
        <f>IMAGE("https://mitra.stanford.edu/kundaje/oak/projects/neuro-variants/variant_position/credible/roussos_2024/variant_figures/roussos_2024.childhood.GABA/rs7612854_profile_position.png",4,220,900)</f>
        <v/>
      </c>
    </row>
    <row r="2518">
      <c r="A2518" t="inlineStr">
        <is>
          <t>chr3</t>
        </is>
      </c>
      <c r="B2518" t="n">
        <v>29970451</v>
      </c>
      <c r="C2518" t="inlineStr">
        <is>
          <t>T</t>
        </is>
      </c>
      <c r="D2518" t="inlineStr">
        <is>
          <t>C</t>
        </is>
      </c>
      <c r="E2518" t="inlineStr">
        <is>
          <t>rs1449281</t>
        </is>
      </c>
      <c r="F2518" t="n">
        <v>-0.0025136991599999</v>
      </c>
      <c r="G2518" t="n">
        <v>0.7188880096701402</v>
      </c>
      <c r="H2518" t="n">
        <v>0.0337359926619418</v>
      </c>
      <c r="I2518" t="n">
        <v>0.0074493330265234</v>
      </c>
      <c r="J2518" t="n">
        <v>0.0027329270591191</v>
      </c>
      <c r="K2518" t="n">
        <v>0.8566073592747497</v>
      </c>
      <c r="L2518" t="b">
        <v>0</v>
      </c>
      <c r="M2518" t="b">
        <v>0</v>
      </c>
      <c r="N2518" t="inlineStr">
        <is>
          <t>ref</t>
        </is>
      </c>
      <c r="O2518" t="n">
        <v>100</v>
      </c>
      <c r="P2518" t="n">
        <v>0.002077</v>
      </c>
      <c r="Q2518" t="n">
        <v>45</v>
      </c>
      <c r="R2518" t="n">
        <v>0.0278</v>
      </c>
      <c r="S2518">
        <f>IMAGE("https://mitra.stanford.edu/kundaje/oak/projects/neuro-variants/variant_position/credible/roussos_2024/variant_figures/roussos_2024.childhood.GABA/rs1449281_count_position.png",4,220,900)</f>
        <v/>
      </c>
      <c r="T2518">
        <f>IMAGE("https://mitra.stanford.edu/kundaje/oak/projects/neuro-variants/variant_position/credible/roussos_2024/variant_figures/roussos_2024.childhood.GABA/rs1449281_profile_position.png",4,220,900)</f>
        <v/>
      </c>
    </row>
    <row r="2519">
      <c r="A2519" t="inlineStr">
        <is>
          <t>chr3</t>
        </is>
      </c>
      <c r="B2519" t="n">
        <v>29990864</v>
      </c>
      <c r="C2519" t="inlineStr">
        <is>
          <t>A</t>
        </is>
      </c>
      <c r="D2519" t="inlineStr">
        <is>
          <t>G</t>
        </is>
      </c>
      <c r="E2519" t="inlineStr">
        <is>
          <t>rs3773124</t>
        </is>
      </c>
      <c r="F2519" t="n">
        <v>0.0441510842</v>
      </c>
      <c r="G2519" t="n">
        <v>0.1668597698730832</v>
      </c>
      <c r="H2519" t="n">
        <v>0.009549199681408001</v>
      </c>
      <c r="I2519" t="n">
        <v>0.6737996617967749</v>
      </c>
      <c r="J2519" t="n">
        <v>0.0293187577223512</v>
      </c>
      <c r="K2519" t="n">
        <v>0.5882880797196589</v>
      </c>
      <c r="L2519" t="b">
        <v>0</v>
      </c>
      <c r="M2519" t="b">
        <v>0</v>
      </c>
      <c r="N2519" t="inlineStr">
        <is>
          <t>alt</t>
        </is>
      </c>
      <c r="O2519" t="n">
        <v>100</v>
      </c>
      <c r="P2519" t="n">
        <v>0.010735</v>
      </c>
      <c r="Q2519" t="n">
        <v>100</v>
      </c>
      <c r="R2519" t="n">
        <v>0.0465</v>
      </c>
      <c r="S2519">
        <f>IMAGE("https://mitra.stanford.edu/kundaje/oak/projects/neuro-variants/variant_position/credible/roussos_2024/variant_figures/roussos_2024.childhood.GABA/rs3773124_count_position.png",4,220,900)</f>
        <v/>
      </c>
      <c r="T2519">
        <f>IMAGE("https://mitra.stanford.edu/kundaje/oak/projects/neuro-variants/variant_position/credible/roussos_2024/variant_figures/roussos_2024.childhood.GABA/rs3773124_profile_position.png",4,220,900)</f>
        <v/>
      </c>
    </row>
    <row r="2520">
      <c r="A2520" t="inlineStr">
        <is>
          <t>chr3</t>
        </is>
      </c>
      <c r="B2520" t="n">
        <v>30001813</v>
      </c>
      <c r="C2520" t="inlineStr">
        <is>
          <t>A</t>
        </is>
      </c>
      <c r="D2520" t="inlineStr">
        <is>
          <t>G</t>
        </is>
      </c>
      <c r="E2520" t="inlineStr">
        <is>
          <t>rs4680866</t>
        </is>
      </c>
      <c r="F2520" t="n">
        <v>-0.0065280179</v>
      </c>
      <c r="G2520" t="n">
        <v>0.740732194896474</v>
      </c>
      <c r="H2520" t="n">
        <v>0.0217593347906259</v>
      </c>
      <c r="I2520" t="n">
        <v>0.0534984129644432</v>
      </c>
      <c r="J2520" t="n">
        <v>0.0580385751083746</v>
      </c>
      <c r="K2520" t="n">
        <v>0.4629252375622503</v>
      </c>
      <c r="L2520" t="b">
        <v>0</v>
      </c>
      <c r="M2520" t="b">
        <v>0</v>
      </c>
      <c r="N2520" t="inlineStr">
        <is>
          <t>ref</t>
        </is>
      </c>
      <c r="O2520" t="n">
        <v>70</v>
      </c>
      <c r="P2520" t="n">
        <v>0.006714</v>
      </c>
      <c r="Q2520" t="n">
        <v>95</v>
      </c>
      <c r="R2520" t="n">
        <v>0.134</v>
      </c>
      <c r="S2520">
        <f>IMAGE("https://mitra.stanford.edu/kundaje/oak/projects/neuro-variants/variant_position/credible/roussos_2024/variant_figures/roussos_2024.childhood.GABA/rs4680866_count_position.png",4,220,900)</f>
        <v/>
      </c>
      <c r="T2520">
        <f>IMAGE("https://mitra.stanford.edu/kundaje/oak/projects/neuro-variants/variant_position/credible/roussos_2024/variant_figures/roussos_2024.childhood.GABA/rs4680866_profile_position.png",4,220,900)</f>
        <v/>
      </c>
    </row>
    <row r="2521">
      <c r="A2521" t="inlineStr">
        <is>
          <t>chr3</t>
        </is>
      </c>
      <c r="B2521" t="n">
        <v>30056807</v>
      </c>
      <c r="C2521" t="inlineStr">
        <is>
          <t>C</t>
        </is>
      </c>
      <c r="D2521" t="inlineStr">
        <is>
          <t>T</t>
        </is>
      </c>
      <c r="E2521" t="inlineStr">
        <is>
          <t>rs62237196</t>
        </is>
      </c>
      <c r="F2521" t="n">
        <v>0.01002112542</v>
      </c>
      <c r="G2521" t="n">
        <v>0.6117828754444286</v>
      </c>
      <c r="H2521" t="n">
        <v>0.0146638240044046</v>
      </c>
      <c r="I2521" t="n">
        <v>0.2413510759289083</v>
      </c>
      <c r="J2521" t="n">
        <v>0.0415258319197503</v>
      </c>
      <c r="K2521" t="n">
        <v>0.5240657028898361</v>
      </c>
      <c r="L2521" t="b">
        <v>0</v>
      </c>
      <c r="M2521" t="b">
        <v>0</v>
      </c>
      <c r="N2521" t="inlineStr">
        <is>
          <t>alt</t>
        </is>
      </c>
      <c r="O2521" t="n">
        <v>75</v>
      </c>
      <c r="P2521" t="n">
        <v>0.002636</v>
      </c>
      <c r="Q2521" t="n">
        <v>-80</v>
      </c>
      <c r="R2521" t="n">
        <v>0.05298</v>
      </c>
      <c r="S2521">
        <f>IMAGE("https://mitra.stanford.edu/kundaje/oak/projects/neuro-variants/variant_position/credible/roussos_2024/variant_figures/roussos_2024.childhood.GABA/rs62237196_count_position.png",4,220,900)</f>
        <v/>
      </c>
      <c r="T2521">
        <f>IMAGE("https://mitra.stanford.edu/kundaje/oak/projects/neuro-variants/variant_position/credible/roussos_2024/variant_figures/roussos_2024.childhood.GABA/rs62237196_profile_position.png",4,220,900)</f>
        <v/>
      </c>
    </row>
    <row r="2522">
      <c r="A2522" t="inlineStr">
        <is>
          <t>chr3</t>
        </is>
      </c>
      <c r="B2522" t="n">
        <v>30058734</v>
      </c>
      <c r="C2522" t="inlineStr">
        <is>
          <t>T</t>
        </is>
      </c>
      <c r="D2522" t="inlineStr">
        <is>
          <t>C</t>
        </is>
      </c>
      <c r="E2522" t="inlineStr">
        <is>
          <t>rs56077410</t>
        </is>
      </c>
      <c r="F2522" t="n">
        <v>-0.003727444512</v>
      </c>
      <c r="G2522" t="n">
        <v>0.8253309303874966</v>
      </c>
      <c r="H2522" t="n">
        <v>0.019589031271239</v>
      </c>
      <c r="I2522" t="n">
        <v>0.0867718299886483</v>
      </c>
      <c r="J2522" t="n">
        <v>8.376787920669523e-05</v>
      </c>
      <c r="K2522" t="n">
        <v>0.978232993619934</v>
      </c>
      <c r="L2522" t="b">
        <v>0</v>
      </c>
      <c r="M2522" t="b">
        <v>0</v>
      </c>
      <c r="N2522" t="inlineStr">
        <is>
          <t>ref</t>
        </is>
      </c>
      <c r="O2522" t="n">
        <v>50</v>
      </c>
      <c r="P2522" t="n">
        <v>0.00489</v>
      </c>
      <c r="Q2522" t="n">
        <v>100</v>
      </c>
      <c r="R2522" t="n">
        <v>0.08264000000000001</v>
      </c>
      <c r="S2522">
        <f>IMAGE("https://mitra.stanford.edu/kundaje/oak/projects/neuro-variants/variant_position/credible/roussos_2024/variant_figures/roussos_2024.childhood.GABA/rs56077410_count_position.png",4,220,900)</f>
        <v/>
      </c>
      <c r="T2522">
        <f>IMAGE("https://mitra.stanford.edu/kundaje/oak/projects/neuro-variants/variant_position/credible/roussos_2024/variant_figures/roussos_2024.childhood.GABA/rs56077410_profile_position.png",4,220,900)</f>
        <v/>
      </c>
    </row>
    <row r="2523">
      <c r="A2523" t="inlineStr">
        <is>
          <t>chr3</t>
        </is>
      </c>
      <c r="B2523" t="n">
        <v>31981188</v>
      </c>
      <c r="C2523" t="inlineStr">
        <is>
          <t>G</t>
        </is>
      </c>
      <c r="D2523" t="inlineStr">
        <is>
          <t>C</t>
        </is>
      </c>
      <c r="E2523" t="inlineStr">
        <is>
          <t>rs76150980</t>
        </is>
      </c>
      <c r="F2523" t="n">
        <v>-0.0005190954799999</v>
      </c>
      <c r="G2523" t="n">
        <v>0.738142794796242</v>
      </c>
      <c r="H2523" t="n">
        <v>0.0185869502394502</v>
      </c>
      <c r="I2523" t="n">
        <v>0.1012426764986006</v>
      </c>
      <c r="J2523" t="n">
        <v>0.8799532994073422</v>
      </c>
      <c r="K2523" t="n">
        <v>0.0025546865001416</v>
      </c>
      <c r="L2523" t="b">
        <v>0</v>
      </c>
      <c r="M2523" t="b">
        <v>0</v>
      </c>
      <c r="N2523" t="inlineStr">
        <is>
          <t>ref</t>
        </is>
      </c>
      <c r="O2523" t="n">
        <v>95</v>
      </c>
      <c r="P2523" t="n">
        <v>0.00818</v>
      </c>
      <c r="Q2523" t="n">
        <v>100</v>
      </c>
      <c r="R2523" t="n">
        <v>0.1781</v>
      </c>
      <c r="S2523">
        <f>IMAGE("https://mitra.stanford.edu/kundaje/oak/projects/neuro-variants/variant_position/credible/roussos_2024/variant_figures/roussos_2024.childhood.GABA/rs76150980_count_position.png",4,220,900)</f>
        <v/>
      </c>
      <c r="T2523">
        <f>IMAGE("https://mitra.stanford.edu/kundaje/oak/projects/neuro-variants/variant_position/credible/roussos_2024/variant_figures/roussos_2024.childhood.GABA/rs76150980_profile_position.png",4,220,900)</f>
        <v/>
      </c>
    </row>
    <row r="2524">
      <c r="A2524" t="inlineStr">
        <is>
          <t>chr3</t>
        </is>
      </c>
      <c r="B2524" t="n">
        <v>31996113</v>
      </c>
      <c r="C2524" t="inlineStr">
        <is>
          <t>G</t>
        </is>
      </c>
      <c r="D2524" t="inlineStr">
        <is>
          <t>A</t>
        </is>
      </c>
      <c r="E2524" t="inlineStr">
        <is>
          <t>rs62244405</t>
        </is>
      </c>
      <c r="F2524" t="n">
        <v>-0.0329401884</v>
      </c>
      <c r="G2524" t="n">
        <v>0.2690961265280635</v>
      </c>
      <c r="H2524" t="n">
        <v>0.0110626253953132</v>
      </c>
      <c r="I2524" t="n">
        <v>0.5283269514525487</v>
      </c>
      <c r="J2524" t="n">
        <v>0.08101296307930719</v>
      </c>
      <c r="K2524" t="n">
        <v>0.4015952448035725</v>
      </c>
      <c r="L2524" t="b">
        <v>0</v>
      </c>
      <c r="M2524" t="b">
        <v>0</v>
      </c>
      <c r="N2524" t="inlineStr">
        <is>
          <t>ref</t>
        </is>
      </c>
      <c r="O2524" t="n">
        <v>0</v>
      </c>
      <c r="P2524" t="n">
        <v>0</v>
      </c>
      <c r="Q2524" t="n">
        <v>-100</v>
      </c>
      <c r="R2524" t="n">
        <v>0.1608</v>
      </c>
      <c r="S2524">
        <f>IMAGE("https://mitra.stanford.edu/kundaje/oak/projects/neuro-variants/variant_position/credible/roussos_2024/variant_figures/roussos_2024.childhood.GABA/rs62244405_count_position.png",4,220,900)</f>
        <v/>
      </c>
      <c r="T2524">
        <f>IMAGE("https://mitra.stanford.edu/kundaje/oak/projects/neuro-variants/variant_position/credible/roussos_2024/variant_figures/roussos_2024.childhood.GABA/rs62244405_profile_position.png",4,220,900)</f>
        <v/>
      </c>
    </row>
    <row r="2525">
      <c r="A2525" t="inlineStr">
        <is>
          <t>chr3</t>
        </is>
      </c>
      <c r="B2525" t="n">
        <v>31996388</v>
      </c>
      <c r="C2525" t="inlineStr">
        <is>
          <t>T</t>
        </is>
      </c>
      <c r="D2525" t="inlineStr">
        <is>
          <t>C</t>
        </is>
      </c>
      <c r="E2525" t="inlineStr">
        <is>
          <t>rs17028710</t>
        </is>
      </c>
      <c r="F2525" t="n">
        <v>0.0732611358</v>
      </c>
      <c r="G2525" t="n">
        <v>0.0635967698924908</v>
      </c>
      <c r="H2525" t="n">
        <v>0.0129492422610771</v>
      </c>
      <c r="I2525" t="n">
        <v>0.349493516142229</v>
      </c>
      <c r="J2525" t="n">
        <v>0.1073097945592762</v>
      </c>
      <c r="K2525" t="n">
        <v>0.3398618881755909</v>
      </c>
      <c r="L2525" t="b">
        <v>0</v>
      </c>
      <c r="M2525" t="b">
        <v>0</v>
      </c>
      <c r="N2525" t="inlineStr">
        <is>
          <t>alt</t>
        </is>
      </c>
      <c r="O2525" t="n">
        <v>-100</v>
      </c>
      <c r="P2525" t="n">
        <v>0.0038</v>
      </c>
      <c r="Q2525" t="n">
        <v>20</v>
      </c>
      <c r="R2525" t="n">
        <v>0.01048</v>
      </c>
      <c r="S2525">
        <f>IMAGE("https://mitra.stanford.edu/kundaje/oak/projects/neuro-variants/variant_position/credible/roussos_2024/variant_figures/roussos_2024.childhood.GABA/rs17028710_count_position.png",4,220,900)</f>
        <v/>
      </c>
      <c r="T2525">
        <f>IMAGE("https://mitra.stanford.edu/kundaje/oak/projects/neuro-variants/variant_position/credible/roussos_2024/variant_figures/roussos_2024.childhood.GABA/rs17028710_profile_position.png",4,220,900)</f>
        <v/>
      </c>
    </row>
    <row r="2526">
      <c r="A2526" t="inlineStr">
        <is>
          <t>chr3</t>
        </is>
      </c>
      <c r="B2526" t="n">
        <v>31999737</v>
      </c>
      <c r="C2526" t="inlineStr">
        <is>
          <t>T</t>
        </is>
      </c>
      <c r="D2526" t="inlineStr">
        <is>
          <t>C</t>
        </is>
      </c>
      <c r="E2526" t="inlineStr">
        <is>
          <t>rs17028714</t>
        </is>
      </c>
      <c r="F2526" t="n">
        <v>0.0582244107999999</v>
      </c>
      <c r="G2526" t="n">
        <v>0.0998454580793367</v>
      </c>
      <c r="H2526" t="n">
        <v>0.0116359050095607</v>
      </c>
      <c r="I2526" t="n">
        <v>0.4701524565653956</v>
      </c>
      <c r="J2526" t="n">
        <v>0.07079851730853789</v>
      </c>
      <c r="K2526" t="n">
        <v>0.4309573447099455</v>
      </c>
      <c r="L2526" t="b">
        <v>0</v>
      </c>
      <c r="M2526" t="b">
        <v>0</v>
      </c>
      <c r="N2526" t="inlineStr">
        <is>
          <t>alt</t>
        </is>
      </c>
      <c r="O2526" t="n">
        <v>60</v>
      </c>
      <c r="P2526" t="n">
        <v>0.00643</v>
      </c>
      <c r="Q2526" t="n">
        <v>45</v>
      </c>
      <c r="R2526" t="n">
        <v>0.1025</v>
      </c>
      <c r="S2526">
        <f>IMAGE("https://mitra.stanford.edu/kundaje/oak/projects/neuro-variants/variant_position/credible/roussos_2024/variant_figures/roussos_2024.childhood.GABA/rs17028714_count_position.png",4,220,900)</f>
        <v/>
      </c>
      <c r="T2526">
        <f>IMAGE("https://mitra.stanford.edu/kundaje/oak/projects/neuro-variants/variant_position/credible/roussos_2024/variant_figures/roussos_2024.childhood.GABA/rs17028714_profile_position.png",4,220,900)</f>
        <v/>
      </c>
    </row>
    <row r="2527">
      <c r="A2527" t="inlineStr">
        <is>
          <t>chr3</t>
        </is>
      </c>
      <c r="B2527" t="n">
        <v>32000088</v>
      </c>
      <c r="C2527" t="inlineStr">
        <is>
          <t>G</t>
        </is>
      </c>
      <c r="D2527" t="inlineStr">
        <is>
          <t>C</t>
        </is>
      </c>
      <c r="E2527" t="inlineStr">
        <is>
          <t>rs17028716</t>
        </is>
      </c>
      <c r="F2527" t="n">
        <v>-0.044707408</v>
      </c>
      <c r="G2527" t="n">
        <v>0.1918663555377191</v>
      </c>
      <c r="H2527" t="n">
        <v>0.0139037428009814</v>
      </c>
      <c r="I2527" t="n">
        <v>0.2746682511846616</v>
      </c>
      <c r="J2527" t="n">
        <v>0.1161588238989758</v>
      </c>
      <c r="K2527" t="n">
        <v>0.330794139025733</v>
      </c>
      <c r="L2527" t="b">
        <v>0</v>
      </c>
      <c r="M2527" t="b">
        <v>0</v>
      </c>
      <c r="N2527" t="inlineStr">
        <is>
          <t>ref</t>
        </is>
      </c>
      <c r="O2527" t="n">
        <v>-45</v>
      </c>
      <c r="P2527" t="n">
        <v>0.001656</v>
      </c>
      <c r="Q2527" t="n">
        <v>100</v>
      </c>
      <c r="R2527" t="n">
        <v>0.1146</v>
      </c>
      <c r="S2527">
        <f>IMAGE("https://mitra.stanford.edu/kundaje/oak/projects/neuro-variants/variant_position/credible/roussos_2024/variant_figures/roussos_2024.childhood.GABA/rs17028716_count_position.png",4,220,900)</f>
        <v/>
      </c>
      <c r="T2527">
        <f>IMAGE("https://mitra.stanford.edu/kundaje/oak/projects/neuro-variants/variant_position/credible/roussos_2024/variant_figures/roussos_2024.childhood.GABA/rs17028716_profile_position.png",4,220,900)</f>
        <v/>
      </c>
    </row>
    <row r="2528">
      <c r="A2528" t="inlineStr">
        <is>
          <t>chr3</t>
        </is>
      </c>
      <c r="B2528" t="n">
        <v>32010168</v>
      </c>
      <c r="C2528" t="inlineStr">
        <is>
          <t>C</t>
        </is>
      </c>
      <c r="D2528" t="inlineStr">
        <is>
          <t>G</t>
        </is>
      </c>
      <c r="E2528" t="inlineStr">
        <is>
          <t>rs1376606</t>
        </is>
      </c>
      <c r="F2528" t="n">
        <v>0.00300203732</v>
      </c>
      <c r="G2528" t="n">
        <v>0.7911746822665914</v>
      </c>
      <c r="H2528" t="n">
        <v>0.008103999752050501</v>
      </c>
      <c r="I2528" t="n">
        <v>0.8403777399850312</v>
      </c>
      <c r="J2528" t="n">
        <v>0.232756382065297</v>
      </c>
      <c r="K2528" t="n">
        <v>0.1875765520641006</v>
      </c>
      <c r="L2528" t="b">
        <v>0</v>
      </c>
      <c r="M2528" t="b">
        <v>0</v>
      </c>
      <c r="N2528" t="inlineStr">
        <is>
          <t>alt</t>
        </is>
      </c>
      <c r="O2528" t="n">
        <v>20</v>
      </c>
      <c r="P2528" t="n">
        <v>0.001396</v>
      </c>
      <c r="Q2528" t="n">
        <v>95</v>
      </c>
      <c r="R2528" t="n">
        <v>0.05115</v>
      </c>
      <c r="S2528">
        <f>IMAGE("https://mitra.stanford.edu/kundaje/oak/projects/neuro-variants/variant_position/credible/roussos_2024/variant_figures/roussos_2024.childhood.GABA/rs1376606_count_position.png",4,220,900)</f>
        <v/>
      </c>
      <c r="T2528">
        <f>IMAGE("https://mitra.stanford.edu/kundaje/oak/projects/neuro-variants/variant_position/credible/roussos_2024/variant_figures/roussos_2024.childhood.GABA/rs1376606_profile_position.png",4,220,900)</f>
        <v/>
      </c>
    </row>
    <row r="2529">
      <c r="A2529" t="inlineStr">
        <is>
          <t>chr3</t>
        </is>
      </c>
      <c r="B2529" t="n">
        <v>36818214</v>
      </c>
      <c r="C2529" t="inlineStr">
        <is>
          <t>T</t>
        </is>
      </c>
      <c r="D2529" t="inlineStr">
        <is>
          <t>C</t>
        </is>
      </c>
      <c r="E2529" t="inlineStr">
        <is>
          <t>rs1553656</t>
        </is>
      </c>
      <c r="F2529" t="n">
        <v>0.07960451339999999</v>
      </c>
      <c r="G2529" t="n">
        <v>0.0521688775397985</v>
      </c>
      <c r="H2529" t="n">
        <v>0.0148575199114601</v>
      </c>
      <c r="I2529" t="n">
        <v>0.2316095026089213</v>
      </c>
      <c r="J2529" t="n">
        <v>0.116135787732194</v>
      </c>
      <c r="K2529" t="n">
        <v>0.3397768401714227</v>
      </c>
      <c r="L2529" t="b">
        <v>0</v>
      </c>
      <c r="M2529" t="b">
        <v>0</v>
      </c>
      <c r="N2529" t="inlineStr">
        <is>
          <t>alt</t>
        </is>
      </c>
      <c r="O2529" t="n">
        <v>-90</v>
      </c>
      <c r="P2529" t="n">
        <v>0.003555</v>
      </c>
      <c r="Q2529" t="n">
        <v>85</v>
      </c>
      <c r="R2529" t="n">
        <v>0.04147</v>
      </c>
      <c r="S2529">
        <f>IMAGE("https://mitra.stanford.edu/kundaje/oak/projects/neuro-variants/variant_position/credible/roussos_2024/variant_figures/roussos_2024.childhood.GABA/rs1553656_count_position.png",4,220,900)</f>
        <v/>
      </c>
      <c r="T2529">
        <f>IMAGE("https://mitra.stanford.edu/kundaje/oak/projects/neuro-variants/variant_position/credible/roussos_2024/variant_figures/roussos_2024.childhood.GABA/rs1553656_profile_position.png",4,220,900)</f>
        <v/>
      </c>
    </row>
    <row r="2530">
      <c r="A2530" t="inlineStr">
        <is>
          <t>chr3</t>
        </is>
      </c>
      <c r="B2530" t="n">
        <v>36821489</v>
      </c>
      <c r="C2530" t="inlineStr">
        <is>
          <t>C</t>
        </is>
      </c>
      <c r="D2530" t="inlineStr">
        <is>
          <t>T</t>
        </is>
      </c>
      <c r="E2530" t="inlineStr">
        <is>
          <t>rs4624519</t>
        </is>
      </c>
      <c r="F2530" t="n">
        <v>-0.0520171828</v>
      </c>
      <c r="G2530" t="n">
        <v>0.1330538446920503</v>
      </c>
      <c r="H2530" t="n">
        <v>0.0102499619762972</v>
      </c>
      <c r="I2530" t="n">
        <v>0.6082433572375811</v>
      </c>
      <c r="J2530" t="n">
        <v>0.1512146342484973</v>
      </c>
      <c r="K2530" t="n">
        <v>0.2805766418668203</v>
      </c>
      <c r="L2530" t="b">
        <v>0</v>
      </c>
      <c r="M2530" t="b">
        <v>0</v>
      </c>
      <c r="N2530" t="inlineStr">
        <is>
          <t>ref</t>
        </is>
      </c>
      <c r="O2530" t="n">
        <v>-50</v>
      </c>
      <c r="P2530" t="n">
        <v>0.0009779999999999999</v>
      </c>
      <c r="Q2530" t="n">
        <v>30</v>
      </c>
      <c r="R2530" t="n">
        <v>0.03784</v>
      </c>
      <c r="S2530">
        <f>IMAGE("https://mitra.stanford.edu/kundaje/oak/projects/neuro-variants/variant_position/credible/roussos_2024/variant_figures/roussos_2024.childhood.GABA/rs4624519_count_position.png",4,220,900)</f>
        <v/>
      </c>
      <c r="T2530">
        <f>IMAGE("https://mitra.stanford.edu/kundaje/oak/projects/neuro-variants/variant_position/credible/roussos_2024/variant_figures/roussos_2024.childhood.GABA/rs4624519_profile_position.png",4,220,900)</f>
        <v/>
      </c>
    </row>
    <row r="2531">
      <c r="A2531" t="inlineStr">
        <is>
          <t>chr3</t>
        </is>
      </c>
      <c r="B2531" t="n">
        <v>36823035</v>
      </c>
      <c r="C2531" t="inlineStr">
        <is>
          <t>G</t>
        </is>
      </c>
      <c r="D2531" t="inlineStr">
        <is>
          <t>T</t>
        </is>
      </c>
      <c r="E2531" t="inlineStr">
        <is>
          <t>rs142802540</t>
        </is>
      </c>
      <c r="F2531" t="n">
        <v>0.007230731366</v>
      </c>
      <c r="G2531" t="n">
        <v>0.703721053579314</v>
      </c>
      <c r="H2531" t="n">
        <v>0.0396752615782639</v>
      </c>
      <c r="I2531" t="n">
        <v>0.0039517025820873</v>
      </c>
      <c r="J2531" t="n">
        <v>0.0319302213566207</v>
      </c>
      <c r="K2531" t="n">
        <v>0.5940950394124562</v>
      </c>
      <c r="L2531" t="b">
        <v>1</v>
      </c>
      <c r="M2531" t="b">
        <v>0</v>
      </c>
      <c r="N2531" t="inlineStr">
        <is>
          <t>alt</t>
        </is>
      </c>
      <c r="O2531" t="n">
        <v>65</v>
      </c>
      <c r="P2531" t="n">
        <v>0.0005493</v>
      </c>
      <c r="Q2531" t="n">
        <v>-70</v>
      </c>
      <c r="R2531" t="n">
        <v>0.0622</v>
      </c>
      <c r="S2531">
        <f>IMAGE("https://mitra.stanford.edu/kundaje/oak/projects/neuro-variants/variant_position/credible/roussos_2024/variant_figures/roussos_2024.childhood.GABA/rs142802540_count_position.png",4,220,900)</f>
        <v/>
      </c>
      <c r="T2531">
        <f>IMAGE("https://mitra.stanford.edu/kundaje/oak/projects/neuro-variants/variant_position/credible/roussos_2024/variant_figures/roussos_2024.childhood.GABA/rs142802540_profile_position.png",4,220,900)</f>
        <v/>
      </c>
    </row>
    <row r="2532">
      <c r="A2532" t="inlineStr">
        <is>
          <t>chr3</t>
        </is>
      </c>
      <c r="B2532" t="n">
        <v>36827948</v>
      </c>
      <c r="C2532" t="inlineStr">
        <is>
          <t>T</t>
        </is>
      </c>
      <c r="D2532" t="inlineStr">
        <is>
          <t>C</t>
        </is>
      </c>
      <c r="E2532" t="inlineStr">
        <is>
          <t>rs4789</t>
        </is>
      </c>
      <c r="F2532" t="n">
        <v>0.0467178606</v>
      </c>
      <c r="G2532" t="n">
        <v>0.1486751487160681</v>
      </c>
      <c r="H2532" t="n">
        <v>0.0115794844711291</v>
      </c>
      <c r="I2532" t="n">
        <v>0.4725180245739034</v>
      </c>
      <c r="J2532" t="n">
        <v>0.2562511779858013</v>
      </c>
      <c r="K2532" t="n">
        <v>0.1663835637952254</v>
      </c>
      <c r="L2532" t="b">
        <v>0</v>
      </c>
      <c r="M2532" t="b">
        <v>0</v>
      </c>
      <c r="N2532" t="inlineStr">
        <is>
          <t>alt</t>
        </is>
      </c>
      <c r="O2532" t="n">
        <v>100</v>
      </c>
      <c r="P2532" t="n">
        <v>0.010506</v>
      </c>
      <c r="Q2532" t="n">
        <v>-65</v>
      </c>
      <c r="R2532" t="n">
        <v>0.0868</v>
      </c>
      <c r="S2532">
        <f>IMAGE("https://mitra.stanford.edu/kundaje/oak/projects/neuro-variants/variant_position/credible/roussos_2024/variant_figures/roussos_2024.childhood.GABA/rs4789_count_position.png",4,220,900)</f>
        <v/>
      </c>
      <c r="T2532">
        <f>IMAGE("https://mitra.stanford.edu/kundaje/oak/projects/neuro-variants/variant_position/credible/roussos_2024/variant_figures/roussos_2024.childhood.GABA/rs4789_profile_position.png",4,220,900)</f>
        <v/>
      </c>
    </row>
    <row r="2533">
      <c r="A2533" t="inlineStr">
        <is>
          <t>chr3</t>
        </is>
      </c>
      <c r="B2533" t="n">
        <v>36830403</v>
      </c>
      <c r="C2533" t="inlineStr">
        <is>
          <t>C</t>
        </is>
      </c>
      <c r="D2533" t="inlineStr">
        <is>
          <t>A</t>
        </is>
      </c>
      <c r="E2533" t="inlineStr">
        <is>
          <t>rs12637912</t>
        </is>
      </c>
      <c r="F2533" t="n">
        <v>0.0179299272</v>
      </c>
      <c r="G2533" t="n">
        <v>0.3150042677351478</v>
      </c>
      <c r="H2533" t="n">
        <v>0.0128596241943637</v>
      </c>
      <c r="I2533" t="n">
        <v>0.3631589488993216</v>
      </c>
      <c r="J2533" t="n">
        <v>0.0615871918912692</v>
      </c>
      <c r="K2533" t="n">
        <v>0.4666643745671909</v>
      </c>
      <c r="L2533" t="b">
        <v>0</v>
      </c>
      <c r="M2533" t="b">
        <v>0</v>
      </c>
      <c r="N2533" t="inlineStr">
        <is>
          <t>alt</t>
        </is>
      </c>
      <c r="O2533" t="n">
        <v>35</v>
      </c>
      <c r="P2533" t="n">
        <v>0.001648</v>
      </c>
      <c r="Q2533" t="n">
        <v>55</v>
      </c>
      <c r="R2533" t="n">
        <v>0.06635000000000001</v>
      </c>
      <c r="S2533">
        <f>IMAGE("https://mitra.stanford.edu/kundaje/oak/projects/neuro-variants/variant_position/credible/roussos_2024/variant_figures/roussos_2024.childhood.GABA/rs12637912_count_position.png",4,220,900)</f>
        <v/>
      </c>
      <c r="T2533">
        <f>IMAGE("https://mitra.stanford.edu/kundaje/oak/projects/neuro-variants/variant_position/credible/roussos_2024/variant_figures/roussos_2024.childhood.GABA/rs12637912_profile_position.png",4,220,900)</f>
        <v/>
      </c>
    </row>
    <row r="2534">
      <c r="A2534" t="inlineStr">
        <is>
          <t>chr3</t>
        </is>
      </c>
      <c r="B2534" t="n">
        <v>36830702</v>
      </c>
      <c r="C2534" t="inlineStr">
        <is>
          <t>C</t>
        </is>
      </c>
      <c r="D2534" t="inlineStr">
        <is>
          <t>A</t>
        </is>
      </c>
      <c r="E2534" t="inlineStr">
        <is>
          <t>rs3732385</t>
        </is>
      </c>
      <c r="F2534" t="n">
        <v>-0.0018400177599999</v>
      </c>
      <c r="G2534" t="n">
        <v>0.325770163056116</v>
      </c>
      <c r="H2534" t="n">
        <v>0.0163358853323049</v>
      </c>
      <c r="I2534" t="n">
        <v>0.1655830621043234</v>
      </c>
      <c r="J2534" t="n">
        <v>0.196147724654981</v>
      </c>
      <c r="K2534" t="n">
        <v>0.2240573707704299</v>
      </c>
      <c r="L2534" t="b">
        <v>0</v>
      </c>
      <c r="M2534" t="b">
        <v>0</v>
      </c>
      <c r="N2534" t="inlineStr">
        <is>
          <t>ref</t>
        </is>
      </c>
      <c r="O2534" t="n">
        <v>100</v>
      </c>
      <c r="P2534" t="n">
        <v>0.006027</v>
      </c>
      <c r="Q2534" t="n">
        <v>85</v>
      </c>
      <c r="R2534" t="n">
        <v>0.075</v>
      </c>
      <c r="S2534">
        <f>IMAGE("https://mitra.stanford.edu/kundaje/oak/projects/neuro-variants/variant_position/credible/roussos_2024/variant_figures/roussos_2024.childhood.GABA/rs3732385_count_position.png",4,220,900)</f>
        <v/>
      </c>
      <c r="T2534">
        <f>IMAGE("https://mitra.stanford.edu/kundaje/oak/projects/neuro-variants/variant_position/credible/roussos_2024/variant_figures/roussos_2024.childhood.GABA/rs3732385_profile_position.png",4,220,900)</f>
        <v/>
      </c>
    </row>
    <row r="2535">
      <c r="A2535" t="inlineStr">
        <is>
          <t>chr3</t>
        </is>
      </c>
      <c r="B2535" t="n">
        <v>36837072</v>
      </c>
      <c r="C2535" t="inlineStr">
        <is>
          <t>A</t>
        </is>
      </c>
      <c r="D2535" t="inlineStr">
        <is>
          <t>G</t>
        </is>
      </c>
      <c r="E2535" t="inlineStr">
        <is>
          <t>rs4678909</t>
        </is>
      </c>
      <c r="F2535" t="n">
        <v>0.0040371791599999</v>
      </c>
      <c r="G2535" t="n">
        <v>0.7950981279508008</v>
      </c>
      <c r="H2535" t="n">
        <v>0.008797409236720901</v>
      </c>
      <c r="I2535" t="n">
        <v>0.7499970040843509</v>
      </c>
      <c r="J2535" t="n">
        <v>0.1753638667253041</v>
      </c>
      <c r="K2535" t="n">
        <v>0.2384044550132049</v>
      </c>
      <c r="L2535" t="b">
        <v>0</v>
      </c>
      <c r="M2535" t="b">
        <v>0</v>
      </c>
      <c r="N2535" t="inlineStr">
        <is>
          <t>alt</t>
        </is>
      </c>
      <c r="O2535" t="n">
        <v>75</v>
      </c>
      <c r="P2535" t="n">
        <v>0.0471</v>
      </c>
      <c r="Q2535" t="n">
        <v>75</v>
      </c>
      <c r="R2535" t="n">
        <v>0.4048</v>
      </c>
      <c r="S2535">
        <f>IMAGE("https://mitra.stanford.edu/kundaje/oak/projects/neuro-variants/variant_position/credible/roussos_2024/variant_figures/roussos_2024.childhood.GABA/rs4678909_count_position.png",4,220,900)</f>
        <v/>
      </c>
      <c r="T2535">
        <f>IMAGE("https://mitra.stanford.edu/kundaje/oak/projects/neuro-variants/variant_position/credible/roussos_2024/variant_figures/roussos_2024.childhood.GABA/rs4678909_profile_position.png",4,220,900)</f>
        <v/>
      </c>
    </row>
    <row r="2536">
      <c r="A2536" t="inlineStr">
        <is>
          <t>chr3</t>
        </is>
      </c>
      <c r="B2536" t="n">
        <v>36844469</v>
      </c>
      <c r="C2536" t="inlineStr">
        <is>
          <t>C</t>
        </is>
      </c>
      <c r="D2536" t="inlineStr">
        <is>
          <t>T</t>
        </is>
      </c>
      <c r="E2536" t="inlineStr">
        <is>
          <t>rs9863798</t>
        </is>
      </c>
      <c r="F2536" t="n">
        <v>-0.0392918326</v>
      </c>
      <c r="G2536" t="n">
        <v>0.2092623060099312</v>
      </c>
      <c r="H2536" t="n">
        <v>0.0154179058032543</v>
      </c>
      <c r="I2536" t="n">
        <v>0.2065068672368007</v>
      </c>
      <c r="J2536" t="n">
        <v>0.0790140520617368</v>
      </c>
      <c r="K2536" t="n">
        <v>0.4004019359268906</v>
      </c>
      <c r="L2536" t="b">
        <v>0</v>
      </c>
      <c r="M2536" t="b">
        <v>0</v>
      </c>
      <c r="N2536" t="inlineStr">
        <is>
          <t>ref</t>
        </is>
      </c>
      <c r="O2536" t="n">
        <v>-100</v>
      </c>
      <c r="P2536" t="n">
        <v>0.009719999999999999</v>
      </c>
      <c r="Q2536" t="n">
        <v>40</v>
      </c>
      <c r="R2536" t="n">
        <v>0.00783</v>
      </c>
      <c r="S2536">
        <f>IMAGE("https://mitra.stanford.edu/kundaje/oak/projects/neuro-variants/variant_position/credible/roussos_2024/variant_figures/roussos_2024.childhood.GABA/rs9863798_count_position.png",4,220,900)</f>
        <v/>
      </c>
      <c r="T2536">
        <f>IMAGE("https://mitra.stanford.edu/kundaje/oak/projects/neuro-variants/variant_position/credible/roussos_2024/variant_figures/roussos_2024.childhood.GABA/rs9863798_profile_position.png",4,220,900)</f>
        <v/>
      </c>
    </row>
    <row r="2537">
      <c r="A2537" t="inlineStr">
        <is>
          <t>chr3</t>
        </is>
      </c>
      <c r="B2537" t="n">
        <v>36844815</v>
      </c>
      <c r="C2537" t="inlineStr">
        <is>
          <t>G</t>
        </is>
      </c>
      <c r="D2537" t="inlineStr">
        <is>
          <t>A</t>
        </is>
      </c>
      <c r="E2537" t="inlineStr">
        <is>
          <t>rs35979223</t>
        </is>
      </c>
      <c r="F2537" t="n">
        <v>-0.16159691</v>
      </c>
      <c r="G2537" t="n">
        <v>0.008477077391794201</v>
      </c>
      <c r="H2537" t="n">
        <v>0.0225223611651491</v>
      </c>
      <c r="I2537" t="n">
        <v>0.0484297717182869</v>
      </c>
      <c r="J2537" t="n">
        <v>0.0195838830600405</v>
      </c>
      <c r="K2537" t="n">
        <v>0.6589595318372935</v>
      </c>
      <c r="L2537" t="b">
        <v>1</v>
      </c>
      <c r="M2537" t="b">
        <v>1</v>
      </c>
      <c r="N2537" t="inlineStr">
        <is>
          <t>ref</t>
        </is>
      </c>
      <c r="O2537" t="n">
        <v>100</v>
      </c>
      <c r="P2537" t="n">
        <v>0.010765</v>
      </c>
      <c r="Q2537" t="n">
        <v>85</v>
      </c>
      <c r="R2537" t="n">
        <v>0.05286</v>
      </c>
      <c r="S2537">
        <f>IMAGE("https://mitra.stanford.edu/kundaje/oak/projects/neuro-variants/variant_position/credible/roussos_2024/variant_figures/roussos_2024.childhood.GABA/rs35979223_count_position.png",4,220,900)</f>
        <v/>
      </c>
      <c r="T2537">
        <f>IMAGE("https://mitra.stanford.edu/kundaje/oak/projects/neuro-variants/variant_position/credible/roussos_2024/variant_figures/roussos_2024.childhood.GABA/rs35979223_profile_position.png",4,220,900)</f>
        <v/>
      </c>
    </row>
    <row r="2538">
      <c r="A2538" t="inlineStr">
        <is>
          <t>chr3</t>
        </is>
      </c>
      <c r="B2538" t="n">
        <v>36846482</v>
      </c>
      <c r="C2538" t="inlineStr">
        <is>
          <t>C</t>
        </is>
      </c>
      <c r="D2538" t="inlineStr">
        <is>
          <t>G</t>
        </is>
      </c>
      <c r="E2538" t="inlineStr">
        <is>
          <t>rs4678910</t>
        </is>
      </c>
      <c r="F2538" t="n">
        <v>-0.0899936992</v>
      </c>
      <c r="G2538" t="n">
        <v>0.0456759001769029</v>
      </c>
      <c r="H2538" t="n">
        <v>0.0172079513019171</v>
      </c>
      <c r="I2538" t="n">
        <v>0.150240663932831</v>
      </c>
      <c r="J2538" t="n">
        <v>0.0596552951770643</v>
      </c>
      <c r="K2538" t="n">
        <v>0.463459983815577</v>
      </c>
      <c r="L2538" t="b">
        <v>0</v>
      </c>
      <c r="M2538" t="b">
        <v>0</v>
      </c>
      <c r="N2538" t="inlineStr">
        <is>
          <t>ref</t>
        </is>
      </c>
      <c r="O2538" t="n">
        <v>100</v>
      </c>
      <c r="P2538" t="n">
        <v>0.01026</v>
      </c>
      <c r="Q2538" t="n">
        <v>-60</v>
      </c>
      <c r="R2538" t="n">
        <v>0.0762</v>
      </c>
      <c r="S2538">
        <f>IMAGE("https://mitra.stanford.edu/kundaje/oak/projects/neuro-variants/variant_position/credible/roussos_2024/variant_figures/roussos_2024.childhood.GABA/rs4678910_count_position.png",4,220,900)</f>
        <v/>
      </c>
      <c r="T2538">
        <f>IMAGE("https://mitra.stanford.edu/kundaje/oak/projects/neuro-variants/variant_position/credible/roussos_2024/variant_figures/roussos_2024.childhood.GABA/rs4678910_profile_position.png",4,220,900)</f>
        <v/>
      </c>
    </row>
    <row r="2539">
      <c r="A2539" t="inlineStr">
        <is>
          <t>chr3</t>
        </is>
      </c>
      <c r="B2539" t="n">
        <v>36846573</v>
      </c>
      <c r="C2539" t="inlineStr">
        <is>
          <t>G</t>
        </is>
      </c>
      <c r="D2539" t="inlineStr">
        <is>
          <t>T</t>
        </is>
      </c>
      <c r="E2539" t="inlineStr">
        <is>
          <t>rs4678911</t>
        </is>
      </c>
      <c r="F2539" t="n">
        <v>0.08342113799999989</v>
      </c>
      <c r="G2539" t="n">
        <v>0.0572265682889645</v>
      </c>
      <c r="H2539" t="n">
        <v>0.0215669951190529</v>
      </c>
      <c r="I2539" t="n">
        <v>0.0561490570162837</v>
      </c>
      <c r="J2539" t="n">
        <v>0.07934179388913309</v>
      </c>
      <c r="K2539" t="n">
        <v>0.4021852760278301</v>
      </c>
      <c r="L2539" t="b">
        <v>0</v>
      </c>
      <c r="M2539" t="b">
        <v>0</v>
      </c>
      <c r="N2539" t="inlineStr">
        <is>
          <t>alt</t>
        </is>
      </c>
      <c r="O2539" t="n">
        <v>45</v>
      </c>
      <c r="P2539" t="n">
        <v>0.00505</v>
      </c>
      <c r="Q2539" t="n">
        <v>-70</v>
      </c>
      <c r="R2539" t="n">
        <v>0.11487</v>
      </c>
      <c r="S2539">
        <f>IMAGE("https://mitra.stanford.edu/kundaje/oak/projects/neuro-variants/variant_position/credible/roussos_2024/variant_figures/roussos_2024.childhood.GABA/rs4678911_count_position.png",4,220,900)</f>
        <v/>
      </c>
      <c r="T2539">
        <f>IMAGE("https://mitra.stanford.edu/kundaje/oak/projects/neuro-variants/variant_position/credible/roussos_2024/variant_figures/roussos_2024.childhood.GABA/rs4678911_profile_position.png",4,220,900)</f>
        <v/>
      </c>
    </row>
    <row r="2540">
      <c r="A2540" t="inlineStr">
        <is>
          <t>chr3</t>
        </is>
      </c>
      <c r="B2540" t="n">
        <v>36846681</v>
      </c>
      <c r="C2540" t="inlineStr">
        <is>
          <t>T</t>
        </is>
      </c>
      <c r="D2540" t="inlineStr">
        <is>
          <t>G</t>
        </is>
      </c>
      <c r="E2540" t="inlineStr">
        <is>
          <t>rs9819304</t>
        </is>
      </c>
      <c r="F2540" t="n">
        <v>0.00511740668</v>
      </c>
      <c r="G2540" t="n">
        <v>0.6079773283006742</v>
      </c>
      <c r="H2540" t="n">
        <v>0.027253905202123</v>
      </c>
      <c r="I2540" t="n">
        <v>0.0192902218980337</v>
      </c>
      <c r="J2540" t="n">
        <v>0.0676635044292265</v>
      </c>
      <c r="K2540" t="n">
        <v>0.4370257999801908</v>
      </c>
      <c r="L2540" t="b">
        <v>1</v>
      </c>
      <c r="M2540" t="b">
        <v>0</v>
      </c>
      <c r="N2540" t="inlineStr">
        <is>
          <t>alt</t>
        </is>
      </c>
      <c r="O2540" t="n">
        <v>-65</v>
      </c>
      <c r="P2540" t="n">
        <v>0.01314</v>
      </c>
      <c r="Q2540" t="n">
        <v>-75</v>
      </c>
      <c r="R2540" t="n">
        <v>0.12</v>
      </c>
      <c r="S2540">
        <f>IMAGE("https://mitra.stanford.edu/kundaje/oak/projects/neuro-variants/variant_position/credible/roussos_2024/variant_figures/roussos_2024.childhood.GABA/rs9819304_count_position.png",4,220,900)</f>
        <v/>
      </c>
      <c r="T2540">
        <f>IMAGE("https://mitra.stanford.edu/kundaje/oak/projects/neuro-variants/variant_position/credible/roussos_2024/variant_figures/roussos_2024.childhood.GABA/rs9819304_profile_position.png",4,220,900)</f>
        <v/>
      </c>
    </row>
    <row r="2541">
      <c r="A2541" t="inlineStr">
        <is>
          <t>chr3</t>
        </is>
      </c>
      <c r="B2541" t="n">
        <v>36853088</v>
      </c>
      <c r="C2541" t="inlineStr">
        <is>
          <t>C</t>
        </is>
      </c>
      <c r="D2541" t="inlineStr">
        <is>
          <t>T</t>
        </is>
      </c>
      <c r="E2541" t="inlineStr">
        <is>
          <t>rs9883001</t>
        </is>
      </c>
      <c r="F2541" t="n">
        <v>-0.081713274</v>
      </c>
      <c r="G2541" t="n">
        <v>0.0483429171696664</v>
      </c>
      <c r="H2541" t="n">
        <v>0.0128355505227639</v>
      </c>
      <c r="I2541" t="n">
        <v>0.3695961395129023</v>
      </c>
      <c r="J2541" t="n">
        <v>0.021148248204226</v>
      </c>
      <c r="K2541" t="n">
        <v>0.6488783840036669</v>
      </c>
      <c r="L2541" t="b">
        <v>0</v>
      </c>
      <c r="M2541" t="b">
        <v>0</v>
      </c>
      <c r="N2541" t="inlineStr">
        <is>
          <t>ref</t>
        </is>
      </c>
      <c r="O2541" t="n">
        <v>-70</v>
      </c>
      <c r="P2541" t="n">
        <v>0.00557</v>
      </c>
      <c r="Q2541" t="n">
        <v>-95</v>
      </c>
      <c r="R2541" t="n">
        <v>0.0429</v>
      </c>
      <c r="S2541">
        <f>IMAGE("https://mitra.stanford.edu/kundaje/oak/projects/neuro-variants/variant_position/credible/roussos_2024/variant_figures/roussos_2024.childhood.GABA/rs9883001_count_position.png",4,220,900)</f>
        <v/>
      </c>
      <c r="T2541">
        <f>IMAGE("https://mitra.stanford.edu/kundaje/oak/projects/neuro-variants/variant_position/credible/roussos_2024/variant_figures/roussos_2024.childhood.GABA/rs9883001_profile_position.png",4,220,900)</f>
        <v/>
      </c>
    </row>
    <row r="2542">
      <c r="A2542" t="inlineStr">
        <is>
          <t>chr3</t>
        </is>
      </c>
      <c r="B2542" t="n">
        <v>36854744</v>
      </c>
      <c r="C2542" t="inlineStr">
        <is>
          <t>C</t>
        </is>
      </c>
      <c r="D2542" t="inlineStr">
        <is>
          <t>T</t>
        </is>
      </c>
      <c r="E2542" t="inlineStr">
        <is>
          <t>rs11706780</t>
        </is>
      </c>
      <c r="F2542" t="n">
        <v>0.0266156454</v>
      </c>
      <c r="G2542" t="n">
        <v>0.3287694010388297</v>
      </c>
      <c r="H2542" t="n">
        <v>0.0180897715022763</v>
      </c>
      <c r="I2542" t="n">
        <v>0.1154348981538305</v>
      </c>
      <c r="J2542" t="n">
        <v>0.0447938263073024</v>
      </c>
      <c r="K2542" t="n">
        <v>0.5301901220426957</v>
      </c>
      <c r="L2542" t="b">
        <v>0</v>
      </c>
      <c r="M2542" t="b">
        <v>0</v>
      </c>
      <c r="N2542" t="inlineStr">
        <is>
          <t>alt</t>
        </is>
      </c>
      <c r="O2542" t="n">
        <v>85</v>
      </c>
      <c r="P2542" t="n">
        <v>0.003473</v>
      </c>
      <c r="Q2542" t="n">
        <v>-10</v>
      </c>
      <c r="R2542" t="n">
        <v>0.007385</v>
      </c>
      <c r="S2542">
        <f>IMAGE("https://mitra.stanford.edu/kundaje/oak/projects/neuro-variants/variant_position/credible/roussos_2024/variant_figures/roussos_2024.childhood.GABA/rs11706780_count_position.png",4,220,900)</f>
        <v/>
      </c>
      <c r="T2542">
        <f>IMAGE("https://mitra.stanford.edu/kundaje/oak/projects/neuro-variants/variant_position/credible/roussos_2024/variant_figures/roussos_2024.childhood.GABA/rs11706780_profile_position.png",4,220,900)</f>
        <v/>
      </c>
    </row>
    <row r="2543">
      <c r="A2543" t="inlineStr">
        <is>
          <t>chr3</t>
        </is>
      </c>
      <c r="B2543" t="n">
        <v>36881851</v>
      </c>
      <c r="C2543" t="inlineStr">
        <is>
          <t>A</t>
        </is>
      </c>
      <c r="D2543" t="inlineStr">
        <is>
          <t>G</t>
        </is>
      </c>
      <c r="E2543" t="inlineStr">
        <is>
          <t>rs11129739</t>
        </is>
      </c>
      <c r="F2543" t="n">
        <v>0.1106113358</v>
      </c>
      <c r="G2543" t="n">
        <v>0.0244163716079817</v>
      </c>
      <c r="H2543" t="n">
        <v>0.019308867910939</v>
      </c>
      <c r="I2543" t="n">
        <v>0.0882913166211637</v>
      </c>
      <c r="J2543" t="n">
        <v>0.0202990513287679</v>
      </c>
      <c r="K2543" t="n">
        <v>0.6565283217568232</v>
      </c>
      <c r="L2543" t="b">
        <v>0</v>
      </c>
      <c r="M2543" t="b">
        <v>0</v>
      </c>
      <c r="N2543" t="inlineStr">
        <is>
          <t>alt</t>
        </is>
      </c>
      <c r="O2543" t="n">
        <v>-100</v>
      </c>
      <c r="P2543" t="n">
        <v>0.0163</v>
      </c>
      <c r="Q2543" t="n">
        <v>-20</v>
      </c>
      <c r="R2543" t="n">
        <v>0.00464</v>
      </c>
      <c r="S2543">
        <f>IMAGE("https://mitra.stanford.edu/kundaje/oak/projects/neuro-variants/variant_position/credible/roussos_2024/variant_figures/roussos_2024.childhood.GABA/rs11129739_count_position.png",4,220,900)</f>
        <v/>
      </c>
      <c r="T2543">
        <f>IMAGE("https://mitra.stanford.edu/kundaje/oak/projects/neuro-variants/variant_position/credible/roussos_2024/variant_figures/roussos_2024.childhood.GABA/rs11129739_profile_position.png",4,220,900)</f>
        <v/>
      </c>
    </row>
    <row r="2544">
      <c r="A2544" t="inlineStr">
        <is>
          <t>chr3</t>
        </is>
      </c>
      <c r="B2544" t="n">
        <v>36979390</v>
      </c>
      <c r="C2544" t="inlineStr">
        <is>
          <t>C</t>
        </is>
      </c>
      <c r="D2544" t="inlineStr">
        <is>
          <t>T</t>
        </is>
      </c>
      <c r="E2544" t="inlineStr">
        <is>
          <t>rs6807351</t>
        </is>
      </c>
      <c r="F2544" t="n">
        <v>0.00105353728</v>
      </c>
      <c r="G2544" t="n">
        <v>0.7489033732017488</v>
      </c>
      <c r="H2544" t="n">
        <v>0.0309695212127602</v>
      </c>
      <c r="I2544" t="n">
        <v>0.0111667595377848</v>
      </c>
      <c r="J2544" t="n">
        <v>0.0139368809030176</v>
      </c>
      <c r="K2544" t="n">
        <v>0.7076989245331525</v>
      </c>
      <c r="L2544" t="b">
        <v>1</v>
      </c>
      <c r="M2544" t="b">
        <v>0</v>
      </c>
      <c r="N2544" t="inlineStr">
        <is>
          <t>alt</t>
        </is>
      </c>
      <c r="O2544" t="n">
        <v>-80</v>
      </c>
      <c r="P2544" t="n">
        <v>0.07776</v>
      </c>
      <c r="Q2544" t="n">
        <v>-80</v>
      </c>
      <c r="R2544" t="n">
        <v>0.01233</v>
      </c>
      <c r="S2544">
        <f>IMAGE("https://mitra.stanford.edu/kundaje/oak/projects/neuro-variants/variant_position/credible/roussos_2024/variant_figures/roussos_2024.childhood.GABA/rs6807351_count_position.png",4,220,900)</f>
        <v/>
      </c>
      <c r="T2544">
        <f>IMAGE("https://mitra.stanford.edu/kundaje/oak/projects/neuro-variants/variant_position/credible/roussos_2024/variant_figures/roussos_2024.childhood.GABA/rs6807351_profile_position.png",4,220,900)</f>
        <v/>
      </c>
    </row>
    <row r="2545">
      <c r="A2545" t="inlineStr">
        <is>
          <t>chr3</t>
        </is>
      </c>
      <c r="B2545" t="n">
        <v>37835756</v>
      </c>
      <c r="C2545" t="inlineStr">
        <is>
          <t>G</t>
        </is>
      </c>
      <c r="D2545" t="inlineStr">
        <is>
          <t>A</t>
        </is>
      </c>
      <c r="E2545" t="inlineStr">
        <is>
          <t>rs6778309</t>
        </is>
      </c>
      <c r="F2545" t="n">
        <v>0.001458010672</v>
      </c>
      <c r="G2545" t="n">
        <v>0.9049809534412016</v>
      </c>
      <c r="H2545" t="n">
        <v>0.0203687059711444</v>
      </c>
      <c r="I2545" t="n">
        <v>0.0689730198601345</v>
      </c>
      <c r="J2545" t="n">
        <v>0.0220780716634206</v>
      </c>
      <c r="K2545" t="n">
        <v>0.6265564445418921</v>
      </c>
      <c r="L2545" t="b">
        <v>0</v>
      </c>
      <c r="M2545" t="b">
        <v>0</v>
      </c>
      <c r="N2545" t="inlineStr">
        <is>
          <t>alt</t>
        </is>
      </c>
      <c r="O2545" t="n">
        <v>100</v>
      </c>
      <c r="P2545" t="n">
        <v>0.03513</v>
      </c>
      <c r="Q2545" t="n">
        <v>-30</v>
      </c>
      <c r="R2545" t="n">
        <v>0.03375</v>
      </c>
      <c r="S2545">
        <f>IMAGE("https://mitra.stanford.edu/kundaje/oak/projects/neuro-variants/variant_position/credible/roussos_2024/variant_figures/roussos_2024.childhood.GABA/rs6778309_count_position.png",4,220,900)</f>
        <v/>
      </c>
      <c r="T2545">
        <f>IMAGE("https://mitra.stanford.edu/kundaje/oak/projects/neuro-variants/variant_position/credible/roussos_2024/variant_figures/roussos_2024.childhood.GABA/rs6778309_profile_position.png",4,220,900)</f>
        <v/>
      </c>
    </row>
    <row r="2546">
      <c r="A2546" t="inlineStr">
        <is>
          <t>chr3</t>
        </is>
      </c>
      <c r="B2546" t="n">
        <v>37839605</v>
      </c>
      <c r="C2546" t="inlineStr">
        <is>
          <t>G</t>
        </is>
      </c>
      <c r="D2546" t="inlineStr">
        <is>
          <t>A</t>
        </is>
      </c>
      <c r="E2546" t="inlineStr">
        <is>
          <t>rs113888150</t>
        </is>
      </c>
      <c r="F2546" t="n">
        <v>-0.0963199322</v>
      </c>
      <c r="G2546" t="n">
        <v>0.03380246195774</v>
      </c>
      <c r="H2546" t="n">
        <v>0.0179418262774833</v>
      </c>
      <c r="I2546" t="n">
        <v>0.1177635948581209</v>
      </c>
      <c r="J2546" t="n">
        <v>0.2247429373206843</v>
      </c>
      <c r="K2546" t="n">
        <v>0.1979238387859843</v>
      </c>
      <c r="L2546" t="b">
        <v>0</v>
      </c>
      <c r="M2546" t="b">
        <v>0</v>
      </c>
      <c r="N2546" t="inlineStr">
        <is>
          <t>ref</t>
        </is>
      </c>
      <c r="O2546" t="n">
        <v>-90</v>
      </c>
      <c r="P2546" t="n">
        <v>0.006386</v>
      </c>
      <c r="Q2546" t="n">
        <v>-95</v>
      </c>
      <c r="R2546" t="n">
        <v>0.1265</v>
      </c>
      <c r="S2546">
        <f>IMAGE("https://mitra.stanford.edu/kundaje/oak/projects/neuro-variants/variant_position/credible/roussos_2024/variant_figures/roussos_2024.childhood.GABA/rs113888150_count_position.png",4,220,900)</f>
        <v/>
      </c>
      <c r="T2546">
        <f>IMAGE("https://mitra.stanford.edu/kundaje/oak/projects/neuro-variants/variant_position/credible/roussos_2024/variant_figures/roussos_2024.childhood.GABA/rs113888150_profile_position.png",4,220,900)</f>
        <v/>
      </c>
    </row>
    <row r="2547">
      <c r="A2547" t="inlineStr">
        <is>
          <t>chr3</t>
        </is>
      </c>
      <c r="B2547" t="n">
        <v>37845490</v>
      </c>
      <c r="C2547" t="inlineStr">
        <is>
          <t>G</t>
        </is>
      </c>
      <c r="D2547" t="inlineStr">
        <is>
          <t>A</t>
        </is>
      </c>
      <c r="E2547" t="inlineStr">
        <is>
          <t>rs72862271</t>
        </is>
      </c>
      <c r="F2547" t="n">
        <v>0.0801838144</v>
      </c>
      <c r="G2547" t="n">
        <v>0.0625237683746563</v>
      </c>
      <c r="H2547" t="n">
        <v>0.0197384926347369</v>
      </c>
      <c r="I2547" t="n">
        <v>0.08403496933587599</v>
      </c>
      <c r="J2547" t="n">
        <v>0.002270109526502</v>
      </c>
      <c r="K2547" t="n">
        <v>0.8704613408916022</v>
      </c>
      <c r="L2547" t="b">
        <v>0</v>
      </c>
      <c r="M2547" t="b">
        <v>0</v>
      </c>
      <c r="N2547" t="inlineStr">
        <is>
          <t>alt</t>
        </is>
      </c>
      <c r="O2547" t="n">
        <v>75</v>
      </c>
      <c r="P2547" t="n">
        <v>0.006847</v>
      </c>
      <c r="Q2547" t="n">
        <v>45</v>
      </c>
      <c r="R2547" t="n">
        <v>0.01704</v>
      </c>
      <c r="S2547">
        <f>IMAGE("https://mitra.stanford.edu/kundaje/oak/projects/neuro-variants/variant_position/credible/roussos_2024/variant_figures/roussos_2024.childhood.GABA/rs72862271_count_position.png",4,220,900)</f>
        <v/>
      </c>
      <c r="T2547">
        <f>IMAGE("https://mitra.stanford.edu/kundaje/oak/projects/neuro-variants/variant_position/credible/roussos_2024/variant_figures/roussos_2024.childhood.GABA/rs72862271_profile_position.png",4,220,900)</f>
        <v/>
      </c>
    </row>
    <row r="2548">
      <c r="A2548" t="inlineStr">
        <is>
          <t>chr3</t>
        </is>
      </c>
      <c r="B2548" t="n">
        <v>37903926</v>
      </c>
      <c r="C2548" t="inlineStr">
        <is>
          <t>G</t>
        </is>
      </c>
      <c r="D2548" t="inlineStr">
        <is>
          <t>A</t>
        </is>
      </c>
      <c r="E2548" t="inlineStr">
        <is>
          <t>rs1812423</t>
        </is>
      </c>
      <c r="F2548" t="n">
        <v>0.0208937097</v>
      </c>
      <c r="G2548" t="n">
        <v>0.3916847204158259</v>
      </c>
      <c r="H2548" t="n">
        <v>0.0165231543484876</v>
      </c>
      <c r="I2548" t="n">
        <v>0.1630662055095585</v>
      </c>
      <c r="J2548" t="n">
        <v>0.1981110343238885</v>
      </c>
      <c r="K2548" t="n">
        <v>0.2186297714376338</v>
      </c>
      <c r="L2548" t="b">
        <v>0</v>
      </c>
      <c r="M2548" t="b">
        <v>0</v>
      </c>
      <c r="N2548" t="inlineStr">
        <is>
          <t>alt</t>
        </is>
      </c>
      <c r="O2548" t="n">
        <v>100</v>
      </c>
      <c r="P2548" t="n">
        <v>0.01904</v>
      </c>
      <c r="Q2548" t="n">
        <v>100</v>
      </c>
      <c r="R2548" t="n">
        <v>0.2053</v>
      </c>
      <c r="S2548">
        <f>IMAGE("https://mitra.stanford.edu/kundaje/oak/projects/neuro-variants/variant_position/credible/roussos_2024/variant_figures/roussos_2024.childhood.GABA/rs1812423_count_position.png",4,220,900)</f>
        <v/>
      </c>
      <c r="T2548">
        <f>IMAGE("https://mitra.stanford.edu/kundaje/oak/projects/neuro-variants/variant_position/credible/roussos_2024/variant_figures/roussos_2024.childhood.GABA/rs1812423_profile_position.png",4,220,900)</f>
        <v/>
      </c>
    </row>
    <row r="2549">
      <c r="A2549" t="inlineStr">
        <is>
          <t>chr3</t>
        </is>
      </c>
      <c r="B2549" t="n">
        <v>37928204</v>
      </c>
      <c r="C2549" t="inlineStr">
        <is>
          <t>C</t>
        </is>
      </c>
      <c r="D2549" t="inlineStr">
        <is>
          <t>G</t>
        </is>
      </c>
      <c r="E2549" t="inlineStr">
        <is>
          <t>rs9878581</t>
        </is>
      </c>
      <c r="F2549" t="n">
        <v>-0.179524026</v>
      </c>
      <c r="G2549" t="n">
        <v>0.0060395219668985</v>
      </c>
      <c r="H2549" t="n">
        <v>0.0300882984247758</v>
      </c>
      <c r="I2549" t="n">
        <v>0.0128081729718645</v>
      </c>
      <c r="J2549" t="n">
        <v>0.0579506188352075</v>
      </c>
      <c r="K2549" t="n">
        <v>0.4669296577511476</v>
      </c>
      <c r="L2549" t="b">
        <v>1</v>
      </c>
      <c r="M2549" t="b">
        <v>1</v>
      </c>
      <c r="N2549" t="inlineStr">
        <is>
          <t>ref</t>
        </is>
      </c>
      <c r="O2549" t="n">
        <v>85</v>
      </c>
      <c r="P2549" t="n">
        <v>0.004047</v>
      </c>
      <c r="Q2549" t="n">
        <v>-80</v>
      </c>
      <c r="R2549" t="n">
        <v>0.0432</v>
      </c>
      <c r="S2549">
        <f>IMAGE("https://mitra.stanford.edu/kundaje/oak/projects/neuro-variants/variant_position/credible/roussos_2024/variant_figures/roussos_2024.childhood.GABA/rs9878581_count_position.png",4,220,900)</f>
        <v/>
      </c>
      <c r="T2549">
        <f>IMAGE("https://mitra.stanford.edu/kundaje/oak/projects/neuro-variants/variant_position/credible/roussos_2024/variant_figures/roussos_2024.childhood.GABA/rs9878581_profile_position.png",4,220,900)</f>
        <v/>
      </c>
    </row>
    <row r="2550">
      <c r="A2550" t="inlineStr">
        <is>
          <t>chr3</t>
        </is>
      </c>
      <c r="B2550" t="n">
        <v>37929755</v>
      </c>
      <c r="C2550" t="inlineStr">
        <is>
          <t>G</t>
        </is>
      </c>
      <c r="D2550" t="inlineStr">
        <is>
          <t>A</t>
        </is>
      </c>
      <c r="E2550" t="inlineStr">
        <is>
          <t>rs34054543</t>
        </is>
      </c>
      <c r="F2550" t="n">
        <v>-0.08018852359999989</v>
      </c>
      <c r="G2550" t="n">
        <v>0.0583741347967261</v>
      </c>
      <c r="H2550" t="n">
        <v>0.0211881415882569</v>
      </c>
      <c r="I2550" t="n">
        <v>0.0602116250358144</v>
      </c>
      <c r="J2550" t="n">
        <v>0.0111254214571422</v>
      </c>
      <c r="K2550" t="n">
        <v>0.7265962829944498</v>
      </c>
      <c r="L2550" t="b">
        <v>0</v>
      </c>
      <c r="M2550" t="b">
        <v>0</v>
      </c>
      <c r="N2550" t="inlineStr">
        <is>
          <t>ref</t>
        </is>
      </c>
      <c r="O2550" t="n">
        <v>60</v>
      </c>
      <c r="P2550" t="n">
        <v>0.005615</v>
      </c>
      <c r="Q2550" t="n">
        <v>-40</v>
      </c>
      <c r="R2550" t="n">
        <v>0.1207</v>
      </c>
      <c r="S2550">
        <f>IMAGE("https://mitra.stanford.edu/kundaje/oak/projects/neuro-variants/variant_position/credible/roussos_2024/variant_figures/roussos_2024.childhood.GABA/rs34054543_count_position.png",4,220,900)</f>
        <v/>
      </c>
      <c r="T2550">
        <f>IMAGE("https://mitra.stanford.edu/kundaje/oak/projects/neuro-variants/variant_position/credible/roussos_2024/variant_figures/roussos_2024.childhood.GABA/rs34054543_profile_position.png",4,220,900)</f>
        <v/>
      </c>
    </row>
    <row r="2551">
      <c r="A2551" t="inlineStr">
        <is>
          <t>chr3</t>
        </is>
      </c>
      <c r="B2551" t="n">
        <v>44578516</v>
      </c>
      <c r="C2551" t="inlineStr">
        <is>
          <t>G</t>
        </is>
      </c>
      <c r="D2551" t="inlineStr">
        <is>
          <t>A</t>
        </is>
      </c>
      <c r="E2551" t="inlineStr">
        <is>
          <t>rs7627777</t>
        </is>
      </c>
      <c r="F2551" t="n">
        <v>-0.059966688</v>
      </c>
      <c r="G2551" t="n">
        <v>0.1018003025274823</v>
      </c>
      <c r="H2551" t="n">
        <v>0.0161576064895035</v>
      </c>
      <c r="I2551" t="n">
        <v>0.1713559694288036</v>
      </c>
      <c r="J2551" t="n">
        <v>0.6251167514816444</v>
      </c>
      <c r="K2551" t="n">
        <v>0.0243197846126496</v>
      </c>
      <c r="L2551" t="b">
        <v>0</v>
      </c>
      <c r="M2551" t="b">
        <v>0</v>
      </c>
      <c r="N2551" t="inlineStr">
        <is>
          <t>ref</t>
        </is>
      </c>
      <c r="O2551" t="n">
        <v>30</v>
      </c>
      <c r="P2551" t="n">
        <v>0.00654</v>
      </c>
      <c r="Q2551" t="n">
        <v>100</v>
      </c>
      <c r="R2551" t="n">
        <v>0.0622</v>
      </c>
      <c r="S2551">
        <f>IMAGE("https://mitra.stanford.edu/kundaje/oak/projects/neuro-variants/variant_position/credible/roussos_2024/variant_figures/roussos_2024.childhood.GABA/rs7627777_count_position.png",4,220,900)</f>
        <v/>
      </c>
      <c r="T2551">
        <f>IMAGE("https://mitra.stanford.edu/kundaje/oak/projects/neuro-variants/variant_position/credible/roussos_2024/variant_figures/roussos_2024.childhood.GABA/rs7627777_profile_position.png",4,220,900)</f>
        <v/>
      </c>
    </row>
    <row r="2552">
      <c r="A2552" t="inlineStr">
        <is>
          <t>chr3</t>
        </is>
      </c>
      <c r="B2552" t="n">
        <v>44581242</v>
      </c>
      <c r="C2552" t="inlineStr">
        <is>
          <t>C</t>
        </is>
      </c>
      <c r="D2552" t="inlineStr">
        <is>
          <t>T</t>
        </is>
      </c>
      <c r="E2552" t="inlineStr">
        <is>
          <t>rs140503691</t>
        </is>
      </c>
      <c r="F2552" t="n">
        <v>-0.01567190276</v>
      </c>
      <c r="G2552" t="n">
        <v>0.5214485668802001</v>
      </c>
      <c r="H2552" t="n">
        <v>0.0267267343594279</v>
      </c>
      <c r="I2552" t="n">
        <v>0.0218582417142932</v>
      </c>
      <c r="J2552" t="n">
        <v>0.6970974429854873</v>
      </c>
      <c r="K2552" t="n">
        <v>0.0152769967295986</v>
      </c>
      <c r="L2552" t="b">
        <v>0</v>
      </c>
      <c r="M2552" t="b">
        <v>0</v>
      </c>
      <c r="N2552" t="inlineStr">
        <is>
          <t>ref</t>
        </is>
      </c>
      <c r="O2552" t="n">
        <v>-90</v>
      </c>
      <c r="P2552" t="n">
        <v>0.03079</v>
      </c>
      <c r="Q2552" t="n">
        <v>0</v>
      </c>
      <c r="R2552" t="n">
        <v>0</v>
      </c>
      <c r="S2552">
        <f>IMAGE("https://mitra.stanford.edu/kundaje/oak/projects/neuro-variants/variant_position/credible/roussos_2024/variant_figures/roussos_2024.childhood.GABA/rs140503691_count_position.png",4,220,900)</f>
        <v/>
      </c>
      <c r="T2552">
        <f>IMAGE("https://mitra.stanford.edu/kundaje/oak/projects/neuro-variants/variant_position/credible/roussos_2024/variant_figures/roussos_2024.childhood.GABA/rs140503691_profile_position.png",4,220,900)</f>
        <v/>
      </c>
    </row>
    <row r="2553">
      <c r="A2553" t="inlineStr">
        <is>
          <t>chr3</t>
        </is>
      </c>
      <c r="B2553" t="n">
        <v>44625794</v>
      </c>
      <c r="C2553" t="inlineStr">
        <is>
          <t>C</t>
        </is>
      </c>
      <c r="D2553" t="inlineStr">
        <is>
          <t>G</t>
        </is>
      </c>
      <c r="E2553" t="inlineStr">
        <is>
          <t>rs10212378</t>
        </is>
      </c>
      <c r="F2553" t="n">
        <v>0.1410278851999999</v>
      </c>
      <c r="G2553" t="n">
        <v>0.0128464737163741</v>
      </c>
      <c r="H2553" t="n">
        <v>0.0331760189968612</v>
      </c>
      <c r="I2553" t="n">
        <v>0.0091439576567544</v>
      </c>
      <c r="J2553" t="n">
        <v>0.5332767900148688</v>
      </c>
      <c r="K2553" t="n">
        <v>0.0429061247401608</v>
      </c>
      <c r="L2553" t="b">
        <v>1</v>
      </c>
      <c r="M2553" t="b">
        <v>1</v>
      </c>
      <c r="N2553" t="inlineStr">
        <is>
          <t>alt</t>
        </is>
      </c>
      <c r="O2553" t="n">
        <v>-100</v>
      </c>
      <c r="P2553" t="n">
        <v>0.01499</v>
      </c>
      <c r="Q2553" t="n">
        <v>50</v>
      </c>
      <c r="R2553" t="n">
        <v>0.02502</v>
      </c>
      <c r="S2553">
        <f>IMAGE("https://mitra.stanford.edu/kundaje/oak/projects/neuro-variants/variant_position/credible/roussos_2024/variant_figures/roussos_2024.childhood.GABA/rs10212378_count_position.png",4,220,900)</f>
        <v/>
      </c>
      <c r="T2553">
        <f>IMAGE("https://mitra.stanford.edu/kundaje/oak/projects/neuro-variants/variant_position/credible/roussos_2024/variant_figures/roussos_2024.childhood.GABA/rs10212378_profile_position.png",4,220,900)</f>
        <v/>
      </c>
    </row>
    <row r="2554">
      <c r="A2554" t="inlineStr">
        <is>
          <t>chr3</t>
        </is>
      </c>
      <c r="B2554" t="n">
        <v>44693574</v>
      </c>
      <c r="C2554" t="inlineStr">
        <is>
          <t>C</t>
        </is>
      </c>
      <c r="D2554" t="inlineStr">
        <is>
          <t>T</t>
        </is>
      </c>
      <c r="E2554" t="inlineStr">
        <is>
          <t>rs9756189</t>
        </is>
      </c>
      <c r="F2554" t="n">
        <v>0.0171450982</v>
      </c>
      <c r="G2554" t="n">
        <v>0.4816136140129333</v>
      </c>
      <c r="H2554" t="n">
        <v>0.0094747119171364</v>
      </c>
      <c r="I2554" t="n">
        <v>0.7000041420580646</v>
      </c>
      <c r="J2554" t="n">
        <v>0.0033653745471298</v>
      </c>
      <c r="K2554" t="n">
        <v>0.8491201389403407</v>
      </c>
      <c r="L2554" t="b">
        <v>0</v>
      </c>
      <c r="M2554" t="b">
        <v>0</v>
      </c>
      <c r="N2554" t="inlineStr">
        <is>
          <t>alt</t>
        </is>
      </c>
      <c r="O2554" t="n">
        <v>95</v>
      </c>
      <c r="P2554" t="n">
        <v>0.00861</v>
      </c>
      <c r="Q2554" t="n">
        <v>-95</v>
      </c>
      <c r="R2554" t="n">
        <v>0.0882</v>
      </c>
      <c r="S2554">
        <f>IMAGE("https://mitra.stanford.edu/kundaje/oak/projects/neuro-variants/variant_position/credible/roussos_2024/variant_figures/roussos_2024.childhood.GABA/rs9756189_count_position.png",4,220,900)</f>
        <v/>
      </c>
      <c r="T2554">
        <f>IMAGE("https://mitra.stanford.edu/kundaje/oak/projects/neuro-variants/variant_position/credible/roussos_2024/variant_figures/roussos_2024.childhood.GABA/rs9756189_profile_position.png",4,220,900)</f>
        <v/>
      </c>
    </row>
    <row r="2555">
      <c r="A2555" t="inlineStr">
        <is>
          <t>chr3</t>
        </is>
      </c>
      <c r="B2555" t="n">
        <v>44843511</v>
      </c>
      <c r="C2555" t="inlineStr">
        <is>
          <t>T</t>
        </is>
      </c>
      <c r="D2555" t="inlineStr">
        <is>
          <t>A</t>
        </is>
      </c>
      <c r="E2555" t="inlineStr">
        <is>
          <t>rs3804582</t>
        </is>
      </c>
      <c r="F2555" t="n">
        <v>0.0008210207</v>
      </c>
      <c r="G2555" t="n">
        <v>0.9060587821167132</v>
      </c>
      <c r="H2555" t="n">
        <v>0.0221934070496427</v>
      </c>
      <c r="I2555" t="n">
        <v>0.048353046511522</v>
      </c>
      <c r="J2555" t="n">
        <v>0.0278831856924461</v>
      </c>
      <c r="K2555" t="n">
        <v>0.6023798098097629</v>
      </c>
      <c r="L2555" t="b">
        <v>0</v>
      </c>
      <c r="M2555" t="b">
        <v>0</v>
      </c>
      <c r="N2555" t="inlineStr">
        <is>
          <t>alt</t>
        </is>
      </c>
      <c r="O2555" t="n">
        <v>50</v>
      </c>
      <c r="P2555" t="n">
        <v>0.00119</v>
      </c>
      <c r="Q2555" t="n">
        <v>25</v>
      </c>
      <c r="R2555" t="n">
        <v>0.03128</v>
      </c>
      <c r="S2555">
        <f>IMAGE("https://mitra.stanford.edu/kundaje/oak/projects/neuro-variants/variant_position/credible/roussos_2024/variant_figures/roussos_2024.childhood.GABA/rs3804582_count_position.png",4,220,900)</f>
        <v/>
      </c>
      <c r="T2555">
        <f>IMAGE("https://mitra.stanford.edu/kundaje/oak/projects/neuro-variants/variant_position/credible/roussos_2024/variant_figures/roussos_2024.childhood.GABA/rs3804582_profile_position.png",4,220,900)</f>
        <v/>
      </c>
    </row>
    <row r="2556">
      <c r="A2556" t="inlineStr">
        <is>
          <t>chr3</t>
        </is>
      </c>
      <c r="B2556" t="n">
        <v>45265828</v>
      </c>
      <c r="C2556" t="inlineStr">
        <is>
          <t>A</t>
        </is>
      </c>
      <c r="D2556" t="inlineStr">
        <is>
          <t>G</t>
        </is>
      </c>
      <c r="E2556" t="inlineStr">
        <is>
          <t>rs17635268</t>
        </is>
      </c>
      <c r="F2556" t="n">
        <v>0.01720104798</v>
      </c>
      <c r="G2556" t="n">
        <v>0.4634643816242705</v>
      </c>
      <c r="H2556" t="n">
        <v>0.0101351613769594</v>
      </c>
      <c r="I2556" t="n">
        <v>0.6269285386415703</v>
      </c>
      <c r="J2556" t="n">
        <v>0.1527706226047621</v>
      </c>
      <c r="K2556" t="n">
        <v>0.2673825293559095</v>
      </c>
      <c r="L2556" t="b">
        <v>0</v>
      </c>
      <c r="M2556" t="b">
        <v>0</v>
      </c>
      <c r="N2556" t="inlineStr">
        <is>
          <t>alt</t>
        </is>
      </c>
      <c r="O2556" t="n">
        <v>-60</v>
      </c>
      <c r="P2556" t="n">
        <v>0.0007744</v>
      </c>
      <c r="Q2556" t="n">
        <v>40</v>
      </c>
      <c r="R2556" t="n">
        <v>0.02313</v>
      </c>
      <c r="S2556">
        <f>IMAGE("https://mitra.stanford.edu/kundaje/oak/projects/neuro-variants/variant_position/credible/roussos_2024/variant_figures/roussos_2024.childhood.GABA/rs17635268_count_position.png",4,220,900)</f>
        <v/>
      </c>
      <c r="T2556">
        <f>IMAGE("https://mitra.stanford.edu/kundaje/oak/projects/neuro-variants/variant_position/credible/roussos_2024/variant_figures/roussos_2024.childhood.GABA/rs17635268_profile_position.png",4,220,900)</f>
        <v/>
      </c>
    </row>
    <row r="2557">
      <c r="A2557" t="inlineStr">
        <is>
          <t>chr3</t>
        </is>
      </c>
      <c r="B2557" t="n">
        <v>45273808</v>
      </c>
      <c r="C2557" t="inlineStr">
        <is>
          <t>C</t>
        </is>
      </c>
      <c r="D2557" t="inlineStr">
        <is>
          <t>T</t>
        </is>
      </c>
      <c r="E2557" t="inlineStr">
        <is>
          <t>rs2215709</t>
        </is>
      </c>
      <c r="F2557" t="n">
        <v>-0.0658737382</v>
      </c>
      <c r="G2557" t="n">
        <v>0.08489325730295499</v>
      </c>
      <c r="H2557" t="n">
        <v>0.012733243172847</v>
      </c>
      <c r="I2557" t="n">
        <v>0.3742872410646244</v>
      </c>
      <c r="J2557" t="n">
        <v>0.2097086972000586</v>
      </c>
      <c r="K2557" t="n">
        <v>0.2071650199602517</v>
      </c>
      <c r="L2557" t="b">
        <v>0</v>
      </c>
      <c r="M2557" t="b">
        <v>0</v>
      </c>
      <c r="N2557" t="inlineStr">
        <is>
          <t>ref</t>
        </is>
      </c>
      <c r="O2557" t="n">
        <v>-35</v>
      </c>
      <c r="P2557" t="n">
        <v>0.001976</v>
      </c>
      <c r="Q2557" t="n">
        <v>-25</v>
      </c>
      <c r="R2557" t="n">
        <v>0.01318</v>
      </c>
      <c r="S2557">
        <f>IMAGE("https://mitra.stanford.edu/kundaje/oak/projects/neuro-variants/variant_position/credible/roussos_2024/variant_figures/roussos_2024.childhood.GABA/rs2215709_count_position.png",4,220,900)</f>
        <v/>
      </c>
      <c r="T2557">
        <f>IMAGE("https://mitra.stanford.edu/kundaje/oak/projects/neuro-variants/variant_position/credible/roussos_2024/variant_figures/roussos_2024.childhood.GABA/rs2215709_profile_position.png",4,220,900)</f>
        <v/>
      </c>
    </row>
    <row r="2558">
      <c r="A2558" t="inlineStr">
        <is>
          <t>chr3</t>
        </is>
      </c>
      <c r="B2558" t="n">
        <v>45287158</v>
      </c>
      <c r="C2558" t="inlineStr">
        <is>
          <t>C</t>
        </is>
      </c>
      <c r="D2558" t="inlineStr">
        <is>
          <t>T</t>
        </is>
      </c>
      <c r="E2558" t="inlineStr">
        <is>
          <t>rs17635696</t>
        </is>
      </c>
      <c r="F2558" t="n">
        <v>-0.0447916072</v>
      </c>
      <c r="G2558" t="n">
        <v>0.1763609066774819</v>
      </c>
      <c r="H2558" t="n">
        <v>0.0128531488952183</v>
      </c>
      <c r="I2558" t="n">
        <v>0.3665768940019749</v>
      </c>
      <c r="J2558" t="n">
        <v>0.0447613662541097</v>
      </c>
      <c r="K2558" t="n">
        <v>0.5231921315107836</v>
      </c>
      <c r="L2558" t="b">
        <v>0</v>
      </c>
      <c r="M2558" t="b">
        <v>0</v>
      </c>
      <c r="N2558" t="inlineStr">
        <is>
          <t>ref</t>
        </is>
      </c>
      <c r="O2558" t="n">
        <v>-15</v>
      </c>
      <c r="P2558" t="n">
        <v>0.000885</v>
      </c>
      <c r="Q2558" t="n">
        <v>30</v>
      </c>
      <c r="R2558" t="n">
        <v>0.01843</v>
      </c>
      <c r="S2558">
        <f>IMAGE("https://mitra.stanford.edu/kundaje/oak/projects/neuro-variants/variant_position/credible/roussos_2024/variant_figures/roussos_2024.childhood.GABA/rs17635696_count_position.png",4,220,900)</f>
        <v/>
      </c>
      <c r="T2558">
        <f>IMAGE("https://mitra.stanford.edu/kundaje/oak/projects/neuro-variants/variant_position/credible/roussos_2024/variant_figures/roussos_2024.childhood.GABA/rs17635696_profile_position.png",4,220,900)</f>
        <v/>
      </c>
    </row>
    <row r="2559">
      <c r="A2559" t="inlineStr">
        <is>
          <t>chr3</t>
        </is>
      </c>
      <c r="B2559" t="n">
        <v>49931139</v>
      </c>
      <c r="C2559" t="inlineStr">
        <is>
          <t>T</t>
        </is>
      </c>
      <c r="D2559" t="inlineStr">
        <is>
          <t>C</t>
        </is>
      </c>
      <c r="E2559" t="inlineStr">
        <is>
          <t>rs6771546</t>
        </is>
      </c>
      <c r="F2559" t="n">
        <v>-0.072850609</v>
      </c>
      <c r="G2559" t="n">
        <v>0.06621107123046879</v>
      </c>
      <c r="H2559" t="n">
        <v>0.015775699617241</v>
      </c>
      <c r="I2559" t="n">
        <v>0.1854751936915452</v>
      </c>
      <c r="J2559" t="n">
        <v>0.0565757785177273</v>
      </c>
      <c r="K2559" t="n">
        <v>0.4735317278580945</v>
      </c>
      <c r="L2559" t="b">
        <v>0</v>
      </c>
      <c r="M2559" t="b">
        <v>0</v>
      </c>
      <c r="N2559" t="inlineStr">
        <is>
          <t>ref</t>
        </is>
      </c>
      <c r="O2559" t="n">
        <v>-100</v>
      </c>
      <c r="P2559" t="n">
        <v>0.00946</v>
      </c>
      <c r="Q2559" t="n">
        <v>45</v>
      </c>
      <c r="R2559" t="n">
        <v>0.009339999999999999</v>
      </c>
      <c r="S2559">
        <f>IMAGE("https://mitra.stanford.edu/kundaje/oak/projects/neuro-variants/variant_position/credible/roussos_2024/variant_figures/roussos_2024.childhood.GABA/rs6771546_count_position.png",4,220,900)</f>
        <v/>
      </c>
      <c r="T2559">
        <f>IMAGE("https://mitra.stanford.edu/kundaje/oak/projects/neuro-variants/variant_position/credible/roussos_2024/variant_figures/roussos_2024.childhood.GABA/rs6771546_profile_position.png",4,220,900)</f>
        <v/>
      </c>
    </row>
    <row r="2560">
      <c r="A2560" t="inlineStr">
        <is>
          <t>chr3</t>
        </is>
      </c>
      <c r="B2560" t="n">
        <v>49938221</v>
      </c>
      <c r="C2560" t="inlineStr">
        <is>
          <t>C</t>
        </is>
      </c>
      <c r="D2560" t="inlineStr">
        <is>
          <t>T</t>
        </is>
      </c>
      <c r="E2560" t="inlineStr">
        <is>
          <t>rs7609971</t>
        </is>
      </c>
      <c r="F2560" t="n">
        <v>0.00281054558</v>
      </c>
      <c r="G2560" t="n">
        <v>0.7407572152093865</v>
      </c>
      <c r="H2560" t="n">
        <v>0.0108965173127015</v>
      </c>
      <c r="I2560" t="n">
        <v>0.547138574971245</v>
      </c>
      <c r="J2560" t="n">
        <v>0.3012230110364181</v>
      </c>
      <c r="K2560" t="n">
        <v>0.1363632269989253</v>
      </c>
      <c r="L2560" t="b">
        <v>0</v>
      </c>
      <c r="M2560" t="b">
        <v>0</v>
      </c>
      <c r="N2560" t="inlineStr">
        <is>
          <t>alt</t>
        </is>
      </c>
      <c r="O2560" t="n">
        <v>-55</v>
      </c>
      <c r="P2560" t="n">
        <v>0.0004578</v>
      </c>
      <c r="Q2560" t="n">
        <v>80</v>
      </c>
      <c r="R2560" t="n">
        <v>0.0878</v>
      </c>
      <c r="S2560">
        <f>IMAGE("https://mitra.stanford.edu/kundaje/oak/projects/neuro-variants/variant_position/credible/roussos_2024/variant_figures/roussos_2024.childhood.GABA/rs7609971_count_position.png",4,220,900)</f>
        <v/>
      </c>
      <c r="T2560">
        <f>IMAGE("https://mitra.stanford.edu/kundaje/oak/projects/neuro-variants/variant_position/credible/roussos_2024/variant_figures/roussos_2024.childhood.GABA/rs7609971_profile_position.png",4,220,900)</f>
        <v/>
      </c>
    </row>
    <row r="2561">
      <c r="A2561" t="inlineStr">
        <is>
          <t>chr3</t>
        </is>
      </c>
      <c r="B2561" t="n">
        <v>49963320</v>
      </c>
      <c r="C2561" t="inlineStr">
        <is>
          <t>G</t>
        </is>
      </c>
      <c r="D2561" t="inlineStr">
        <is>
          <t>A</t>
        </is>
      </c>
      <c r="E2561" t="inlineStr">
        <is>
          <t>rs58621288</t>
        </is>
      </c>
      <c r="F2561" t="n">
        <v>-0.0723001596</v>
      </c>
      <c r="G2561" t="n">
        <v>0.0653729435031082</v>
      </c>
      <c r="H2561" t="n">
        <v>0.011932535031845</v>
      </c>
      <c r="I2561" t="n">
        <v>0.4455797519464395</v>
      </c>
      <c r="J2561" t="n">
        <v>0.0365657263722224</v>
      </c>
      <c r="K2561" t="n">
        <v>0.5536848484990899</v>
      </c>
      <c r="L2561" t="b">
        <v>0</v>
      </c>
      <c r="M2561" t="b">
        <v>0</v>
      </c>
      <c r="N2561" t="inlineStr">
        <is>
          <t>ref</t>
        </is>
      </c>
      <c r="O2561" t="n">
        <v>-90</v>
      </c>
      <c r="P2561" t="n">
        <v>0.1394</v>
      </c>
      <c r="Q2561" t="n">
        <v>-55</v>
      </c>
      <c r="R2561" t="n">
        <v>0.0654</v>
      </c>
      <c r="S2561">
        <f>IMAGE("https://mitra.stanford.edu/kundaje/oak/projects/neuro-variants/variant_position/credible/roussos_2024/variant_figures/roussos_2024.childhood.GABA/rs58621288_count_position.png",4,220,900)</f>
        <v/>
      </c>
      <c r="T2561">
        <f>IMAGE("https://mitra.stanford.edu/kundaje/oak/projects/neuro-variants/variant_position/credible/roussos_2024/variant_figures/roussos_2024.childhood.GABA/rs58621288_profile_position.png",4,220,900)</f>
        <v/>
      </c>
    </row>
    <row r="2562">
      <c r="A2562" t="inlineStr">
        <is>
          <t>chr3</t>
        </is>
      </c>
      <c r="B2562" t="n">
        <v>49976681</v>
      </c>
      <c r="C2562" t="inlineStr">
        <is>
          <t>G</t>
        </is>
      </c>
      <c r="D2562" t="inlineStr">
        <is>
          <t>A</t>
        </is>
      </c>
      <c r="E2562" t="inlineStr">
        <is>
          <t>rs2624821</t>
        </is>
      </c>
      <c r="F2562" t="n">
        <v>-0.0012796334799999</v>
      </c>
      <c r="G2562" t="n">
        <v>0.9195148387971314</v>
      </c>
      <c r="H2562" t="n">
        <v>0.0113005682354077</v>
      </c>
      <c r="I2562" t="n">
        <v>0.5097264872628504</v>
      </c>
      <c r="J2562" t="n">
        <v>0.0104343364536867</v>
      </c>
      <c r="K2562" t="n">
        <v>0.7408222527615641</v>
      </c>
      <c r="L2562" t="b">
        <v>0</v>
      </c>
      <c r="M2562" t="b">
        <v>0</v>
      </c>
      <c r="N2562" t="inlineStr">
        <is>
          <t>ref</t>
        </is>
      </c>
      <c r="O2562" t="n">
        <v>90</v>
      </c>
      <c r="P2562" t="n">
        <v>0.005238</v>
      </c>
      <c r="Q2562" t="n">
        <v>90</v>
      </c>
      <c r="R2562" t="n">
        <v>0.1873</v>
      </c>
      <c r="S2562">
        <f>IMAGE("https://mitra.stanford.edu/kundaje/oak/projects/neuro-variants/variant_position/credible/roussos_2024/variant_figures/roussos_2024.childhood.GABA/rs2624821_count_position.png",4,220,900)</f>
        <v/>
      </c>
      <c r="T2562">
        <f>IMAGE("https://mitra.stanford.edu/kundaje/oak/projects/neuro-variants/variant_position/credible/roussos_2024/variant_figures/roussos_2024.childhood.GABA/rs2624821_profile_position.png",4,220,900)</f>
        <v/>
      </c>
    </row>
    <row r="2563">
      <c r="A2563" t="inlineStr">
        <is>
          <t>chr3</t>
        </is>
      </c>
      <c r="B2563" t="n">
        <v>49984226</v>
      </c>
      <c r="C2563" t="inlineStr">
        <is>
          <t>G</t>
        </is>
      </c>
      <c r="D2563" t="inlineStr">
        <is>
          <t>A</t>
        </is>
      </c>
      <c r="E2563" t="inlineStr">
        <is>
          <t>rs62262138</t>
        </is>
      </c>
      <c r="F2563" t="n">
        <v>-0.0088317353999999</v>
      </c>
      <c r="G2563" t="n">
        <v>0.6572766658268888</v>
      </c>
      <c r="H2563" t="n">
        <v>0.0081678948336576</v>
      </c>
      <c r="I2563" t="n">
        <v>0.8399555582634799</v>
      </c>
      <c r="J2563" t="n">
        <v>0.1436776193168729</v>
      </c>
      <c r="K2563" t="n">
        <v>0.3009126648886556</v>
      </c>
      <c r="L2563" t="b">
        <v>0</v>
      </c>
      <c r="M2563" t="b">
        <v>0</v>
      </c>
      <c r="N2563" t="inlineStr">
        <is>
          <t>ref</t>
        </is>
      </c>
      <c r="O2563" t="n">
        <v>-10</v>
      </c>
      <c r="P2563" t="n">
        <v>0.0002244</v>
      </c>
      <c r="Q2563" t="n">
        <v>-100</v>
      </c>
      <c r="R2563" t="n">
        <v>0.0762</v>
      </c>
      <c r="S2563">
        <f>IMAGE("https://mitra.stanford.edu/kundaje/oak/projects/neuro-variants/variant_position/credible/roussos_2024/variant_figures/roussos_2024.childhood.GABA/rs62262138_count_position.png",4,220,900)</f>
        <v/>
      </c>
      <c r="T2563">
        <f>IMAGE("https://mitra.stanford.edu/kundaje/oak/projects/neuro-variants/variant_position/credible/roussos_2024/variant_figures/roussos_2024.childhood.GABA/rs62262138_profile_position.png",4,220,900)</f>
        <v/>
      </c>
    </row>
    <row r="2564">
      <c r="A2564" t="inlineStr">
        <is>
          <t>chr3</t>
        </is>
      </c>
      <c r="B2564" t="n">
        <v>49984656</v>
      </c>
      <c r="C2564" t="inlineStr">
        <is>
          <t>G</t>
        </is>
      </c>
      <c r="D2564" t="inlineStr">
        <is>
          <t>A</t>
        </is>
      </c>
      <c r="E2564" t="inlineStr">
        <is>
          <t>rs199956414</t>
        </is>
      </c>
      <c r="F2564" t="n">
        <v>-0.0377832947399999</v>
      </c>
      <c r="G2564" t="n">
        <v>0.2242991949543455</v>
      </c>
      <c r="H2564" t="n">
        <v>0.0193163713066619</v>
      </c>
      <c r="I2564" t="n">
        <v>0.09163423519772269</v>
      </c>
      <c r="J2564" t="n">
        <v>0.2979539695503759</v>
      </c>
      <c r="K2564" t="n">
        <v>0.139375096265254</v>
      </c>
      <c r="L2564" t="b">
        <v>0</v>
      </c>
      <c r="M2564" t="b">
        <v>0</v>
      </c>
      <c r="N2564" t="inlineStr">
        <is>
          <t>ref</t>
        </is>
      </c>
      <c r="O2564" t="n">
        <v>60</v>
      </c>
      <c r="P2564" t="n">
        <v>0.02264</v>
      </c>
      <c r="Q2564" t="n">
        <v>60</v>
      </c>
      <c r="R2564" t="n">
        <v>0.1519</v>
      </c>
      <c r="S2564">
        <f>IMAGE("https://mitra.stanford.edu/kundaje/oak/projects/neuro-variants/variant_position/credible/roussos_2024/variant_figures/roussos_2024.childhood.GABA/rs199956414_count_position.png",4,220,900)</f>
        <v/>
      </c>
      <c r="T2564">
        <f>IMAGE("https://mitra.stanford.edu/kundaje/oak/projects/neuro-variants/variant_position/credible/roussos_2024/variant_figures/roussos_2024.childhood.GABA/rs199956414_profile_position.png",4,220,900)</f>
        <v/>
      </c>
    </row>
    <row r="2565">
      <c r="A2565" t="inlineStr">
        <is>
          <t>chr3</t>
        </is>
      </c>
      <c r="B2565" t="n">
        <v>49984859</v>
      </c>
      <c r="C2565" t="inlineStr">
        <is>
          <t>G</t>
        </is>
      </c>
      <c r="D2565" t="inlineStr">
        <is>
          <t>A</t>
        </is>
      </c>
      <c r="E2565" t="inlineStr">
        <is>
          <t>rs4688690</t>
        </is>
      </c>
      <c r="F2565" t="n">
        <v>-0.01491282702</v>
      </c>
      <c r="G2565" t="n">
        <v>0.5104370468167084</v>
      </c>
      <c r="H2565" t="n">
        <v>0.011826718932416</v>
      </c>
      <c r="I2565" t="n">
        <v>0.4533264488171739</v>
      </c>
      <c r="J2565" t="n">
        <v>0.2953194697493245</v>
      </c>
      <c r="K2565" t="n">
        <v>0.1412963689140061</v>
      </c>
      <c r="L2565" t="b">
        <v>0</v>
      </c>
      <c r="M2565" t="b">
        <v>0</v>
      </c>
      <c r="N2565" t="inlineStr">
        <is>
          <t>ref</t>
        </is>
      </c>
      <c r="O2565" t="n">
        <v>-100</v>
      </c>
      <c r="P2565" t="n">
        <v>0.07006999999999999</v>
      </c>
      <c r="Q2565" t="n">
        <v>-100</v>
      </c>
      <c r="R2565" t="n">
        <v>0.3567</v>
      </c>
      <c r="S2565">
        <f>IMAGE("https://mitra.stanford.edu/kundaje/oak/projects/neuro-variants/variant_position/credible/roussos_2024/variant_figures/roussos_2024.childhood.GABA/rs4688690_count_position.png",4,220,900)</f>
        <v/>
      </c>
      <c r="T2565">
        <f>IMAGE("https://mitra.stanford.edu/kundaje/oak/projects/neuro-variants/variant_position/credible/roussos_2024/variant_figures/roussos_2024.childhood.GABA/rs4688690_profile_position.png",4,220,900)</f>
        <v/>
      </c>
    </row>
    <row r="2566">
      <c r="A2566" t="inlineStr">
        <is>
          <t>chr3</t>
        </is>
      </c>
      <c r="B2566" t="n">
        <v>49986605</v>
      </c>
      <c r="C2566" t="inlineStr">
        <is>
          <t>A</t>
        </is>
      </c>
      <c r="D2566" t="inlineStr">
        <is>
          <t>C</t>
        </is>
      </c>
      <c r="E2566" t="inlineStr">
        <is>
          <t>rs111439884</t>
        </is>
      </c>
      <c r="F2566" t="n">
        <v>-0.01167982</v>
      </c>
      <c r="G2566" t="n">
        <v>0.5913441160062103</v>
      </c>
      <c r="H2566" t="n">
        <v>0.0488211456002</v>
      </c>
      <c r="I2566" t="n">
        <v>0.0019270421209632</v>
      </c>
      <c r="J2566" t="n">
        <v>0.0150195807417645</v>
      </c>
      <c r="K2566" t="n">
        <v>0.7141374290318467</v>
      </c>
      <c r="L2566" t="b">
        <v>1</v>
      </c>
      <c r="M2566" t="b">
        <v>0</v>
      </c>
      <c r="N2566" t="inlineStr">
        <is>
          <t>ref</t>
        </is>
      </c>
      <c r="O2566" t="n">
        <v>-50</v>
      </c>
      <c r="P2566" t="n">
        <v>0.007996</v>
      </c>
      <c r="Q2566" t="n">
        <v>40</v>
      </c>
      <c r="R2566" t="n">
        <v>0.0935</v>
      </c>
      <c r="S2566">
        <f>IMAGE("https://mitra.stanford.edu/kundaje/oak/projects/neuro-variants/variant_position/credible/roussos_2024/variant_figures/roussos_2024.childhood.GABA/rs111439884_count_position.png",4,220,900)</f>
        <v/>
      </c>
      <c r="T2566">
        <f>IMAGE("https://mitra.stanford.edu/kundaje/oak/projects/neuro-variants/variant_position/credible/roussos_2024/variant_figures/roussos_2024.childhood.GABA/rs111439884_profile_position.png",4,220,900)</f>
        <v/>
      </c>
    </row>
    <row r="2567">
      <c r="A2567" t="inlineStr">
        <is>
          <t>chr3</t>
        </is>
      </c>
      <c r="B2567" t="n">
        <v>49988596</v>
      </c>
      <c r="C2567" t="inlineStr">
        <is>
          <t>A</t>
        </is>
      </c>
      <c r="D2567" t="inlineStr">
        <is>
          <t>C</t>
        </is>
      </c>
      <c r="E2567" t="inlineStr">
        <is>
          <t>rs34080578</t>
        </is>
      </c>
      <c r="F2567" t="n">
        <v>0.105274518</v>
      </c>
      <c r="G2567" t="n">
        <v>0.0297957349905425</v>
      </c>
      <c r="H2567" t="n">
        <v>0.0324943190110878</v>
      </c>
      <c r="I2567" t="n">
        <v>0.0100445935090457</v>
      </c>
      <c r="J2567" t="n">
        <v>0.0195859772570207</v>
      </c>
      <c r="K2567" t="n">
        <v>0.651761026939123</v>
      </c>
      <c r="L2567" t="b">
        <v>1</v>
      </c>
      <c r="M2567" t="b">
        <v>0</v>
      </c>
      <c r="N2567" t="inlineStr">
        <is>
          <t>alt</t>
        </is>
      </c>
      <c r="O2567" t="n">
        <v>90</v>
      </c>
      <c r="P2567" t="n">
        <v>0.008240000000000001</v>
      </c>
      <c r="Q2567" t="n">
        <v>-95</v>
      </c>
      <c r="R2567" t="n">
        <v>0.04578</v>
      </c>
      <c r="S2567">
        <f>IMAGE("https://mitra.stanford.edu/kundaje/oak/projects/neuro-variants/variant_position/credible/roussos_2024/variant_figures/roussos_2024.childhood.GABA/rs34080578_count_position.png",4,220,900)</f>
        <v/>
      </c>
      <c r="T2567">
        <f>IMAGE("https://mitra.stanford.edu/kundaje/oak/projects/neuro-variants/variant_position/credible/roussos_2024/variant_figures/roussos_2024.childhood.GABA/rs34080578_profile_position.png",4,220,900)</f>
        <v/>
      </c>
    </row>
    <row r="2568">
      <c r="A2568" t="inlineStr">
        <is>
          <t>chr3</t>
        </is>
      </c>
      <c r="B2568" t="n">
        <v>49990341</v>
      </c>
      <c r="C2568" t="inlineStr">
        <is>
          <t>C</t>
        </is>
      </c>
      <c r="D2568" t="inlineStr">
        <is>
          <t>T</t>
        </is>
      </c>
      <c r="E2568" t="inlineStr">
        <is>
          <t>rs2353579</t>
        </is>
      </c>
      <c r="F2568" t="n">
        <v>-0.072723785</v>
      </c>
      <c r="G2568" t="n">
        <v>0.0664438973567542</v>
      </c>
      <c r="H2568" t="n">
        <v>0.009922543602973</v>
      </c>
      <c r="I2568" t="n">
        <v>0.6223672015041345</v>
      </c>
      <c r="J2568" t="n">
        <v>0.1125599463885572</v>
      </c>
      <c r="K2568" t="n">
        <v>0.333733120044178</v>
      </c>
      <c r="L2568" t="b">
        <v>0</v>
      </c>
      <c r="M2568" t="b">
        <v>0</v>
      </c>
      <c r="N2568" t="inlineStr">
        <is>
          <t>ref</t>
        </is>
      </c>
      <c r="O2568" t="n">
        <v>90</v>
      </c>
      <c r="P2568" t="n">
        <v>0.01784</v>
      </c>
      <c r="Q2568" t="n">
        <v>45</v>
      </c>
      <c r="R2568" t="n">
        <v>0.09130000000000001</v>
      </c>
      <c r="S2568">
        <f>IMAGE("https://mitra.stanford.edu/kundaje/oak/projects/neuro-variants/variant_position/credible/roussos_2024/variant_figures/roussos_2024.childhood.GABA/rs2353579_count_position.png",4,220,900)</f>
        <v/>
      </c>
      <c r="T2568">
        <f>IMAGE("https://mitra.stanford.edu/kundaje/oak/projects/neuro-variants/variant_position/credible/roussos_2024/variant_figures/roussos_2024.childhood.GABA/rs2353579_profile_position.png",4,220,900)</f>
        <v/>
      </c>
    </row>
    <row r="2569">
      <c r="A2569" t="inlineStr">
        <is>
          <t>chr3</t>
        </is>
      </c>
      <c r="B2569" t="n">
        <v>49997890</v>
      </c>
      <c r="C2569" t="inlineStr">
        <is>
          <t>T</t>
        </is>
      </c>
      <c r="D2569" t="inlineStr">
        <is>
          <t>C</t>
        </is>
      </c>
      <c r="E2569" t="inlineStr">
        <is>
          <t>rs4688757</t>
        </is>
      </c>
      <c r="F2569" t="n">
        <v>-0.0275392796</v>
      </c>
      <c r="G2569" t="n">
        <v>0.3368318941871327</v>
      </c>
      <c r="H2569" t="n">
        <v>0.0209556202098305</v>
      </c>
      <c r="I2569" t="n">
        <v>0.0608105557127142</v>
      </c>
      <c r="J2569" t="n">
        <v>0.0188320663441602</v>
      </c>
      <c r="K2569" t="n">
        <v>0.6535462088604346</v>
      </c>
      <c r="L2569" t="b">
        <v>0</v>
      </c>
      <c r="M2569" t="b">
        <v>0</v>
      </c>
      <c r="N2569" t="inlineStr">
        <is>
          <t>ref</t>
        </is>
      </c>
      <c r="O2569" t="n">
        <v>55</v>
      </c>
      <c r="P2569" t="n">
        <v>0.005505</v>
      </c>
      <c r="Q2569" t="n">
        <v>-35</v>
      </c>
      <c r="R2569" t="n">
        <v>0.03558</v>
      </c>
      <c r="S2569">
        <f>IMAGE("https://mitra.stanford.edu/kundaje/oak/projects/neuro-variants/variant_position/credible/roussos_2024/variant_figures/roussos_2024.childhood.GABA/rs4688757_count_position.png",4,220,900)</f>
        <v/>
      </c>
      <c r="T2569">
        <f>IMAGE("https://mitra.stanford.edu/kundaje/oak/projects/neuro-variants/variant_position/credible/roussos_2024/variant_figures/roussos_2024.childhood.GABA/rs4688757_profile_position.png",4,220,900)</f>
        <v/>
      </c>
    </row>
    <row r="2570">
      <c r="A2570" t="inlineStr">
        <is>
          <t>chr3</t>
        </is>
      </c>
      <c r="B2570" t="n">
        <v>50003880</v>
      </c>
      <c r="C2570" t="inlineStr">
        <is>
          <t>C</t>
        </is>
      </c>
      <c r="D2570" t="inlineStr">
        <is>
          <t>T</t>
        </is>
      </c>
      <c r="E2570" t="inlineStr">
        <is>
          <t>rs6765484</t>
        </is>
      </c>
      <c r="F2570" t="n">
        <v>-0.0294265816</v>
      </c>
      <c r="G2570" t="n">
        <v>0.2934099776461273</v>
      </c>
      <c r="H2570" t="n">
        <v>0.0129406856857241</v>
      </c>
      <c r="I2570" t="n">
        <v>0.3586808519045142</v>
      </c>
      <c r="J2570" t="n">
        <v>0.1526250759146405</v>
      </c>
      <c r="K2570" t="n">
        <v>0.2748008149793303</v>
      </c>
      <c r="L2570" t="b">
        <v>0</v>
      </c>
      <c r="M2570" t="b">
        <v>0</v>
      </c>
      <c r="N2570" t="inlineStr">
        <is>
          <t>ref</t>
        </is>
      </c>
      <c r="O2570" t="n">
        <v>40</v>
      </c>
      <c r="P2570" t="n">
        <v>0.001846</v>
      </c>
      <c r="Q2570" t="n">
        <v>-90</v>
      </c>
      <c r="R2570" t="n">
        <v>0.1294</v>
      </c>
      <c r="S2570">
        <f>IMAGE("https://mitra.stanford.edu/kundaje/oak/projects/neuro-variants/variant_position/credible/roussos_2024/variant_figures/roussos_2024.childhood.GABA/rs6765484_count_position.png",4,220,900)</f>
        <v/>
      </c>
      <c r="T2570">
        <f>IMAGE("https://mitra.stanford.edu/kundaje/oak/projects/neuro-variants/variant_position/credible/roussos_2024/variant_figures/roussos_2024.childhood.GABA/rs6765484_profile_position.png",4,220,900)</f>
        <v/>
      </c>
    </row>
    <row r="2571">
      <c r="A2571" t="inlineStr">
        <is>
          <t>chr3</t>
        </is>
      </c>
      <c r="B2571" t="n">
        <v>50011866</v>
      </c>
      <c r="C2571" t="inlineStr">
        <is>
          <t>T</t>
        </is>
      </c>
      <c r="D2571" t="inlineStr">
        <is>
          <t>G</t>
        </is>
      </c>
      <c r="E2571" t="inlineStr">
        <is>
          <t>rs7634917</t>
        </is>
      </c>
      <c r="F2571" t="n">
        <v>0.002620573672</v>
      </c>
      <c r="G2571" t="n">
        <v>0.8406569427169143</v>
      </c>
      <c r="H2571" t="n">
        <v>0.017215893253985</v>
      </c>
      <c r="I2571" t="n">
        <v>0.1357262496500328</v>
      </c>
      <c r="J2571" t="n">
        <v>0.0115432137546857</v>
      </c>
      <c r="K2571" t="n">
        <v>0.7258881084328638</v>
      </c>
      <c r="L2571" t="b">
        <v>0</v>
      </c>
      <c r="M2571" t="b">
        <v>0</v>
      </c>
      <c r="N2571" t="inlineStr">
        <is>
          <t>alt</t>
        </is>
      </c>
      <c r="O2571" t="n">
        <v>-100</v>
      </c>
      <c r="P2571" t="n">
        <v>0.01068</v>
      </c>
      <c r="Q2571" t="n">
        <v>100</v>
      </c>
      <c r="R2571" t="n">
        <v>0.0398</v>
      </c>
      <c r="S2571">
        <f>IMAGE("https://mitra.stanford.edu/kundaje/oak/projects/neuro-variants/variant_position/credible/roussos_2024/variant_figures/roussos_2024.childhood.GABA/rs7634917_count_position.png",4,220,900)</f>
        <v/>
      </c>
      <c r="T2571">
        <f>IMAGE("https://mitra.stanford.edu/kundaje/oak/projects/neuro-variants/variant_position/credible/roussos_2024/variant_figures/roussos_2024.childhood.GABA/rs7634917_profile_position.png",4,220,900)</f>
        <v/>
      </c>
    </row>
    <row r="2572">
      <c r="A2572" t="inlineStr">
        <is>
          <t>chr3</t>
        </is>
      </c>
      <c r="B2572" t="n">
        <v>50019045</v>
      </c>
      <c r="C2572" t="inlineStr">
        <is>
          <t>T</t>
        </is>
      </c>
      <c r="D2572" t="inlineStr">
        <is>
          <t>A</t>
        </is>
      </c>
      <c r="E2572" t="inlineStr">
        <is>
          <t>rs75729494</t>
        </is>
      </c>
      <c r="F2572" t="n">
        <v>-0.0226823063999999</v>
      </c>
      <c r="G2572" t="n">
        <v>0.395804202443791</v>
      </c>
      <c r="H2572" t="n">
        <v>0.0348409893171594</v>
      </c>
      <c r="I2572" t="n">
        <v>0.0065683284790853</v>
      </c>
      <c r="J2572" t="n">
        <v>0.0219817386023329</v>
      </c>
      <c r="K2572" t="n">
        <v>0.6364046812902462</v>
      </c>
      <c r="L2572" t="b">
        <v>1</v>
      </c>
      <c r="M2572" t="b">
        <v>0</v>
      </c>
      <c r="N2572" t="inlineStr">
        <is>
          <t>ref</t>
        </is>
      </c>
      <c r="O2572" t="n">
        <v>-45</v>
      </c>
      <c r="P2572" t="n">
        <v>0.0047</v>
      </c>
      <c r="Q2572" t="n">
        <v>20</v>
      </c>
      <c r="R2572" t="n">
        <v>0.03162</v>
      </c>
      <c r="S2572">
        <f>IMAGE("https://mitra.stanford.edu/kundaje/oak/projects/neuro-variants/variant_position/credible/roussos_2024/variant_figures/roussos_2024.childhood.GABA/rs75729494_count_position.png",4,220,900)</f>
        <v/>
      </c>
      <c r="T2572">
        <f>IMAGE("https://mitra.stanford.edu/kundaje/oak/projects/neuro-variants/variant_position/credible/roussos_2024/variant_figures/roussos_2024.childhood.GABA/rs75729494_profile_position.png",4,220,900)</f>
        <v/>
      </c>
    </row>
    <row r="2573">
      <c r="A2573" t="inlineStr">
        <is>
          <t>chr3</t>
        </is>
      </c>
      <c r="B2573" t="n">
        <v>50022325</v>
      </c>
      <c r="C2573" t="inlineStr">
        <is>
          <t>T</t>
        </is>
      </c>
      <c r="D2573" t="inlineStr">
        <is>
          <t>C</t>
        </is>
      </c>
      <c r="E2573" t="inlineStr">
        <is>
          <t>rs6446193</t>
        </is>
      </c>
      <c r="F2573" t="n">
        <v>-0.00557362476</v>
      </c>
      <c r="G2573" t="n">
        <v>0.7975210672866968</v>
      </c>
      <c r="H2573" t="n">
        <v>0.020697009893804</v>
      </c>
      <c r="I2573" t="n">
        <v>0.0639837888864381</v>
      </c>
      <c r="J2573" t="n">
        <v>0.0082417122154509</v>
      </c>
      <c r="K2573" t="n">
        <v>0.7639165836722368</v>
      </c>
      <c r="L2573" t="b">
        <v>0</v>
      </c>
      <c r="M2573" t="b">
        <v>0</v>
      </c>
      <c r="N2573" t="inlineStr">
        <is>
          <t>ref</t>
        </is>
      </c>
      <c r="O2573" t="n">
        <v>-100</v>
      </c>
      <c r="P2573" t="n">
        <v>0.00392</v>
      </c>
      <c r="Q2573" t="n">
        <v>100</v>
      </c>
      <c r="R2573" t="n">
        <v>0.1172</v>
      </c>
      <c r="S2573">
        <f>IMAGE("https://mitra.stanford.edu/kundaje/oak/projects/neuro-variants/variant_position/credible/roussos_2024/variant_figures/roussos_2024.childhood.GABA/rs6446193_count_position.png",4,220,900)</f>
        <v/>
      </c>
      <c r="T2573">
        <f>IMAGE("https://mitra.stanford.edu/kundaje/oak/projects/neuro-variants/variant_position/credible/roussos_2024/variant_figures/roussos_2024.childhood.GABA/rs6446193_profile_position.png",4,220,900)</f>
        <v/>
      </c>
    </row>
    <row r="2574">
      <c r="A2574" t="inlineStr">
        <is>
          <t>chr3</t>
        </is>
      </c>
      <c r="B2574" t="n">
        <v>50031924</v>
      </c>
      <c r="C2574" t="inlineStr">
        <is>
          <t>G</t>
        </is>
      </c>
      <c r="D2574" t="inlineStr">
        <is>
          <t>A</t>
        </is>
      </c>
      <c r="E2574" t="inlineStr">
        <is>
          <t>rs11130240</t>
        </is>
      </c>
      <c r="F2574" t="n">
        <v>-0.1128765392</v>
      </c>
      <c r="G2574" t="n">
        <v>0.02691892816468</v>
      </c>
      <c r="H2574" t="n">
        <v>0.0330408375431133</v>
      </c>
      <c r="I2574" t="n">
        <v>0.008762045120081099</v>
      </c>
      <c r="J2574" t="n">
        <v>0.0389960419677074</v>
      </c>
      <c r="K2574" t="n">
        <v>0.5362268556274564</v>
      </c>
      <c r="L2574" t="b">
        <v>1</v>
      </c>
      <c r="M2574" t="b">
        <v>0</v>
      </c>
      <c r="N2574" t="inlineStr">
        <is>
          <t>ref</t>
        </is>
      </c>
      <c r="O2574" t="n">
        <v>-10</v>
      </c>
      <c r="P2574" t="n">
        <v>0.0009613</v>
      </c>
      <c r="Q2574" t="n">
        <v>85</v>
      </c>
      <c r="R2574" t="n">
        <v>0.2028</v>
      </c>
      <c r="S2574">
        <f>IMAGE("https://mitra.stanford.edu/kundaje/oak/projects/neuro-variants/variant_position/credible/roussos_2024/variant_figures/roussos_2024.childhood.GABA/rs11130240_count_position.png",4,220,900)</f>
        <v/>
      </c>
      <c r="T2574">
        <f>IMAGE("https://mitra.stanford.edu/kundaje/oak/projects/neuro-variants/variant_position/credible/roussos_2024/variant_figures/roussos_2024.childhood.GABA/rs11130240_profile_position.png",4,220,900)</f>
        <v/>
      </c>
    </row>
    <row r="2575">
      <c r="A2575" t="inlineStr">
        <is>
          <t>chr3</t>
        </is>
      </c>
      <c r="B2575" t="n">
        <v>50032019</v>
      </c>
      <c r="C2575" t="inlineStr">
        <is>
          <t>G</t>
        </is>
      </c>
      <c r="D2575" t="inlineStr">
        <is>
          <t>T</t>
        </is>
      </c>
      <c r="E2575" t="inlineStr">
        <is>
          <t>rs9866695</t>
        </is>
      </c>
      <c r="F2575" t="n">
        <v>-0.02488695354</v>
      </c>
      <c r="G2575" t="n">
        <v>0.3699476875606696</v>
      </c>
      <c r="H2575" t="n">
        <v>0.0092796370320941</v>
      </c>
      <c r="I2575" t="n">
        <v>0.7094686449930528</v>
      </c>
      <c r="J2575" t="n">
        <v>0.0458681493581286</v>
      </c>
      <c r="K2575" t="n">
        <v>0.5063731171753515</v>
      </c>
      <c r="L2575" t="b">
        <v>0</v>
      </c>
      <c r="M2575" t="b">
        <v>0</v>
      </c>
      <c r="N2575" t="inlineStr">
        <is>
          <t>ref</t>
        </is>
      </c>
      <c r="O2575" t="n">
        <v>-100</v>
      </c>
      <c r="P2575" t="n">
        <v>0.02371</v>
      </c>
      <c r="Q2575" t="n">
        <v>65</v>
      </c>
      <c r="R2575" t="n">
        <v>0.03156</v>
      </c>
      <c r="S2575">
        <f>IMAGE("https://mitra.stanford.edu/kundaje/oak/projects/neuro-variants/variant_position/credible/roussos_2024/variant_figures/roussos_2024.childhood.GABA/rs9866695_count_position.png",4,220,900)</f>
        <v/>
      </c>
      <c r="T2575">
        <f>IMAGE("https://mitra.stanford.edu/kundaje/oak/projects/neuro-variants/variant_position/credible/roussos_2024/variant_figures/roussos_2024.childhood.GABA/rs9866695_profile_position.png",4,220,900)</f>
        <v/>
      </c>
    </row>
    <row r="2576">
      <c r="A2576" t="inlineStr">
        <is>
          <t>chr3</t>
        </is>
      </c>
      <c r="B2576" t="n">
        <v>50056838</v>
      </c>
      <c r="C2576" t="inlineStr">
        <is>
          <t>T</t>
        </is>
      </c>
      <c r="D2576" t="inlineStr">
        <is>
          <t>A</t>
        </is>
      </c>
      <c r="E2576" t="inlineStr">
        <is>
          <t>rs12486470</t>
        </is>
      </c>
      <c r="F2576" t="n">
        <v>-0.0139660982</v>
      </c>
      <c r="G2576" t="n">
        <v>0.5829942421193056</v>
      </c>
      <c r="H2576" t="n">
        <v>0.0196751369108432</v>
      </c>
      <c r="I2576" t="n">
        <v>0.08431744946245651</v>
      </c>
      <c r="J2576" t="n">
        <v>0.0272036187723816</v>
      </c>
      <c r="K2576" t="n">
        <v>0.6192068497359643</v>
      </c>
      <c r="L2576" t="b">
        <v>0</v>
      </c>
      <c r="M2576" t="b">
        <v>0</v>
      </c>
      <c r="N2576" t="inlineStr">
        <is>
          <t>ref</t>
        </is>
      </c>
      <c r="O2576" t="n">
        <v>75</v>
      </c>
      <c r="P2576" t="n">
        <v>0.003693</v>
      </c>
      <c r="Q2576" t="n">
        <v>-60</v>
      </c>
      <c r="R2576" t="n">
        <v>0.09424</v>
      </c>
      <c r="S2576">
        <f>IMAGE("https://mitra.stanford.edu/kundaje/oak/projects/neuro-variants/variant_position/credible/roussos_2024/variant_figures/roussos_2024.childhood.GABA/rs12486470_count_position.png",4,220,900)</f>
        <v/>
      </c>
      <c r="T2576">
        <f>IMAGE("https://mitra.stanford.edu/kundaje/oak/projects/neuro-variants/variant_position/credible/roussos_2024/variant_figures/roussos_2024.childhood.GABA/rs12486470_profile_position.png",4,220,900)</f>
        <v/>
      </c>
    </row>
    <row r="2577">
      <c r="A2577" t="inlineStr">
        <is>
          <t>chr3</t>
        </is>
      </c>
      <c r="B2577" t="n">
        <v>50079987</v>
      </c>
      <c r="C2577" t="inlineStr">
        <is>
          <t>G</t>
        </is>
      </c>
      <c r="D2577" t="inlineStr">
        <is>
          <t>C</t>
        </is>
      </c>
      <c r="E2577" t="inlineStr">
        <is>
          <t>rs62263590</t>
        </is>
      </c>
      <c r="F2577" t="n">
        <v>0.06742484459999989</v>
      </c>
      <c r="G2577" t="n">
        <v>0.0799483554428314</v>
      </c>
      <c r="H2577" t="n">
        <v>0.0125918550790287</v>
      </c>
      <c r="I2577" t="n">
        <v>0.3804994512495402</v>
      </c>
      <c r="J2577" t="n">
        <v>0.0204676341856714</v>
      </c>
      <c r="K2577" t="n">
        <v>0.6713701434949837</v>
      </c>
      <c r="L2577" t="b">
        <v>0</v>
      </c>
      <c r="M2577" t="b">
        <v>0</v>
      </c>
      <c r="N2577" t="inlineStr">
        <is>
          <t>alt</t>
        </is>
      </c>
      <c r="O2577" t="n">
        <v>-90</v>
      </c>
      <c r="P2577" t="n">
        <v>0.04803</v>
      </c>
      <c r="Q2577" t="n">
        <v>5</v>
      </c>
      <c r="R2577" t="n">
        <v>0.001434</v>
      </c>
      <c r="S2577">
        <f>IMAGE("https://mitra.stanford.edu/kundaje/oak/projects/neuro-variants/variant_position/credible/roussos_2024/variant_figures/roussos_2024.childhood.GABA/rs62263590_count_position.png",4,220,900)</f>
        <v/>
      </c>
      <c r="T2577">
        <f>IMAGE("https://mitra.stanford.edu/kundaje/oak/projects/neuro-variants/variant_position/credible/roussos_2024/variant_figures/roussos_2024.childhood.GABA/rs62263590_profile_position.png",4,220,900)</f>
        <v/>
      </c>
    </row>
    <row r="2578">
      <c r="A2578" t="inlineStr">
        <is>
          <t>chr3</t>
        </is>
      </c>
      <c r="B2578" t="n">
        <v>50108661</v>
      </c>
      <c r="C2578" t="inlineStr">
        <is>
          <t>T</t>
        </is>
      </c>
      <c r="D2578" t="inlineStr">
        <is>
          <t>A</t>
        </is>
      </c>
      <c r="E2578" t="inlineStr">
        <is>
          <t>rs3733133</t>
        </is>
      </c>
      <c r="F2578" t="n">
        <v>0.00583404844</v>
      </c>
      <c r="G2578" t="n">
        <v>0.6684018676463348</v>
      </c>
      <c r="H2578" t="n">
        <v>0.0132467515128754</v>
      </c>
      <c r="I2578" t="n">
        <v>0.3327683243282489</v>
      </c>
      <c r="J2578" t="n">
        <v>0.058466838390819</v>
      </c>
      <c r="K2578" t="n">
        <v>0.4751468492261562</v>
      </c>
      <c r="L2578" t="b">
        <v>0</v>
      </c>
      <c r="M2578" t="b">
        <v>0</v>
      </c>
      <c r="N2578" t="inlineStr">
        <is>
          <t>alt</t>
        </is>
      </c>
      <c r="O2578" t="n">
        <v>-70</v>
      </c>
      <c r="P2578" t="n">
        <v>0.003456</v>
      </c>
      <c r="Q2578" t="n">
        <v>95</v>
      </c>
      <c r="R2578" t="n">
        <v>0.00592</v>
      </c>
      <c r="S2578">
        <f>IMAGE("https://mitra.stanford.edu/kundaje/oak/projects/neuro-variants/variant_position/credible/roussos_2024/variant_figures/roussos_2024.childhood.GABA/rs3733133_count_position.png",4,220,900)</f>
        <v/>
      </c>
      <c r="T2578">
        <f>IMAGE("https://mitra.stanford.edu/kundaje/oak/projects/neuro-variants/variant_position/credible/roussos_2024/variant_figures/roussos_2024.childhood.GABA/rs3733133_profile_position.png",4,220,900)</f>
        <v/>
      </c>
    </row>
    <row r="2579">
      <c r="A2579" t="inlineStr">
        <is>
          <t>chr3</t>
        </is>
      </c>
      <c r="B2579" t="n">
        <v>50136764</v>
      </c>
      <c r="C2579" t="inlineStr">
        <is>
          <t>G</t>
        </is>
      </c>
      <c r="D2579" t="inlineStr">
        <is>
          <t>T</t>
        </is>
      </c>
      <c r="E2579" t="inlineStr">
        <is>
          <t>rs2624847</t>
        </is>
      </c>
      <c r="F2579" t="n">
        <v>-0.00362235926</v>
      </c>
      <c r="G2579" t="n">
        <v>0.6834321168261253</v>
      </c>
      <c r="H2579" t="n">
        <v>0.0114202993395016</v>
      </c>
      <c r="I2579" t="n">
        <v>0.4878736252185752</v>
      </c>
      <c r="J2579" t="n">
        <v>0.3630342820045653</v>
      </c>
      <c r="K2579" t="n">
        <v>0.1015542427155702</v>
      </c>
      <c r="L2579" t="b">
        <v>0</v>
      </c>
      <c r="M2579" t="b">
        <v>0</v>
      </c>
      <c r="N2579" t="inlineStr">
        <is>
          <t>ref</t>
        </is>
      </c>
      <c r="O2579" t="n">
        <v>-65</v>
      </c>
      <c r="P2579" t="n">
        <v>0.002989</v>
      </c>
      <c r="Q2579" t="n">
        <v>80</v>
      </c>
      <c r="R2579" t="n">
        <v>0.04843</v>
      </c>
      <c r="S2579">
        <f>IMAGE("https://mitra.stanford.edu/kundaje/oak/projects/neuro-variants/variant_position/credible/roussos_2024/variant_figures/roussos_2024.childhood.GABA/rs2624847_count_position.png",4,220,900)</f>
        <v/>
      </c>
      <c r="T2579">
        <f>IMAGE("https://mitra.stanford.edu/kundaje/oak/projects/neuro-variants/variant_position/credible/roussos_2024/variant_figures/roussos_2024.childhood.GABA/rs2624847_profile_position.png",4,220,900)</f>
        <v/>
      </c>
    </row>
    <row r="2580">
      <c r="A2580" t="inlineStr">
        <is>
          <t>chr3</t>
        </is>
      </c>
      <c r="B2580" t="n">
        <v>50151221</v>
      </c>
      <c r="C2580" t="inlineStr">
        <is>
          <t>C</t>
        </is>
      </c>
      <c r="D2580" t="inlineStr">
        <is>
          <t>T</t>
        </is>
      </c>
      <c r="E2580" t="inlineStr">
        <is>
          <t>rs12054052</t>
        </is>
      </c>
      <c r="F2580" t="n">
        <v>-0.01947209575</v>
      </c>
      <c r="G2580" t="n">
        <v>0.4746475715507819</v>
      </c>
      <c r="H2580" t="n">
        <v>0.0128114869730467</v>
      </c>
      <c r="I2580" t="n">
        <v>0.3679096234961728</v>
      </c>
      <c r="J2580" t="n">
        <v>0.5147651358086741</v>
      </c>
      <c r="K2580" t="n">
        <v>0.0468672991279856</v>
      </c>
      <c r="L2580" t="b">
        <v>0</v>
      </c>
      <c r="M2580" t="b">
        <v>0</v>
      </c>
      <c r="N2580" t="inlineStr">
        <is>
          <t>ref</t>
        </is>
      </c>
      <c r="O2580" t="n">
        <v>-95</v>
      </c>
      <c r="P2580" t="n">
        <v>0.014496</v>
      </c>
      <c r="Q2580" t="n">
        <v>-70</v>
      </c>
      <c r="R2580" t="n">
        <v>0.0813</v>
      </c>
      <c r="S2580">
        <f>IMAGE("https://mitra.stanford.edu/kundaje/oak/projects/neuro-variants/variant_position/credible/roussos_2024/variant_figures/roussos_2024.childhood.GABA/rs12054052_count_position.png",4,220,900)</f>
        <v/>
      </c>
      <c r="T2580">
        <f>IMAGE("https://mitra.stanford.edu/kundaje/oak/projects/neuro-variants/variant_position/credible/roussos_2024/variant_figures/roussos_2024.childhood.GABA/rs12054052_profile_position.png",4,220,900)</f>
        <v/>
      </c>
    </row>
    <row r="2581">
      <c r="A2581" t="inlineStr">
        <is>
          <t>chr3</t>
        </is>
      </c>
      <c r="B2581" t="n">
        <v>50171616</v>
      </c>
      <c r="C2581" t="inlineStr">
        <is>
          <t>G</t>
        </is>
      </c>
      <c r="D2581" t="inlineStr">
        <is>
          <t>A</t>
        </is>
      </c>
      <c r="E2581" t="inlineStr">
        <is>
          <t>rs2624835</t>
        </is>
      </c>
      <c r="F2581" t="n">
        <v>-0.016504693</v>
      </c>
      <c r="G2581" t="n">
        <v>0.5025933881601881</v>
      </c>
      <c r="H2581" t="n">
        <v>0.0117730897797111</v>
      </c>
      <c r="I2581" t="n">
        <v>0.436262013510543</v>
      </c>
      <c r="J2581" t="n">
        <v>0.5810935896630436</v>
      </c>
      <c r="K2581" t="n">
        <v>0.0319492556791456</v>
      </c>
      <c r="L2581" t="b">
        <v>0</v>
      </c>
      <c r="M2581" t="b">
        <v>0</v>
      </c>
      <c r="N2581" t="inlineStr">
        <is>
          <t>ref</t>
        </is>
      </c>
      <c r="O2581" t="n">
        <v>100</v>
      </c>
      <c r="P2581" t="n">
        <v>0.001581</v>
      </c>
      <c r="Q2581" t="n">
        <v>-70</v>
      </c>
      <c r="R2581" t="n">
        <v>0.02502</v>
      </c>
      <c r="S2581">
        <f>IMAGE("https://mitra.stanford.edu/kundaje/oak/projects/neuro-variants/variant_position/credible/roussos_2024/variant_figures/roussos_2024.childhood.GABA/rs2624835_count_position.png",4,220,900)</f>
        <v/>
      </c>
      <c r="T2581">
        <f>IMAGE("https://mitra.stanford.edu/kundaje/oak/projects/neuro-variants/variant_position/credible/roussos_2024/variant_figures/roussos_2024.childhood.GABA/rs2624835_profile_position.png",4,220,900)</f>
        <v/>
      </c>
    </row>
    <row r="2582">
      <c r="A2582" t="inlineStr">
        <is>
          <t>chr3</t>
        </is>
      </c>
      <c r="B2582" t="n">
        <v>50191334</v>
      </c>
      <c r="C2582" t="inlineStr">
        <is>
          <t>G</t>
        </is>
      </c>
      <c r="D2582" t="inlineStr">
        <is>
          <t>T</t>
        </is>
      </c>
      <c r="E2582" t="inlineStr">
        <is>
          <t>rs3755831</t>
        </is>
      </c>
      <c r="F2582" t="n">
        <v>-0.0152821492</v>
      </c>
      <c r="G2582" t="n">
        <v>0.5124633002507106</v>
      </c>
      <c r="H2582" t="n">
        <v>0.0137850501333459</v>
      </c>
      <c r="I2582" t="n">
        <v>0.2958865914446034</v>
      </c>
      <c r="J2582" t="n">
        <v>0.3362536910221775</v>
      </c>
      <c r="K2582" t="n">
        <v>0.1162275476299062</v>
      </c>
      <c r="L2582" t="b">
        <v>0</v>
      </c>
      <c r="M2582" t="b">
        <v>0</v>
      </c>
      <c r="N2582" t="inlineStr">
        <is>
          <t>ref</t>
        </is>
      </c>
      <c r="O2582" t="n">
        <v>-90</v>
      </c>
      <c r="P2582" t="n">
        <v>0.002571</v>
      </c>
      <c r="Q2582" t="n">
        <v>75</v>
      </c>
      <c r="R2582" t="n">
        <v>0.1085</v>
      </c>
      <c r="S2582">
        <f>IMAGE("https://mitra.stanford.edu/kundaje/oak/projects/neuro-variants/variant_position/credible/roussos_2024/variant_figures/roussos_2024.childhood.GABA/rs3755831_count_position.png",4,220,900)</f>
        <v/>
      </c>
      <c r="T2582">
        <f>IMAGE("https://mitra.stanford.edu/kundaje/oak/projects/neuro-variants/variant_position/credible/roussos_2024/variant_figures/roussos_2024.childhood.GABA/rs3755831_profile_position.png",4,220,900)</f>
        <v/>
      </c>
    </row>
    <row r="2583">
      <c r="A2583" t="inlineStr">
        <is>
          <t>chr3</t>
        </is>
      </c>
      <c r="B2583" t="n">
        <v>50202031</v>
      </c>
      <c r="C2583" t="inlineStr">
        <is>
          <t>C</t>
        </is>
      </c>
      <c r="D2583" t="inlineStr">
        <is>
          <t>T</t>
        </is>
      </c>
      <c r="E2583" t="inlineStr">
        <is>
          <t>rs4688683</t>
        </is>
      </c>
      <c r="F2583" t="n">
        <v>-0.0565531319999999</v>
      </c>
      <c r="G2583" t="n">
        <v>0.1066843660131862</v>
      </c>
      <c r="H2583" t="n">
        <v>0.0122746531653018</v>
      </c>
      <c r="I2583" t="n">
        <v>0.4115378912873723</v>
      </c>
      <c r="J2583" t="n">
        <v>0.455425017277125</v>
      </c>
      <c r="K2583" t="n">
        <v>0.06457452849454209</v>
      </c>
      <c r="L2583" t="b">
        <v>0</v>
      </c>
      <c r="M2583" t="b">
        <v>0</v>
      </c>
      <c r="N2583" t="inlineStr">
        <is>
          <t>ref</t>
        </is>
      </c>
      <c r="O2583" t="n">
        <v>-40</v>
      </c>
      <c r="P2583" t="n">
        <v>0.0006980000000000001</v>
      </c>
      <c r="Q2583" t="n">
        <v>15</v>
      </c>
      <c r="R2583" t="n">
        <v>0.02441</v>
      </c>
      <c r="S2583">
        <f>IMAGE("https://mitra.stanford.edu/kundaje/oak/projects/neuro-variants/variant_position/credible/roussos_2024/variant_figures/roussos_2024.childhood.GABA/rs4688683_count_position.png",4,220,900)</f>
        <v/>
      </c>
      <c r="T2583">
        <f>IMAGE("https://mitra.stanford.edu/kundaje/oak/projects/neuro-variants/variant_position/credible/roussos_2024/variant_figures/roussos_2024.childhood.GABA/rs4688683_profile_position.png",4,220,900)</f>
        <v/>
      </c>
    </row>
    <row r="2584">
      <c r="A2584" t="inlineStr">
        <is>
          <t>chr3</t>
        </is>
      </c>
      <c r="B2584" t="n">
        <v>50206077</v>
      </c>
      <c r="C2584" t="inlineStr">
        <is>
          <t>G</t>
        </is>
      </c>
      <c r="D2584" t="inlineStr">
        <is>
          <t>T</t>
        </is>
      </c>
      <c r="E2584" t="inlineStr">
        <is>
          <t>rs2236939</t>
        </is>
      </c>
      <c r="F2584" t="n">
        <v>0.0327337535599999</v>
      </c>
      <c r="G2584" t="n">
        <v>0.2874350398859167</v>
      </c>
      <c r="H2584" t="n">
        <v>0.0190217559007706</v>
      </c>
      <c r="I2584" t="n">
        <v>0.0924465098623637</v>
      </c>
      <c r="J2584" t="n">
        <v>0.857493036795041</v>
      </c>
      <c r="K2584" t="n">
        <v>0.003598926117701</v>
      </c>
      <c r="L2584" t="b">
        <v>0</v>
      </c>
      <c r="M2584" t="b">
        <v>0</v>
      </c>
      <c r="N2584" t="inlineStr">
        <is>
          <t>alt</t>
        </is>
      </c>
      <c r="O2584" t="n">
        <v>100</v>
      </c>
      <c r="P2584" t="n">
        <v>0.00403</v>
      </c>
      <c r="Q2584" t="n">
        <v>5</v>
      </c>
      <c r="R2584" t="n">
        <v>0.01318</v>
      </c>
      <c r="S2584">
        <f>IMAGE("https://mitra.stanford.edu/kundaje/oak/projects/neuro-variants/variant_position/credible/roussos_2024/variant_figures/roussos_2024.childhood.GABA/rs2236939_count_position.png",4,220,900)</f>
        <v/>
      </c>
      <c r="T2584">
        <f>IMAGE("https://mitra.stanford.edu/kundaje/oak/projects/neuro-variants/variant_position/credible/roussos_2024/variant_figures/roussos_2024.childhood.GABA/rs2236939_profile_position.png",4,220,900)</f>
        <v/>
      </c>
    </row>
    <row r="2585">
      <c r="A2585" t="inlineStr">
        <is>
          <t>chr3</t>
        </is>
      </c>
      <c r="B2585" t="n">
        <v>50206647</v>
      </c>
      <c r="C2585" t="inlineStr">
        <is>
          <t>G</t>
        </is>
      </c>
      <c r="D2585" t="inlineStr">
        <is>
          <t>A</t>
        </is>
      </c>
      <c r="E2585" t="inlineStr">
        <is>
          <t>rs2236940</t>
        </is>
      </c>
      <c r="F2585" t="n">
        <v>-0.04392412108</v>
      </c>
      <c r="G2585" t="n">
        <v>0.1806404927833335</v>
      </c>
      <c r="H2585" t="n">
        <v>0.0087700914215592</v>
      </c>
      <c r="I2585" t="n">
        <v>0.7800309075424564</v>
      </c>
      <c r="J2585" t="n">
        <v>0.5644583359510795</v>
      </c>
      <c r="K2585" t="n">
        <v>0.0354988773413361</v>
      </c>
      <c r="L2585" t="b">
        <v>0</v>
      </c>
      <c r="M2585" t="b">
        <v>0</v>
      </c>
      <c r="N2585" t="inlineStr">
        <is>
          <t>ref</t>
        </is>
      </c>
      <c r="O2585" t="n">
        <v>35</v>
      </c>
      <c r="P2585" t="n">
        <v>0.002457</v>
      </c>
      <c r="Q2585" t="n">
        <v>-100</v>
      </c>
      <c r="R2585" t="n">
        <v>0.0446</v>
      </c>
      <c r="S2585">
        <f>IMAGE("https://mitra.stanford.edu/kundaje/oak/projects/neuro-variants/variant_position/credible/roussos_2024/variant_figures/roussos_2024.childhood.GABA/rs2236940_count_position.png",4,220,900)</f>
        <v/>
      </c>
      <c r="T2585">
        <f>IMAGE("https://mitra.stanford.edu/kundaje/oak/projects/neuro-variants/variant_position/credible/roussos_2024/variant_figures/roussos_2024.childhood.GABA/rs2236940_profile_position.png",4,220,900)</f>
        <v/>
      </c>
    </row>
    <row r="2586">
      <c r="A2586" t="inlineStr">
        <is>
          <t>chr3</t>
        </is>
      </c>
      <c r="B2586" t="n">
        <v>50235333</v>
      </c>
      <c r="C2586" t="inlineStr">
        <is>
          <t>T</t>
        </is>
      </c>
      <c r="D2586" t="inlineStr">
        <is>
          <t>G</t>
        </is>
      </c>
      <c r="E2586" t="inlineStr">
        <is>
          <t>rs4688743</t>
        </is>
      </c>
      <c r="F2586" t="n">
        <v>0.00400106792</v>
      </c>
      <c r="G2586" t="n">
        <v>0.7178124932501955</v>
      </c>
      <c r="H2586" t="n">
        <v>0.0207796319301996</v>
      </c>
      <c r="I2586" t="n">
        <v>0.06899219967155271</v>
      </c>
      <c r="J2586" t="n">
        <v>0.6480764800737158</v>
      </c>
      <c r="K2586" t="n">
        <v>0.0210223008951038</v>
      </c>
      <c r="L2586" t="b">
        <v>0</v>
      </c>
      <c r="M2586" t="b">
        <v>0</v>
      </c>
      <c r="N2586" t="inlineStr">
        <is>
          <t>alt</t>
        </is>
      </c>
      <c r="O2586" t="n">
        <v>55</v>
      </c>
      <c r="P2586" t="n">
        <v>0.01478</v>
      </c>
      <c r="Q2586" t="n">
        <v>10</v>
      </c>
      <c r="R2586" t="n">
        <v>0.01978</v>
      </c>
      <c r="S2586">
        <f>IMAGE("https://mitra.stanford.edu/kundaje/oak/projects/neuro-variants/variant_position/credible/roussos_2024/variant_figures/roussos_2024.childhood.GABA/rs4688743_count_position.png",4,220,900)</f>
        <v/>
      </c>
      <c r="T2586">
        <f>IMAGE("https://mitra.stanford.edu/kundaje/oak/projects/neuro-variants/variant_position/credible/roussos_2024/variant_figures/roussos_2024.childhood.GABA/rs4688743_profile_position.png",4,220,900)</f>
        <v/>
      </c>
    </row>
    <row r="2587">
      <c r="A2587" t="inlineStr">
        <is>
          <t>chr3</t>
        </is>
      </c>
      <c r="B2587" t="n">
        <v>50278688</v>
      </c>
      <c r="C2587" t="inlineStr">
        <is>
          <t>T</t>
        </is>
      </c>
      <c r="D2587" t="inlineStr">
        <is>
          <t>C</t>
        </is>
      </c>
      <c r="E2587" t="inlineStr">
        <is>
          <t>rs6776145</t>
        </is>
      </c>
      <c r="F2587" t="n">
        <v>0.037937146</v>
      </c>
      <c r="G2587" t="n">
        <v>0.2142941911153276</v>
      </c>
      <c r="H2587" t="n">
        <v>0.0113062737793515</v>
      </c>
      <c r="I2587" t="n">
        <v>0.5060448909600754</v>
      </c>
      <c r="J2587" t="n">
        <v>0.3005423970178634</v>
      </c>
      <c r="K2587" t="n">
        <v>0.1375815337763693</v>
      </c>
      <c r="L2587" t="b">
        <v>0</v>
      </c>
      <c r="M2587" t="b">
        <v>0</v>
      </c>
      <c r="N2587" t="inlineStr">
        <is>
          <t>alt</t>
        </is>
      </c>
      <c r="O2587" t="n">
        <v>95</v>
      </c>
      <c r="P2587" t="n">
        <v>0.002579</v>
      </c>
      <c r="Q2587" t="n">
        <v>100</v>
      </c>
      <c r="R2587" t="n">
        <v>0.06165</v>
      </c>
      <c r="S2587">
        <f>IMAGE("https://mitra.stanford.edu/kundaje/oak/projects/neuro-variants/variant_position/credible/roussos_2024/variant_figures/roussos_2024.childhood.GABA/rs6776145_count_position.png",4,220,900)</f>
        <v/>
      </c>
      <c r="T2587">
        <f>IMAGE("https://mitra.stanford.edu/kundaje/oak/projects/neuro-variants/variant_position/credible/roussos_2024/variant_figures/roussos_2024.childhood.GABA/rs6776145_profile_position.png",4,220,900)</f>
        <v/>
      </c>
    </row>
    <row r="2588">
      <c r="A2588" t="inlineStr">
        <is>
          <t>chr3</t>
        </is>
      </c>
      <c r="B2588" t="n">
        <v>50303565</v>
      </c>
      <c r="C2588" t="inlineStr">
        <is>
          <t>T</t>
        </is>
      </c>
      <c r="D2588" t="inlineStr">
        <is>
          <t>C</t>
        </is>
      </c>
      <c r="E2588" t="inlineStr">
        <is>
          <t>rs28365992</t>
        </is>
      </c>
      <c r="F2588" t="n">
        <v>0.08897108519999999</v>
      </c>
      <c r="G2588" t="n">
        <v>0.0385021803233478</v>
      </c>
      <c r="H2588" t="n">
        <v>0.0216848288799942</v>
      </c>
      <c r="I2588" t="n">
        <v>0.0546410016386483</v>
      </c>
      <c r="J2588" t="n">
        <v>0.5459498230403551</v>
      </c>
      <c r="K2588" t="n">
        <v>0.0401060240081548</v>
      </c>
      <c r="L2588" t="b">
        <v>0</v>
      </c>
      <c r="M2588" t="b">
        <v>0</v>
      </c>
      <c r="N2588" t="inlineStr">
        <is>
          <t>alt</t>
        </is>
      </c>
      <c r="O2588" t="n">
        <v>-100</v>
      </c>
      <c r="P2588" t="n">
        <v>0.001858</v>
      </c>
      <c r="Q2588" t="n">
        <v>75</v>
      </c>
      <c r="R2588" t="n">
        <v>0.103</v>
      </c>
      <c r="S2588">
        <f>IMAGE("https://mitra.stanford.edu/kundaje/oak/projects/neuro-variants/variant_position/credible/roussos_2024/variant_figures/roussos_2024.childhood.GABA/rs28365992_count_position.png",4,220,900)</f>
        <v/>
      </c>
      <c r="T2588">
        <f>IMAGE("https://mitra.stanford.edu/kundaje/oak/projects/neuro-variants/variant_position/credible/roussos_2024/variant_figures/roussos_2024.childhood.GABA/rs28365992_profile_position.png",4,220,900)</f>
        <v/>
      </c>
    </row>
    <row r="2589">
      <c r="A2589" t="inlineStr">
        <is>
          <t>chr3</t>
        </is>
      </c>
      <c r="B2589" t="n">
        <v>50314167</v>
      </c>
      <c r="C2589" t="inlineStr">
        <is>
          <t>C</t>
        </is>
      </c>
      <c r="D2589" t="inlineStr">
        <is>
          <t>T</t>
        </is>
      </c>
      <c r="E2589" t="inlineStr">
        <is>
          <t>rs12492683</t>
        </is>
      </c>
      <c r="F2589" t="n">
        <v>-0.0196807998</v>
      </c>
      <c r="G2589" t="n">
        <v>0.4385685331501908</v>
      </c>
      <c r="H2589" t="n">
        <v>0.0084882182701619</v>
      </c>
      <c r="I2589" t="n">
        <v>0.8034833248017329</v>
      </c>
      <c r="J2589" t="n">
        <v>0.0428786831689388</v>
      </c>
      <c r="K2589" t="n">
        <v>0.5262704948885293</v>
      </c>
      <c r="L2589" t="b">
        <v>0</v>
      </c>
      <c r="M2589" t="b">
        <v>0</v>
      </c>
      <c r="N2589" t="inlineStr">
        <is>
          <t>ref</t>
        </is>
      </c>
      <c r="O2589" t="n">
        <v>-80</v>
      </c>
      <c r="P2589" t="n">
        <v>0.01816</v>
      </c>
      <c r="Q2589" t="n">
        <v>-80</v>
      </c>
      <c r="R2589" t="n">
        <v>0.03375</v>
      </c>
      <c r="S2589">
        <f>IMAGE("https://mitra.stanford.edu/kundaje/oak/projects/neuro-variants/variant_position/credible/roussos_2024/variant_figures/roussos_2024.childhood.GABA/rs12492683_count_position.png",4,220,900)</f>
        <v/>
      </c>
      <c r="T2589">
        <f>IMAGE("https://mitra.stanford.edu/kundaje/oak/projects/neuro-variants/variant_position/credible/roussos_2024/variant_figures/roussos_2024.childhood.GABA/rs12492683_profile_position.png",4,220,900)</f>
        <v/>
      </c>
    </row>
    <row r="2590">
      <c r="A2590" t="inlineStr">
        <is>
          <t>chr3</t>
        </is>
      </c>
      <c r="B2590" t="n">
        <v>50314953</v>
      </c>
      <c r="C2590" t="inlineStr">
        <is>
          <t>T</t>
        </is>
      </c>
      <c r="D2590" t="inlineStr">
        <is>
          <t>C</t>
        </is>
      </c>
      <c r="E2590" t="inlineStr">
        <is>
          <t>rs12054403</t>
        </is>
      </c>
      <c r="F2590" t="n">
        <v>0.0583059952</v>
      </c>
      <c r="G2590" t="n">
        <v>0.1162476179260468</v>
      </c>
      <c r="H2590" t="n">
        <v>0.0229376287526393</v>
      </c>
      <c r="I2590" t="n">
        <v>0.0426278806615675</v>
      </c>
      <c r="J2590" t="n">
        <v>0.2064291847291156</v>
      </c>
      <c r="K2590" t="n">
        <v>0.2164546975631693</v>
      </c>
      <c r="L2590" t="b">
        <v>0</v>
      </c>
      <c r="M2590" t="b">
        <v>0</v>
      </c>
      <c r="N2590" t="inlineStr">
        <is>
          <t>alt</t>
        </is>
      </c>
      <c r="O2590" t="n">
        <v>0</v>
      </c>
      <c r="P2590" t="n">
        <v>0</v>
      </c>
      <c r="Q2590" t="n">
        <v>95</v>
      </c>
      <c r="R2590" t="n">
        <v>0.075</v>
      </c>
      <c r="S2590">
        <f>IMAGE("https://mitra.stanford.edu/kundaje/oak/projects/neuro-variants/variant_position/credible/roussos_2024/variant_figures/roussos_2024.childhood.GABA/rs12054403_count_position.png",4,220,900)</f>
        <v/>
      </c>
      <c r="T2590">
        <f>IMAGE("https://mitra.stanford.edu/kundaje/oak/projects/neuro-variants/variant_position/credible/roussos_2024/variant_figures/roussos_2024.childhood.GABA/rs12054403_profile_position.png",4,220,900)</f>
        <v/>
      </c>
    </row>
    <row r="2591">
      <c r="A2591" t="inlineStr">
        <is>
          <t>chr3</t>
        </is>
      </c>
      <c r="B2591" t="n">
        <v>50334001</v>
      </c>
      <c r="C2591" t="inlineStr">
        <is>
          <t>C</t>
        </is>
      </c>
      <c r="D2591" t="inlineStr">
        <is>
          <t>A</t>
        </is>
      </c>
      <c r="E2591" t="inlineStr">
        <is>
          <t>rs2236947</t>
        </is>
      </c>
      <c r="F2591" t="n">
        <v>0.0860929156</v>
      </c>
      <c r="G2591" t="n">
        <v>0.0457638342487532</v>
      </c>
      <c r="H2591" t="n">
        <v>0.0243522525095042</v>
      </c>
      <c r="I2591" t="n">
        <v>0.0326690763873418</v>
      </c>
      <c r="J2591" t="n">
        <v>0.4571433058993529</v>
      </c>
      <c r="K2591" t="n">
        <v>0.0641006358162346</v>
      </c>
      <c r="L2591" t="b">
        <v>0</v>
      </c>
      <c r="M2591" t="b">
        <v>0</v>
      </c>
      <c r="N2591" t="inlineStr">
        <is>
          <t>alt</t>
        </is>
      </c>
      <c r="O2591" t="n">
        <v>-100</v>
      </c>
      <c r="P2591" t="n">
        <v>0.002928</v>
      </c>
      <c r="Q2591" t="n">
        <v>-100</v>
      </c>
      <c r="R2591" t="n">
        <v>0.1301</v>
      </c>
      <c r="S2591">
        <f>IMAGE("https://mitra.stanford.edu/kundaje/oak/projects/neuro-variants/variant_position/credible/roussos_2024/variant_figures/roussos_2024.childhood.GABA/rs2236947_count_position.png",4,220,900)</f>
        <v/>
      </c>
      <c r="T2591">
        <f>IMAGE("https://mitra.stanford.edu/kundaje/oak/projects/neuro-variants/variant_position/credible/roussos_2024/variant_figures/roussos_2024.childhood.GABA/rs2236947_profile_position.png",4,220,900)</f>
        <v/>
      </c>
    </row>
    <row r="2592">
      <c r="A2592" t="inlineStr">
        <is>
          <t>chr3</t>
        </is>
      </c>
      <c r="B2592" t="n">
        <v>50354037</v>
      </c>
      <c r="C2592" t="inlineStr">
        <is>
          <t>T</t>
        </is>
      </c>
      <c r="D2592" t="inlineStr">
        <is>
          <t>C</t>
        </is>
      </c>
      <c r="E2592" t="inlineStr">
        <is>
          <t>rs58181992</t>
        </is>
      </c>
      <c r="F2592" t="n">
        <v>0.01019479776</v>
      </c>
      <c r="G2592" t="n">
        <v>0.59086746563799</v>
      </c>
      <c r="H2592" t="n">
        <v>0.0174220070979758</v>
      </c>
      <c r="I2592" t="n">
        <v>0.1361005300593208</v>
      </c>
      <c r="J2592" t="n">
        <v>0.3489885028585788</v>
      </c>
      <c r="K2592" t="n">
        <v>0.1099620423103638</v>
      </c>
      <c r="L2592" t="b">
        <v>0</v>
      </c>
      <c r="M2592" t="b">
        <v>0</v>
      </c>
      <c r="N2592" t="inlineStr">
        <is>
          <t>alt</t>
        </is>
      </c>
      <c r="O2592" t="n">
        <v>40</v>
      </c>
      <c r="P2592" t="n">
        <v>0.002655</v>
      </c>
      <c r="Q2592" t="n">
        <v>100</v>
      </c>
      <c r="R2592" t="n">
        <v>0.0653</v>
      </c>
      <c r="S2592">
        <f>IMAGE("https://mitra.stanford.edu/kundaje/oak/projects/neuro-variants/variant_position/credible/roussos_2024/variant_figures/roussos_2024.childhood.GABA/rs58181992_count_position.png",4,220,900)</f>
        <v/>
      </c>
      <c r="T2592">
        <f>IMAGE("https://mitra.stanford.edu/kundaje/oak/projects/neuro-variants/variant_position/credible/roussos_2024/variant_figures/roussos_2024.childhood.GABA/rs58181992_profile_position.png",4,220,900)</f>
        <v/>
      </c>
    </row>
    <row r="2593">
      <c r="A2593" t="inlineStr">
        <is>
          <t>chr3</t>
        </is>
      </c>
      <c r="B2593" t="n">
        <v>50418039</v>
      </c>
      <c r="C2593" t="inlineStr">
        <is>
          <t>G</t>
        </is>
      </c>
      <c r="D2593" t="inlineStr">
        <is>
          <t>A</t>
        </is>
      </c>
      <c r="E2593" t="inlineStr">
        <is>
          <t>rs6446206</t>
        </is>
      </c>
      <c r="F2593" t="n">
        <v>0.067423236</v>
      </c>
      <c r="G2593" t="n">
        <v>0.0813330860958907</v>
      </c>
      <c r="H2593" t="n">
        <v>0.0204564866733865</v>
      </c>
      <c r="I2593" t="n">
        <v>0.0704811712213988</v>
      </c>
      <c r="J2593" t="n">
        <v>0.3056155892023203</v>
      </c>
      <c r="K2593" t="n">
        <v>0.1339787028731995</v>
      </c>
      <c r="L2593" t="b">
        <v>0</v>
      </c>
      <c r="M2593" t="b">
        <v>0</v>
      </c>
      <c r="N2593" t="inlineStr">
        <is>
          <t>alt</t>
        </is>
      </c>
      <c r="O2593" t="n">
        <v>90</v>
      </c>
      <c r="P2593" t="n">
        <v>0.001813</v>
      </c>
      <c r="Q2593" t="n">
        <v>65</v>
      </c>
      <c r="R2593" t="n">
        <v>0.03668</v>
      </c>
      <c r="S2593">
        <f>IMAGE("https://mitra.stanford.edu/kundaje/oak/projects/neuro-variants/variant_position/credible/roussos_2024/variant_figures/roussos_2024.childhood.GABA/rs6446206_count_position.png",4,220,900)</f>
        <v/>
      </c>
      <c r="T2593">
        <f>IMAGE("https://mitra.stanford.edu/kundaje/oak/projects/neuro-variants/variant_position/credible/roussos_2024/variant_figures/roussos_2024.childhood.GABA/rs6446206_profile_position.png",4,220,900)</f>
        <v/>
      </c>
    </row>
    <row r="2594">
      <c r="A2594" t="inlineStr">
        <is>
          <t>chr3</t>
        </is>
      </c>
      <c r="B2594" t="n">
        <v>50454725</v>
      </c>
      <c r="C2594" t="inlineStr">
        <is>
          <t>G</t>
        </is>
      </c>
      <c r="D2594" t="inlineStr">
        <is>
          <t>A</t>
        </is>
      </c>
      <c r="E2594" t="inlineStr">
        <is>
          <t>rs2157328</t>
        </is>
      </c>
      <c r="F2594" t="n">
        <v>-0.0073898897</v>
      </c>
      <c r="G2594" t="n">
        <v>0.6112532962273629</v>
      </c>
      <c r="H2594" t="n">
        <v>0.0222734916169084</v>
      </c>
      <c r="I2594" t="n">
        <v>0.0474222133954057</v>
      </c>
      <c r="J2594" t="n">
        <v>0.7306496199032481</v>
      </c>
      <c r="K2594" t="n">
        <v>0.0118653884828079</v>
      </c>
      <c r="L2594" t="b">
        <v>0</v>
      </c>
      <c r="M2594" t="b">
        <v>0</v>
      </c>
      <c r="N2594" t="inlineStr">
        <is>
          <t>ref</t>
        </is>
      </c>
      <c r="O2594" t="n">
        <v>-100</v>
      </c>
      <c r="P2594" t="n">
        <v>0.031</v>
      </c>
      <c r="Q2594" t="n">
        <v>-100</v>
      </c>
      <c r="R2594" t="n">
        <v>0.2219</v>
      </c>
      <c r="S2594">
        <f>IMAGE("https://mitra.stanford.edu/kundaje/oak/projects/neuro-variants/variant_position/credible/roussos_2024/variant_figures/roussos_2024.childhood.GABA/rs2157328_count_position.png",4,220,900)</f>
        <v/>
      </c>
      <c r="T2594">
        <f>IMAGE("https://mitra.stanford.edu/kundaje/oak/projects/neuro-variants/variant_position/credible/roussos_2024/variant_figures/roussos_2024.childhood.GABA/rs2157328_profile_position.png",4,220,900)</f>
        <v/>
      </c>
    </row>
    <row r="2595">
      <c r="A2595" t="inlineStr">
        <is>
          <t>chr3</t>
        </is>
      </c>
      <c r="B2595" t="n">
        <v>50462430</v>
      </c>
      <c r="C2595" t="inlineStr">
        <is>
          <t>A</t>
        </is>
      </c>
      <c r="D2595" t="inlineStr">
        <is>
          <t>G</t>
        </is>
      </c>
      <c r="E2595" t="inlineStr">
        <is>
          <t>rs9311454</t>
        </is>
      </c>
      <c r="F2595" t="n">
        <v>-0.0095550399999999</v>
      </c>
      <c r="G2595" t="n">
        <v>0.6392869312812367</v>
      </c>
      <c r="H2595" t="n">
        <v>0.0177769446522501</v>
      </c>
      <c r="I2595" t="n">
        <v>0.1195546723209623</v>
      </c>
      <c r="J2595" t="n">
        <v>0.1242644133107159</v>
      </c>
      <c r="K2595" t="n">
        <v>0.3197682662955298</v>
      </c>
      <c r="L2595" t="b">
        <v>0</v>
      </c>
      <c r="M2595" t="b">
        <v>0</v>
      </c>
      <c r="N2595" t="inlineStr">
        <is>
          <t>ref</t>
        </is>
      </c>
      <c r="O2595" t="n">
        <v>10</v>
      </c>
      <c r="P2595" t="n">
        <v>0.0006713999999999999</v>
      </c>
      <c r="Q2595" t="n">
        <v>100</v>
      </c>
      <c r="R2595" t="n">
        <v>0.1726</v>
      </c>
      <c r="S2595">
        <f>IMAGE("https://mitra.stanford.edu/kundaje/oak/projects/neuro-variants/variant_position/credible/roussos_2024/variant_figures/roussos_2024.childhood.GABA/rs9311454_count_position.png",4,220,900)</f>
        <v/>
      </c>
      <c r="T2595">
        <f>IMAGE("https://mitra.stanford.edu/kundaje/oak/projects/neuro-variants/variant_position/credible/roussos_2024/variant_figures/roussos_2024.childhood.GABA/rs9311454_profile_position.png",4,220,900)</f>
        <v/>
      </c>
    </row>
    <row r="2596">
      <c r="A2596" t="inlineStr">
        <is>
          <t>chr3</t>
        </is>
      </c>
      <c r="B2596" t="n">
        <v>50483208</v>
      </c>
      <c r="C2596" t="inlineStr">
        <is>
          <t>C</t>
        </is>
      </c>
      <c r="D2596" t="inlineStr">
        <is>
          <t>A</t>
        </is>
      </c>
      <c r="E2596" t="inlineStr">
        <is>
          <t>rs80049775</t>
        </is>
      </c>
      <c r="F2596" t="n">
        <v>0.0193454004</v>
      </c>
      <c r="G2596" t="n">
        <v>0.4120981758239348</v>
      </c>
      <c r="H2596" t="n">
        <v>0.0222083904808312</v>
      </c>
      <c r="I2596" t="n">
        <v>0.0487745495865058</v>
      </c>
      <c r="J2596" t="n">
        <v>0.2861625934535402</v>
      </c>
      <c r="K2596" t="n">
        <v>0.1471418916190359</v>
      </c>
      <c r="L2596" t="b">
        <v>0</v>
      </c>
      <c r="M2596" t="b">
        <v>0</v>
      </c>
      <c r="N2596" t="inlineStr">
        <is>
          <t>alt</t>
        </is>
      </c>
      <c r="O2596" t="n">
        <v>65</v>
      </c>
      <c r="P2596" t="n">
        <v>0.00201</v>
      </c>
      <c r="Q2596" t="n">
        <v>-5</v>
      </c>
      <c r="R2596" t="n">
        <v>0.00933</v>
      </c>
      <c r="S2596">
        <f>IMAGE("https://mitra.stanford.edu/kundaje/oak/projects/neuro-variants/variant_position/credible/roussos_2024/variant_figures/roussos_2024.childhood.GABA/rs80049775_count_position.png",4,220,900)</f>
        <v/>
      </c>
      <c r="T2596">
        <f>IMAGE("https://mitra.stanford.edu/kundaje/oak/projects/neuro-variants/variant_position/credible/roussos_2024/variant_figures/roussos_2024.childhood.GABA/rs80049775_profile_position.png",4,220,900)</f>
        <v/>
      </c>
    </row>
    <row r="2597">
      <c r="A2597" t="inlineStr">
        <is>
          <t>chr3</t>
        </is>
      </c>
      <c r="B2597" t="n">
        <v>50556413</v>
      </c>
      <c r="C2597" t="inlineStr">
        <is>
          <t>G</t>
        </is>
      </c>
      <c r="D2597" t="inlineStr">
        <is>
          <t>A</t>
        </is>
      </c>
      <c r="E2597" t="inlineStr">
        <is>
          <t>rs17051014</t>
        </is>
      </c>
      <c r="F2597" t="n">
        <v>0.07222022979999999</v>
      </c>
      <c r="G2597" t="n">
        <v>0.0636452746535037</v>
      </c>
      <c r="H2597" t="n">
        <v>0.0222022792468458</v>
      </c>
      <c r="I2597" t="n">
        <v>0.0484008375456922</v>
      </c>
      <c r="J2597" t="n">
        <v>0.3261753680551192</v>
      </c>
      <c r="K2597" t="n">
        <v>0.1212885496962487</v>
      </c>
      <c r="L2597" t="b">
        <v>0</v>
      </c>
      <c r="M2597" t="b">
        <v>0</v>
      </c>
      <c r="N2597" t="inlineStr">
        <is>
          <t>alt</t>
        </is>
      </c>
      <c r="O2597" t="n">
        <v>80</v>
      </c>
      <c r="P2597" t="n">
        <v>0.011475</v>
      </c>
      <c r="Q2597" t="n">
        <v>75</v>
      </c>
      <c r="R2597" t="n">
        <v>0.1356</v>
      </c>
      <c r="S2597">
        <f>IMAGE("https://mitra.stanford.edu/kundaje/oak/projects/neuro-variants/variant_position/credible/roussos_2024/variant_figures/roussos_2024.childhood.GABA/rs17051014_count_position.png",4,220,900)</f>
        <v/>
      </c>
      <c r="T2597">
        <f>IMAGE("https://mitra.stanford.edu/kundaje/oak/projects/neuro-variants/variant_position/credible/roussos_2024/variant_figures/roussos_2024.childhood.GABA/rs17051014_profile_position.png",4,220,900)</f>
        <v/>
      </c>
    </row>
    <row r="2598">
      <c r="A2598" t="inlineStr">
        <is>
          <t>chr3</t>
        </is>
      </c>
      <c r="B2598" t="n">
        <v>52646807</v>
      </c>
      <c r="C2598" t="inlineStr">
        <is>
          <t>C</t>
        </is>
      </c>
      <c r="D2598" t="inlineStr">
        <is>
          <t>T</t>
        </is>
      </c>
      <c r="E2598" t="inlineStr">
        <is>
          <t>rs2028216</t>
        </is>
      </c>
      <c r="F2598" t="n">
        <v>0.0047936507999999</v>
      </c>
      <c r="G2598" t="n">
        <v>0.7760796002344954</v>
      </c>
      <c r="H2598" t="n">
        <v>0.0195187279915173</v>
      </c>
      <c r="I2598" t="n">
        <v>0.0825048169653634</v>
      </c>
      <c r="J2598" t="n">
        <v>0.0036009717073987</v>
      </c>
      <c r="K2598" t="n">
        <v>0.8388774092836453</v>
      </c>
      <c r="L2598" t="b">
        <v>0</v>
      </c>
      <c r="M2598" t="b">
        <v>0</v>
      </c>
      <c r="N2598" t="inlineStr">
        <is>
          <t>alt</t>
        </is>
      </c>
      <c r="O2598" t="n">
        <v>-5</v>
      </c>
      <c r="P2598" t="n">
        <v>0.0001259</v>
      </c>
      <c r="Q2598" t="n">
        <v>-95</v>
      </c>
      <c r="R2598" t="n">
        <v>0.08167000000000001</v>
      </c>
      <c r="S2598">
        <f>IMAGE("https://mitra.stanford.edu/kundaje/oak/projects/neuro-variants/variant_position/credible/roussos_2024/variant_figures/roussos_2024.childhood.GABA/rs2028216_count_position.png",4,220,900)</f>
        <v/>
      </c>
      <c r="T2598">
        <f>IMAGE("https://mitra.stanford.edu/kundaje/oak/projects/neuro-variants/variant_position/credible/roussos_2024/variant_figures/roussos_2024.childhood.GABA/rs2028216_profile_position.png",4,220,900)</f>
        <v/>
      </c>
    </row>
    <row r="2599">
      <c r="A2599" t="inlineStr">
        <is>
          <t>chr3</t>
        </is>
      </c>
      <c r="B2599" t="n">
        <v>52664401</v>
      </c>
      <c r="C2599" t="inlineStr">
        <is>
          <t>T</t>
        </is>
      </c>
      <c r="D2599" t="inlineStr">
        <is>
          <t>C</t>
        </is>
      </c>
      <c r="E2599" t="inlineStr">
        <is>
          <t>rs12488461</t>
        </is>
      </c>
      <c r="F2599" t="n">
        <v>0.0150405831</v>
      </c>
      <c r="G2599" t="n">
        <v>0.4942804915157071</v>
      </c>
      <c r="H2599" t="n">
        <v>0.0232831793894031</v>
      </c>
      <c r="I2599" t="n">
        <v>0.0392925394957412</v>
      </c>
      <c r="J2599" t="n">
        <v>0.0230414022742978</v>
      </c>
      <c r="K2599" t="n">
        <v>0.63907312138342</v>
      </c>
      <c r="L2599" t="b">
        <v>0</v>
      </c>
      <c r="M2599" t="b">
        <v>0</v>
      </c>
      <c r="N2599" t="inlineStr">
        <is>
          <t>alt</t>
        </is>
      </c>
      <c r="O2599" t="n">
        <v>-75</v>
      </c>
      <c r="P2599" t="n">
        <v>0.02213</v>
      </c>
      <c r="Q2599" t="n">
        <v>100</v>
      </c>
      <c r="R2599" t="n">
        <v>0.03784</v>
      </c>
      <c r="S2599">
        <f>IMAGE("https://mitra.stanford.edu/kundaje/oak/projects/neuro-variants/variant_position/credible/roussos_2024/variant_figures/roussos_2024.childhood.GABA/rs12488461_count_position.png",4,220,900)</f>
        <v/>
      </c>
      <c r="T2599">
        <f>IMAGE("https://mitra.stanford.edu/kundaje/oak/projects/neuro-variants/variant_position/credible/roussos_2024/variant_figures/roussos_2024.childhood.GABA/rs12488461_profile_position.png",4,220,900)</f>
        <v/>
      </c>
    </row>
    <row r="2600">
      <c r="A2600" t="inlineStr">
        <is>
          <t>chr3</t>
        </is>
      </c>
      <c r="B2600" t="n">
        <v>52715318</v>
      </c>
      <c r="C2600" t="inlineStr">
        <is>
          <t>C</t>
        </is>
      </c>
      <c r="D2600" t="inlineStr">
        <is>
          <t>T</t>
        </is>
      </c>
      <c r="E2600" t="inlineStr">
        <is>
          <t>rs35526119</t>
        </is>
      </c>
      <c r="F2600" t="n">
        <v>-0.0737995791999999</v>
      </c>
      <c r="G2600" t="n">
        <v>0.0617156858527498</v>
      </c>
      <c r="H2600" t="n">
        <v>0.0157162905225477</v>
      </c>
      <c r="I2600" t="n">
        <v>0.1940295407677727</v>
      </c>
      <c r="J2600" t="n">
        <v>0.4519287554187347</v>
      </c>
      <c r="K2600" t="n">
        <v>0.065294953510858</v>
      </c>
      <c r="L2600" t="b">
        <v>0</v>
      </c>
      <c r="M2600" t="b">
        <v>0</v>
      </c>
      <c r="N2600" t="inlineStr">
        <is>
          <t>ref</t>
        </is>
      </c>
      <c r="O2600" t="n">
        <v>100</v>
      </c>
      <c r="P2600" t="n">
        <v>0.004837</v>
      </c>
      <c r="Q2600" t="n">
        <v>-100</v>
      </c>
      <c r="R2600" t="n">
        <v>0.04614</v>
      </c>
      <c r="S2600">
        <f>IMAGE("https://mitra.stanford.edu/kundaje/oak/projects/neuro-variants/variant_position/credible/roussos_2024/variant_figures/roussos_2024.childhood.GABA/rs35526119_count_position.png",4,220,900)</f>
        <v/>
      </c>
      <c r="T2600">
        <f>IMAGE("https://mitra.stanford.edu/kundaje/oak/projects/neuro-variants/variant_position/credible/roussos_2024/variant_figures/roussos_2024.childhood.GABA/rs35526119_profile_position.png",4,220,900)</f>
        <v/>
      </c>
    </row>
    <row r="2601">
      <c r="A2601" t="inlineStr">
        <is>
          <t>chr3</t>
        </is>
      </c>
      <c r="B2601" t="n">
        <v>52781889</v>
      </c>
      <c r="C2601" t="inlineStr">
        <is>
          <t>T</t>
        </is>
      </c>
      <c r="D2601" t="inlineStr">
        <is>
          <t>C</t>
        </is>
      </c>
      <c r="E2601" t="inlineStr">
        <is>
          <t>rs2710323</t>
        </is>
      </c>
      <c r="F2601" t="n">
        <v>0.0406788596</v>
      </c>
      <c r="G2601" t="n">
        <v>0.1864965927157816</v>
      </c>
      <c r="H2601" t="n">
        <v>0.009518146631126699</v>
      </c>
      <c r="I2601" t="n">
        <v>0.6723875210513239</v>
      </c>
      <c r="J2601" t="n">
        <v>0.075898934053737</v>
      </c>
      <c r="K2601" t="n">
        <v>0.444025672438884</v>
      </c>
      <c r="L2601" t="b">
        <v>0</v>
      </c>
      <c r="M2601" t="b">
        <v>0</v>
      </c>
      <c r="N2601" t="inlineStr">
        <is>
          <t>alt</t>
        </is>
      </c>
      <c r="O2601" t="n">
        <v>-100</v>
      </c>
      <c r="P2601" t="n">
        <v>0.00894</v>
      </c>
      <c r="Q2601" t="n">
        <v>55</v>
      </c>
      <c r="R2601" t="n">
        <v>0.06274</v>
      </c>
      <c r="S2601">
        <f>IMAGE("https://mitra.stanford.edu/kundaje/oak/projects/neuro-variants/variant_position/credible/roussos_2024/variant_figures/roussos_2024.childhood.GABA/rs2710323_count_position.png",4,220,900)</f>
        <v/>
      </c>
      <c r="T2601">
        <f>IMAGE("https://mitra.stanford.edu/kundaje/oak/projects/neuro-variants/variant_position/credible/roussos_2024/variant_figures/roussos_2024.childhood.GABA/rs2710323_profile_position.png",4,220,900)</f>
        <v/>
      </c>
    </row>
    <row r="2602">
      <c r="A2602" t="inlineStr">
        <is>
          <t>chr3</t>
        </is>
      </c>
      <c r="B2602" t="n">
        <v>52820897</v>
      </c>
      <c r="C2602" t="inlineStr">
        <is>
          <t>G</t>
        </is>
      </c>
      <c r="D2602" t="inlineStr">
        <is>
          <t>A</t>
        </is>
      </c>
      <c r="E2602" t="inlineStr">
        <is>
          <t>rs2535646</t>
        </is>
      </c>
      <c r="F2602" t="n">
        <v>-0.0156683603</v>
      </c>
      <c r="G2602" t="n">
        <v>0.4316825094823083</v>
      </c>
      <c r="H2602" t="n">
        <v>0.0202704945226469</v>
      </c>
      <c r="I2602" t="n">
        <v>0.0707772627227197</v>
      </c>
      <c r="J2602" t="n">
        <v>0.6126259135934327</v>
      </c>
      <c r="K2602" t="n">
        <v>0.0267377292420624</v>
      </c>
      <c r="L2602" t="b">
        <v>0</v>
      </c>
      <c r="M2602" t="b">
        <v>0</v>
      </c>
      <c r="N2602" t="inlineStr">
        <is>
          <t>ref</t>
        </is>
      </c>
      <c r="O2602" t="n">
        <v>-20</v>
      </c>
      <c r="P2602" t="n">
        <v>0.006348</v>
      </c>
      <c r="Q2602" t="n">
        <v>-25</v>
      </c>
      <c r="R2602" t="n">
        <v>0.1255</v>
      </c>
      <c r="S2602">
        <f>IMAGE("https://mitra.stanford.edu/kundaje/oak/projects/neuro-variants/variant_position/credible/roussos_2024/variant_figures/roussos_2024.childhood.GABA/rs2535646_count_position.png",4,220,900)</f>
        <v/>
      </c>
      <c r="T2602">
        <f>IMAGE("https://mitra.stanford.edu/kundaje/oak/projects/neuro-variants/variant_position/credible/roussos_2024/variant_figures/roussos_2024.childhood.GABA/rs2535646_profile_position.png",4,220,900)</f>
        <v/>
      </c>
    </row>
    <row r="2603">
      <c r="A2603" t="inlineStr">
        <is>
          <t>chr3</t>
        </is>
      </c>
      <c r="B2603" t="n">
        <v>52894317</v>
      </c>
      <c r="C2603" t="inlineStr">
        <is>
          <t>G</t>
        </is>
      </c>
      <c r="D2603" t="inlineStr">
        <is>
          <t>A</t>
        </is>
      </c>
      <c r="E2603" t="inlineStr">
        <is>
          <t>rs62253582</t>
        </is>
      </c>
      <c r="F2603" t="n">
        <v>-0.0242296812</v>
      </c>
      <c r="G2603" t="n">
        <v>0.3688939500295293</v>
      </c>
      <c r="H2603" t="n">
        <v>0.0071642613127287</v>
      </c>
      <c r="I2603" t="n">
        <v>0.9256380555709958</v>
      </c>
      <c r="J2603" t="n">
        <v>0.1502523507361102</v>
      </c>
      <c r="K2603" t="n">
        <v>0.2749493084510132</v>
      </c>
      <c r="L2603" t="b">
        <v>0</v>
      </c>
      <c r="M2603" t="b">
        <v>0</v>
      </c>
      <c r="N2603" t="inlineStr">
        <is>
          <t>ref</t>
        </is>
      </c>
      <c r="O2603" t="n">
        <v>100</v>
      </c>
      <c r="P2603" t="n">
        <v>0.003613</v>
      </c>
      <c r="Q2603" t="n">
        <v>-100</v>
      </c>
      <c r="R2603" t="n">
        <v>0.119</v>
      </c>
      <c r="S2603">
        <f>IMAGE("https://mitra.stanford.edu/kundaje/oak/projects/neuro-variants/variant_position/credible/roussos_2024/variant_figures/roussos_2024.childhood.GABA/rs62253582_count_position.png",4,220,900)</f>
        <v/>
      </c>
      <c r="T2603">
        <f>IMAGE("https://mitra.stanford.edu/kundaje/oak/projects/neuro-variants/variant_position/credible/roussos_2024/variant_figures/roussos_2024.childhood.GABA/rs62253582_profile_position.png",4,220,900)</f>
        <v/>
      </c>
    </row>
    <row r="2604">
      <c r="A2604" t="inlineStr">
        <is>
          <t>chr3</t>
        </is>
      </c>
      <c r="B2604" t="n">
        <v>52894318</v>
      </c>
      <c r="C2604" t="inlineStr">
        <is>
          <t>G</t>
        </is>
      </c>
      <c r="D2604" t="inlineStr">
        <is>
          <t>A</t>
        </is>
      </c>
      <c r="E2604" t="inlineStr">
        <is>
          <t>rs62253583</t>
        </is>
      </c>
      <c r="F2604" t="n">
        <v>-0.021416285792</v>
      </c>
      <c r="G2604" t="n">
        <v>0.4139008257720367</v>
      </c>
      <c r="H2604" t="n">
        <v>0.0072797264495922</v>
      </c>
      <c r="I2604" t="n">
        <v>0.9153588405919252</v>
      </c>
      <c r="J2604" t="n">
        <v>0.1500973801595778</v>
      </c>
      <c r="K2604" t="n">
        <v>0.275186778511568</v>
      </c>
      <c r="L2604" t="b">
        <v>0</v>
      </c>
      <c r="M2604" t="b">
        <v>0</v>
      </c>
      <c r="N2604" t="inlineStr">
        <is>
          <t>ref</t>
        </is>
      </c>
      <c r="O2604" t="n">
        <v>100</v>
      </c>
      <c r="P2604" t="n">
        <v>0.004158</v>
      </c>
      <c r="Q2604" t="n">
        <v>-85</v>
      </c>
      <c r="R2604" t="n">
        <v>0.1394</v>
      </c>
      <c r="S2604">
        <f>IMAGE("https://mitra.stanford.edu/kundaje/oak/projects/neuro-variants/variant_position/credible/roussos_2024/variant_figures/roussos_2024.childhood.GABA/rs62253583_count_position.png",4,220,900)</f>
        <v/>
      </c>
      <c r="T2604">
        <f>IMAGE("https://mitra.stanford.edu/kundaje/oak/projects/neuro-variants/variant_position/credible/roussos_2024/variant_figures/roussos_2024.childhood.GABA/rs62253583_profile_position.png",4,220,900)</f>
        <v/>
      </c>
    </row>
    <row r="2605">
      <c r="A2605" t="inlineStr">
        <is>
          <t>chr3</t>
        </is>
      </c>
      <c r="B2605" t="n">
        <v>52957291</v>
      </c>
      <c r="C2605" t="inlineStr">
        <is>
          <t>A</t>
        </is>
      </c>
      <c r="D2605" t="inlineStr">
        <is>
          <t>T</t>
        </is>
      </c>
      <c r="E2605" t="inlineStr">
        <is>
          <t>rs2465101</t>
        </is>
      </c>
      <c r="F2605" t="n">
        <v>0.00721090864</v>
      </c>
      <c r="G2605" t="n">
        <v>0.7008258306216165</v>
      </c>
      <c r="H2605" t="n">
        <v>0.0147181596651129</v>
      </c>
      <c r="I2605" t="n">
        <v>0.2384752471359336</v>
      </c>
      <c r="J2605" t="n">
        <v>0.0224393206424995</v>
      </c>
      <c r="K2605" t="n">
        <v>0.6524007690776291</v>
      </c>
      <c r="L2605" t="b">
        <v>0</v>
      </c>
      <c r="M2605" t="b">
        <v>0</v>
      </c>
      <c r="N2605" t="inlineStr">
        <is>
          <t>alt</t>
        </is>
      </c>
      <c r="O2605" t="n">
        <v>90</v>
      </c>
      <c r="P2605" t="n">
        <v>0.00966</v>
      </c>
      <c r="Q2605" t="n">
        <v>-100</v>
      </c>
      <c r="R2605" t="n">
        <v>0.1954</v>
      </c>
      <c r="S2605">
        <f>IMAGE("https://mitra.stanford.edu/kundaje/oak/projects/neuro-variants/variant_position/credible/roussos_2024/variant_figures/roussos_2024.childhood.GABA/rs2465101_count_position.png",4,220,900)</f>
        <v/>
      </c>
      <c r="T2605">
        <f>IMAGE("https://mitra.stanford.edu/kundaje/oak/projects/neuro-variants/variant_position/credible/roussos_2024/variant_figures/roussos_2024.childhood.GABA/rs2465101_profile_position.png",4,220,900)</f>
        <v/>
      </c>
    </row>
    <row r="2606">
      <c r="A2606" t="inlineStr">
        <is>
          <t>chr3</t>
        </is>
      </c>
      <c r="B2606" t="n">
        <v>52975579</v>
      </c>
      <c r="C2606" t="inlineStr">
        <is>
          <t>T</t>
        </is>
      </c>
      <c r="D2606" t="inlineStr">
        <is>
          <t>C</t>
        </is>
      </c>
      <c r="E2606" t="inlineStr">
        <is>
          <t>rs6801235</t>
        </is>
      </c>
      <c r="F2606" t="n">
        <v>-0.0329329462</v>
      </c>
      <c r="G2606" t="n">
        <v>0.2750687532359522</v>
      </c>
      <c r="H2606" t="n">
        <v>0.0110191647977798</v>
      </c>
      <c r="I2606" t="n">
        <v>0.5323473344393469</v>
      </c>
      <c r="J2606" t="n">
        <v>0.0071621536721743</v>
      </c>
      <c r="K2606" t="n">
        <v>0.781137957258511</v>
      </c>
      <c r="L2606" t="b">
        <v>0</v>
      </c>
      <c r="M2606" t="b">
        <v>0</v>
      </c>
      <c r="N2606" t="inlineStr">
        <is>
          <t>ref</t>
        </is>
      </c>
      <c r="O2606" t="n">
        <v>-90</v>
      </c>
      <c r="P2606" t="n">
        <v>0.005745</v>
      </c>
      <c r="Q2606" t="n">
        <v>75</v>
      </c>
      <c r="R2606" t="n">
        <v>0.003143</v>
      </c>
      <c r="S2606">
        <f>IMAGE("https://mitra.stanford.edu/kundaje/oak/projects/neuro-variants/variant_position/credible/roussos_2024/variant_figures/roussos_2024.childhood.GABA/rs6801235_count_position.png",4,220,900)</f>
        <v/>
      </c>
      <c r="T2606">
        <f>IMAGE("https://mitra.stanford.edu/kundaje/oak/projects/neuro-variants/variant_position/credible/roussos_2024/variant_figures/roussos_2024.childhood.GABA/rs6801235_profile_position.png",4,220,900)</f>
        <v/>
      </c>
    </row>
    <row r="2607">
      <c r="A2607" t="inlineStr">
        <is>
          <t>chr3</t>
        </is>
      </c>
      <c r="B2607" t="n">
        <v>52980641</v>
      </c>
      <c r="C2607" t="inlineStr">
        <is>
          <t>C</t>
        </is>
      </c>
      <c r="D2607" t="inlineStr">
        <is>
          <t>T</t>
        </is>
      </c>
      <c r="E2607" t="inlineStr">
        <is>
          <t>rs2581816</t>
        </is>
      </c>
      <c r="F2607" t="n">
        <v>-0.00060499434</v>
      </c>
      <c r="G2607" t="n">
        <v>0.7099255680572879</v>
      </c>
      <c r="H2607" t="n">
        <v>0.008906212477686901</v>
      </c>
      <c r="I2607" t="n">
        <v>0.742987878188053</v>
      </c>
      <c r="J2607" t="n">
        <v>0.10598626206781</v>
      </c>
      <c r="K2607" t="n">
        <v>0.3386318687119657</v>
      </c>
      <c r="L2607" t="b">
        <v>0</v>
      </c>
      <c r="M2607" t="b">
        <v>0</v>
      </c>
      <c r="N2607" t="inlineStr">
        <is>
          <t>ref</t>
        </is>
      </c>
      <c r="O2607" t="n">
        <v>-85</v>
      </c>
      <c r="P2607" t="n">
        <v>0.005493</v>
      </c>
      <c r="Q2607" t="n">
        <v>-65</v>
      </c>
      <c r="R2607" t="n">
        <v>0.03918</v>
      </c>
      <c r="S2607">
        <f>IMAGE("https://mitra.stanford.edu/kundaje/oak/projects/neuro-variants/variant_position/credible/roussos_2024/variant_figures/roussos_2024.childhood.GABA/rs2581816_count_position.png",4,220,900)</f>
        <v/>
      </c>
      <c r="T2607">
        <f>IMAGE("https://mitra.stanford.edu/kundaje/oak/projects/neuro-variants/variant_position/credible/roussos_2024/variant_figures/roussos_2024.childhood.GABA/rs2581816_profile_position.png",4,220,900)</f>
        <v/>
      </c>
    </row>
    <row r="2608">
      <c r="A2608" t="inlineStr">
        <is>
          <t>chr3</t>
        </is>
      </c>
      <c r="B2608" t="n">
        <v>52992088</v>
      </c>
      <c r="C2608" t="inlineStr">
        <is>
          <t>T</t>
        </is>
      </c>
      <c r="D2608" t="inlineStr">
        <is>
          <t>C</t>
        </is>
      </c>
      <c r="E2608" t="inlineStr">
        <is>
          <t>rs6771610</t>
        </is>
      </c>
      <c r="F2608" t="n">
        <v>0.0263788122</v>
      </c>
      <c r="G2608" t="n">
        <v>0.3245329507114742</v>
      </c>
      <c r="H2608" t="n">
        <v>0.0072101225377936</v>
      </c>
      <c r="I2608" t="n">
        <v>0.9181501986005064</v>
      </c>
      <c r="J2608" t="n">
        <v>0.0224969110594542</v>
      </c>
      <c r="K2608" t="n">
        <v>0.6436206293008205</v>
      </c>
      <c r="L2608" t="b">
        <v>0</v>
      </c>
      <c r="M2608" t="b">
        <v>0</v>
      </c>
      <c r="N2608" t="inlineStr">
        <is>
          <t>alt</t>
        </is>
      </c>
      <c r="O2608" t="n">
        <v>-85</v>
      </c>
      <c r="P2608" t="n">
        <v>0.00522</v>
      </c>
      <c r="Q2608" t="n">
        <v>0</v>
      </c>
      <c r="R2608" t="n">
        <v>0</v>
      </c>
      <c r="S2608">
        <f>IMAGE("https://mitra.stanford.edu/kundaje/oak/projects/neuro-variants/variant_position/credible/roussos_2024/variant_figures/roussos_2024.childhood.GABA/rs6771610_count_position.png",4,220,900)</f>
        <v/>
      </c>
      <c r="T2608">
        <f>IMAGE("https://mitra.stanford.edu/kundaje/oak/projects/neuro-variants/variant_position/credible/roussos_2024/variant_figures/roussos_2024.childhood.GABA/rs6771610_profile_position.png",4,220,900)</f>
        <v/>
      </c>
    </row>
    <row r="2609">
      <c r="A2609" t="inlineStr">
        <is>
          <t>chr3</t>
        </is>
      </c>
      <c r="B2609" t="n">
        <v>53235301</v>
      </c>
      <c r="C2609" t="inlineStr">
        <is>
          <t>T</t>
        </is>
      </c>
      <c r="D2609" t="inlineStr">
        <is>
          <t>C</t>
        </is>
      </c>
      <c r="E2609" t="inlineStr">
        <is>
          <t>rs2035450</t>
        </is>
      </c>
      <c r="F2609" t="n">
        <v>0.0462745975999999</v>
      </c>
      <c r="G2609" t="n">
        <v>0.1621398429399561</v>
      </c>
      <c r="H2609" t="n">
        <v>0.0153482052751644</v>
      </c>
      <c r="I2609" t="n">
        <v>0.2096125664072611</v>
      </c>
      <c r="J2609" t="n">
        <v>0.3511298192708006</v>
      </c>
      <c r="K2609" t="n">
        <v>0.1089005414463701</v>
      </c>
      <c r="L2609" t="b">
        <v>0</v>
      </c>
      <c r="M2609" t="b">
        <v>0</v>
      </c>
      <c r="N2609" t="inlineStr">
        <is>
          <t>alt</t>
        </is>
      </c>
      <c r="O2609" t="n">
        <v>-60</v>
      </c>
      <c r="P2609" t="n">
        <v>0.001429</v>
      </c>
      <c r="Q2609" t="n">
        <v>-70</v>
      </c>
      <c r="R2609" t="n">
        <v>0.0639</v>
      </c>
      <c r="S2609">
        <f>IMAGE("https://mitra.stanford.edu/kundaje/oak/projects/neuro-variants/variant_position/credible/roussos_2024/variant_figures/roussos_2024.childhood.GABA/rs2035450_count_position.png",4,220,900)</f>
        <v/>
      </c>
      <c r="T2609">
        <f>IMAGE("https://mitra.stanford.edu/kundaje/oak/projects/neuro-variants/variant_position/credible/roussos_2024/variant_figures/roussos_2024.childhood.GABA/rs2035450_profile_position.png",4,220,900)</f>
        <v/>
      </c>
    </row>
    <row r="2610">
      <c r="A2610" t="inlineStr">
        <is>
          <t>chr3</t>
        </is>
      </c>
      <c r="B2610" t="n">
        <v>53236328</v>
      </c>
      <c r="C2610" t="inlineStr">
        <is>
          <t>T</t>
        </is>
      </c>
      <c r="D2610" t="inlineStr">
        <is>
          <t>C</t>
        </is>
      </c>
      <c r="E2610" t="inlineStr">
        <is>
          <t>rs3773744</t>
        </is>
      </c>
      <c r="F2610" t="n">
        <v>0.0417073734</v>
      </c>
      <c r="G2610" t="n">
        <v>0.1901727471652501</v>
      </c>
      <c r="H2610" t="n">
        <v>0.0147818830087917</v>
      </c>
      <c r="I2610" t="n">
        <v>0.2297382694257833</v>
      </c>
      <c r="J2610" t="n">
        <v>0.5155295177064355</v>
      </c>
      <c r="K2610" t="n">
        <v>0.0477037686452653</v>
      </c>
      <c r="L2610" t="b">
        <v>0</v>
      </c>
      <c r="M2610" t="b">
        <v>0</v>
      </c>
      <c r="N2610" t="inlineStr">
        <is>
          <t>alt</t>
        </is>
      </c>
      <c r="O2610" t="n">
        <v>-55</v>
      </c>
      <c r="P2610" t="n">
        <v>0.001671</v>
      </c>
      <c r="Q2610" t="n">
        <v>-65</v>
      </c>
      <c r="R2610" t="n">
        <v>0.04102</v>
      </c>
      <c r="S2610">
        <f>IMAGE("https://mitra.stanford.edu/kundaje/oak/projects/neuro-variants/variant_position/credible/roussos_2024/variant_figures/roussos_2024.childhood.GABA/rs3773744_count_position.png",4,220,900)</f>
        <v/>
      </c>
      <c r="T2610">
        <f>IMAGE("https://mitra.stanford.edu/kundaje/oak/projects/neuro-variants/variant_position/credible/roussos_2024/variant_figures/roussos_2024.childhood.GABA/rs3773744_profile_position.png",4,220,900)</f>
        <v/>
      </c>
    </row>
    <row r="2611">
      <c r="A2611" t="inlineStr">
        <is>
          <t>chr3</t>
        </is>
      </c>
      <c r="B2611" t="n">
        <v>53259970</v>
      </c>
      <c r="C2611" t="inlineStr">
        <is>
          <t>G</t>
        </is>
      </c>
      <c r="D2611" t="inlineStr">
        <is>
          <t>A</t>
        </is>
      </c>
      <c r="E2611" t="inlineStr">
        <is>
          <t>rs12490667</t>
        </is>
      </c>
      <c r="F2611" t="n">
        <v>-0.01950556232</v>
      </c>
      <c r="G2611" t="n">
        <v>0.4627701263472668</v>
      </c>
      <c r="H2611" t="n">
        <v>0.012576037757378</v>
      </c>
      <c r="I2611" t="n">
        <v>0.371979460901597</v>
      </c>
      <c r="J2611" t="n">
        <v>0.2215157797742455</v>
      </c>
      <c r="K2611" t="n">
        <v>0.2013547524004607</v>
      </c>
      <c r="L2611" t="b">
        <v>0</v>
      </c>
      <c r="M2611" t="b">
        <v>0</v>
      </c>
      <c r="N2611" t="inlineStr">
        <is>
          <t>ref</t>
        </is>
      </c>
      <c r="O2611" t="n">
        <v>10</v>
      </c>
      <c r="P2611" t="n">
        <v>0.0001774</v>
      </c>
      <c r="Q2611" t="n">
        <v>5</v>
      </c>
      <c r="R2611" t="n">
        <v>0.001434</v>
      </c>
      <c r="S2611">
        <f>IMAGE("https://mitra.stanford.edu/kundaje/oak/projects/neuro-variants/variant_position/credible/roussos_2024/variant_figures/roussos_2024.childhood.GABA/rs12490667_count_position.png",4,220,900)</f>
        <v/>
      </c>
      <c r="T2611">
        <f>IMAGE("https://mitra.stanford.edu/kundaje/oak/projects/neuro-variants/variant_position/credible/roussos_2024/variant_figures/roussos_2024.childhood.GABA/rs12490667_profile_position.png",4,220,900)</f>
        <v/>
      </c>
    </row>
    <row r="2612">
      <c r="A2612" t="inlineStr">
        <is>
          <t>chr3</t>
        </is>
      </c>
      <c r="B2612" t="n">
        <v>53421542</v>
      </c>
      <c r="C2612" t="inlineStr">
        <is>
          <t>G</t>
        </is>
      </c>
      <c r="D2612" t="inlineStr">
        <is>
          <t>T</t>
        </is>
      </c>
      <c r="E2612" t="inlineStr">
        <is>
          <t>rs2358740</t>
        </is>
      </c>
      <c r="F2612" t="n">
        <v>0.00208770108</v>
      </c>
      <c r="G2612" t="n">
        <v>0.6803107816585915</v>
      </c>
      <c r="H2612" t="n">
        <v>0.0117292325997272</v>
      </c>
      <c r="I2612" t="n">
        <v>0.4529594956881062</v>
      </c>
      <c r="J2612" t="n">
        <v>0.0836212854181064</v>
      </c>
      <c r="K2612" t="n">
        <v>0.3979336600377584</v>
      </c>
      <c r="L2612" t="b">
        <v>0</v>
      </c>
      <c r="M2612" t="b">
        <v>0</v>
      </c>
      <c r="N2612" t="inlineStr">
        <is>
          <t>alt</t>
        </is>
      </c>
      <c r="O2612" t="n">
        <v>80</v>
      </c>
      <c r="P2612" t="n">
        <v>0.00498</v>
      </c>
      <c r="Q2612" t="n">
        <v>-70</v>
      </c>
      <c r="R2612" t="n">
        <v>0.0486</v>
      </c>
      <c r="S2612">
        <f>IMAGE("https://mitra.stanford.edu/kundaje/oak/projects/neuro-variants/variant_position/credible/roussos_2024/variant_figures/roussos_2024.childhood.GABA/rs2358740_count_position.png",4,220,900)</f>
        <v/>
      </c>
      <c r="T2612">
        <f>IMAGE("https://mitra.stanford.edu/kundaje/oak/projects/neuro-variants/variant_position/credible/roussos_2024/variant_figures/roussos_2024.childhood.GABA/rs2358740_profile_position.png",4,220,900)</f>
        <v/>
      </c>
    </row>
    <row r="2613">
      <c r="A2613" t="inlineStr">
        <is>
          <t>chr3</t>
        </is>
      </c>
      <c r="B2613" t="n">
        <v>53441047</v>
      </c>
      <c r="C2613" t="inlineStr">
        <is>
          <t>T</t>
        </is>
      </c>
      <c r="D2613" t="inlineStr">
        <is>
          <t>C</t>
        </is>
      </c>
      <c r="E2613" t="inlineStr">
        <is>
          <t>rs9799015</t>
        </is>
      </c>
      <c r="F2613" t="n">
        <v>0.0700894698</v>
      </c>
      <c r="G2613" t="n">
        <v>0.0742917065924204</v>
      </c>
      <c r="H2613" t="n">
        <v>0.0151358113704211</v>
      </c>
      <c r="I2613" t="n">
        <v>0.2201058968241117</v>
      </c>
      <c r="J2613" t="n">
        <v>0.0126185839040019</v>
      </c>
      <c r="K2613" t="n">
        <v>0.7177798744705937</v>
      </c>
      <c r="L2613" t="b">
        <v>0</v>
      </c>
      <c r="M2613" t="b">
        <v>0</v>
      </c>
      <c r="N2613" t="inlineStr">
        <is>
          <t>alt</t>
        </is>
      </c>
      <c r="O2613" t="n">
        <v>-15</v>
      </c>
      <c r="P2613" t="n">
        <v>0.001259</v>
      </c>
      <c r="Q2613" t="n">
        <v>85</v>
      </c>
      <c r="R2613" t="n">
        <v>0.02838</v>
      </c>
      <c r="S2613">
        <f>IMAGE("https://mitra.stanford.edu/kundaje/oak/projects/neuro-variants/variant_position/credible/roussos_2024/variant_figures/roussos_2024.childhood.GABA/rs9799015_count_position.png",4,220,900)</f>
        <v/>
      </c>
      <c r="T2613">
        <f>IMAGE("https://mitra.stanford.edu/kundaje/oak/projects/neuro-variants/variant_position/credible/roussos_2024/variant_figures/roussos_2024.childhood.GABA/rs9799015_profile_position.png",4,220,900)</f>
        <v/>
      </c>
    </row>
    <row r="2614">
      <c r="A2614" t="inlineStr">
        <is>
          <t>chr3</t>
        </is>
      </c>
      <c r="B2614" t="n">
        <v>53474106</v>
      </c>
      <c r="C2614" t="inlineStr">
        <is>
          <t>C</t>
        </is>
      </c>
      <c r="D2614" t="inlineStr">
        <is>
          <t>A</t>
        </is>
      </c>
      <c r="E2614" t="inlineStr">
        <is>
          <t>rs11715213</t>
        </is>
      </c>
      <c r="F2614" t="n">
        <v>0.00328267797</v>
      </c>
      <c r="G2614" t="n">
        <v>0.8262358109057353</v>
      </c>
      <c r="H2614" t="n">
        <v>0.0383112391090251</v>
      </c>
      <c r="I2614" t="n">
        <v>0.0045440385237246</v>
      </c>
      <c r="J2614" t="n">
        <v>0.0483162656279449</v>
      </c>
      <c r="K2614" t="n">
        <v>0.504029519154191</v>
      </c>
      <c r="L2614" t="b">
        <v>1</v>
      </c>
      <c r="M2614" t="b">
        <v>0</v>
      </c>
      <c r="N2614" t="inlineStr">
        <is>
          <t>alt</t>
        </is>
      </c>
      <c r="O2614" t="n">
        <v>0</v>
      </c>
      <c r="P2614" t="n">
        <v>0</v>
      </c>
      <c r="Q2614" t="n">
        <v>-100</v>
      </c>
      <c r="R2614" t="n">
        <v>0.0641</v>
      </c>
      <c r="S2614">
        <f>IMAGE("https://mitra.stanford.edu/kundaje/oak/projects/neuro-variants/variant_position/credible/roussos_2024/variant_figures/roussos_2024.childhood.GABA/rs11715213_count_position.png",4,220,900)</f>
        <v/>
      </c>
      <c r="T2614">
        <f>IMAGE("https://mitra.stanford.edu/kundaje/oak/projects/neuro-variants/variant_position/credible/roussos_2024/variant_figures/roussos_2024.childhood.GABA/rs11715213_profile_position.png",4,220,900)</f>
        <v/>
      </c>
    </row>
    <row r="2615">
      <c r="A2615" t="inlineStr">
        <is>
          <t>chr3</t>
        </is>
      </c>
      <c r="B2615" t="n">
        <v>53485740</v>
      </c>
      <c r="C2615" t="inlineStr">
        <is>
          <t>G</t>
        </is>
      </c>
      <c r="D2615" t="inlineStr">
        <is>
          <t>A</t>
        </is>
      </c>
      <c r="E2615" t="inlineStr">
        <is>
          <t>rs998411</t>
        </is>
      </c>
      <c r="F2615" t="n">
        <v>-0.0037136523999999</v>
      </c>
      <c r="G2615" t="n">
        <v>0.6960919686779232</v>
      </c>
      <c r="H2615" t="n">
        <v>0.0119022653858181</v>
      </c>
      <c r="I2615" t="n">
        <v>0.4372520418688604</v>
      </c>
      <c r="J2615" t="n">
        <v>0.0253303595736214</v>
      </c>
      <c r="K2615" t="n">
        <v>0.6088397755774907</v>
      </c>
      <c r="L2615" t="b">
        <v>0</v>
      </c>
      <c r="M2615" t="b">
        <v>0</v>
      </c>
      <c r="N2615" t="inlineStr">
        <is>
          <t>ref</t>
        </is>
      </c>
      <c r="O2615" t="n">
        <v>90</v>
      </c>
      <c r="P2615" t="n">
        <v>0.0173</v>
      </c>
      <c r="Q2615" t="n">
        <v>35</v>
      </c>
      <c r="R2615" t="n">
        <v>0.02069</v>
      </c>
      <c r="S2615">
        <f>IMAGE("https://mitra.stanford.edu/kundaje/oak/projects/neuro-variants/variant_position/credible/roussos_2024/variant_figures/roussos_2024.childhood.GABA/rs998411_count_position.png",4,220,900)</f>
        <v/>
      </c>
      <c r="T2615">
        <f>IMAGE("https://mitra.stanford.edu/kundaje/oak/projects/neuro-variants/variant_position/credible/roussos_2024/variant_figures/roussos_2024.childhood.GABA/rs998411_profile_position.png",4,220,900)</f>
        <v/>
      </c>
    </row>
    <row r="2616">
      <c r="A2616" t="inlineStr">
        <is>
          <t>chr3</t>
        </is>
      </c>
      <c r="B2616" t="n">
        <v>60291445</v>
      </c>
      <c r="C2616" t="inlineStr">
        <is>
          <t>A</t>
        </is>
      </c>
      <c r="D2616" t="inlineStr">
        <is>
          <t>C</t>
        </is>
      </c>
      <c r="E2616" t="inlineStr">
        <is>
          <t>rs10049216</t>
        </is>
      </c>
      <c r="F2616" t="n">
        <v>0.0309303233999999</v>
      </c>
      <c r="G2616" t="n">
        <v>0.2297097796305711</v>
      </c>
      <c r="H2616" t="n">
        <v>0.0111014645748432</v>
      </c>
      <c r="I2616" t="n">
        <v>0.5277689395076809</v>
      </c>
      <c r="J2616" t="n">
        <v>0.3533789868275009</v>
      </c>
      <c r="K2616" t="n">
        <v>0.1069256508073551</v>
      </c>
      <c r="L2616" t="b">
        <v>0</v>
      </c>
      <c r="M2616" t="b">
        <v>0</v>
      </c>
      <c r="N2616" t="inlineStr">
        <is>
          <t>alt</t>
        </is>
      </c>
      <c r="O2616" t="n">
        <v>80</v>
      </c>
      <c r="P2616" t="n">
        <v>0.1039</v>
      </c>
      <c r="Q2616" t="n">
        <v>80</v>
      </c>
      <c r="R2616" t="n">
        <v>0.1372</v>
      </c>
      <c r="S2616">
        <f>IMAGE("https://mitra.stanford.edu/kundaje/oak/projects/neuro-variants/variant_position/credible/roussos_2024/variant_figures/roussos_2024.childhood.GABA/rs10049216_count_position.png",4,220,900)</f>
        <v/>
      </c>
      <c r="T2616">
        <f>IMAGE("https://mitra.stanford.edu/kundaje/oak/projects/neuro-variants/variant_position/credible/roussos_2024/variant_figures/roussos_2024.childhood.GABA/rs10049216_profile_position.png",4,220,900)</f>
        <v/>
      </c>
    </row>
    <row r="2617">
      <c r="A2617" t="inlineStr">
        <is>
          <t>chr3</t>
        </is>
      </c>
      <c r="B2617" t="n">
        <v>60307186</v>
      </c>
      <c r="C2617" t="inlineStr">
        <is>
          <t>C</t>
        </is>
      </c>
      <c r="D2617" t="inlineStr">
        <is>
          <t>G</t>
        </is>
      </c>
      <c r="E2617" t="inlineStr">
        <is>
          <t>rs4679526</t>
        </is>
      </c>
      <c r="F2617" t="n">
        <v>-0.0838270018</v>
      </c>
      <c r="G2617" t="n">
        <v>0.0532755756393481</v>
      </c>
      <c r="H2617" t="n">
        <v>0.0187330934462229</v>
      </c>
      <c r="I2617" t="n">
        <v>0.1054607687445146</v>
      </c>
      <c r="J2617" t="n">
        <v>0.0408316056208246</v>
      </c>
      <c r="K2617" t="n">
        <v>0.5318484363432199</v>
      </c>
      <c r="L2617" t="b">
        <v>0</v>
      </c>
      <c r="M2617" t="b">
        <v>0</v>
      </c>
      <c r="N2617" t="inlineStr">
        <is>
          <t>ref</t>
        </is>
      </c>
      <c r="O2617" t="n">
        <v>0</v>
      </c>
      <c r="P2617" t="n">
        <v>0</v>
      </c>
      <c r="Q2617" t="n">
        <v>-100</v>
      </c>
      <c r="R2617" t="n">
        <v>0.0572</v>
      </c>
      <c r="S2617">
        <f>IMAGE("https://mitra.stanford.edu/kundaje/oak/projects/neuro-variants/variant_position/credible/roussos_2024/variant_figures/roussos_2024.childhood.GABA/rs4679526_count_position.png",4,220,900)</f>
        <v/>
      </c>
      <c r="T2617">
        <f>IMAGE("https://mitra.stanford.edu/kundaje/oak/projects/neuro-variants/variant_position/credible/roussos_2024/variant_figures/roussos_2024.childhood.GABA/rs4679526_profile_position.png",4,220,900)</f>
        <v/>
      </c>
    </row>
    <row r="2618">
      <c r="A2618" t="inlineStr">
        <is>
          <t>chr3</t>
        </is>
      </c>
      <c r="B2618" t="n">
        <v>60324743</v>
      </c>
      <c r="C2618" t="inlineStr">
        <is>
          <t>G</t>
        </is>
      </c>
      <c r="D2618" t="inlineStr">
        <is>
          <t>T</t>
        </is>
      </c>
      <c r="E2618" t="inlineStr">
        <is>
          <t>rs1882900</t>
        </is>
      </c>
      <c r="F2618" t="n">
        <v>0.0071478775499999</v>
      </c>
      <c r="G2618" t="n">
        <v>0.7276240803971117</v>
      </c>
      <c r="H2618" t="n">
        <v>0.0201625202292237</v>
      </c>
      <c r="I2618" t="n">
        <v>0.0714691326423752</v>
      </c>
      <c r="J2618" t="n">
        <v>0.0094165567213251</v>
      </c>
      <c r="K2618" t="n">
        <v>0.7449324437531091</v>
      </c>
      <c r="L2618" t="b">
        <v>0</v>
      </c>
      <c r="M2618" t="b">
        <v>0</v>
      </c>
      <c r="N2618" t="inlineStr">
        <is>
          <t>alt</t>
        </is>
      </c>
      <c r="O2618" t="n">
        <v>-100</v>
      </c>
      <c r="P2618" t="n">
        <v>0.02844</v>
      </c>
      <c r="Q2618" t="n">
        <v>-100</v>
      </c>
      <c r="R2618" t="n">
        <v>0.1742</v>
      </c>
      <c r="S2618">
        <f>IMAGE("https://mitra.stanford.edu/kundaje/oak/projects/neuro-variants/variant_position/credible/roussos_2024/variant_figures/roussos_2024.childhood.GABA/rs1882900_count_position.png",4,220,900)</f>
        <v/>
      </c>
      <c r="T2618">
        <f>IMAGE("https://mitra.stanford.edu/kundaje/oak/projects/neuro-variants/variant_position/credible/roussos_2024/variant_figures/roussos_2024.childhood.GABA/rs1882900_profile_position.png",4,220,900)</f>
        <v/>
      </c>
    </row>
    <row r="2619">
      <c r="A2619" t="inlineStr">
        <is>
          <t>chr3</t>
        </is>
      </c>
      <c r="B2619" t="n">
        <v>60346500</v>
      </c>
      <c r="C2619" t="inlineStr">
        <is>
          <t>T</t>
        </is>
      </c>
      <c r="D2619" t="inlineStr">
        <is>
          <t>C</t>
        </is>
      </c>
      <c r="E2619" t="inlineStr">
        <is>
          <t>rs6787076</t>
        </is>
      </c>
      <c r="F2619" t="n">
        <v>0.19200709</v>
      </c>
      <c r="G2619" t="n">
        <v>0.0049011017009004</v>
      </c>
      <c r="H2619" t="n">
        <v>0.0192028574658787</v>
      </c>
      <c r="I2619" t="n">
        <v>0.0904723360102043</v>
      </c>
      <c r="J2619" t="n">
        <v>0.1180383656886766</v>
      </c>
      <c r="K2619" t="n">
        <v>0.3152910705994743</v>
      </c>
      <c r="L2619" t="b">
        <v>1</v>
      </c>
      <c r="M2619" t="b">
        <v>1</v>
      </c>
      <c r="N2619" t="inlineStr">
        <is>
          <t>alt</t>
        </is>
      </c>
      <c r="O2619" t="n">
        <v>100</v>
      </c>
      <c r="P2619" t="n">
        <v>0.006878</v>
      </c>
      <c r="Q2619" t="n">
        <v>55</v>
      </c>
      <c r="R2619" t="n">
        <v>0.0315</v>
      </c>
      <c r="S2619">
        <f>IMAGE("https://mitra.stanford.edu/kundaje/oak/projects/neuro-variants/variant_position/credible/roussos_2024/variant_figures/roussos_2024.childhood.GABA/rs6787076_count_position.png",4,220,900)</f>
        <v/>
      </c>
      <c r="T2619">
        <f>IMAGE("https://mitra.stanford.edu/kundaje/oak/projects/neuro-variants/variant_position/credible/roussos_2024/variant_figures/roussos_2024.childhood.GABA/rs6787076_profile_position.png",4,220,900)</f>
        <v/>
      </c>
    </row>
    <row r="2620">
      <c r="A2620" t="inlineStr">
        <is>
          <t>chr3</t>
        </is>
      </c>
      <c r="B2620" t="n">
        <v>60384629</v>
      </c>
      <c r="C2620" t="inlineStr">
        <is>
          <t>G</t>
        </is>
      </c>
      <c r="D2620" t="inlineStr">
        <is>
          <t>A</t>
        </is>
      </c>
      <c r="E2620" t="inlineStr">
        <is>
          <t>rs9847855</t>
        </is>
      </c>
      <c r="F2620" t="n">
        <v>0.00543684256</v>
      </c>
      <c r="G2620" t="n">
        <v>0.6398282542107044</v>
      </c>
      <c r="H2620" t="n">
        <v>0.0090338542721085</v>
      </c>
      <c r="I2620" t="n">
        <v>0.7512057448088865</v>
      </c>
      <c r="J2620" t="n">
        <v>0.0241220079160645</v>
      </c>
      <c r="K2620" t="n">
        <v>0.6164379175859108</v>
      </c>
      <c r="L2620" t="b">
        <v>0</v>
      </c>
      <c r="M2620" t="b">
        <v>0</v>
      </c>
      <c r="N2620" t="inlineStr">
        <is>
          <t>alt</t>
        </is>
      </c>
      <c r="O2620" t="n">
        <v>100</v>
      </c>
      <c r="P2620" t="n">
        <v>0.0641</v>
      </c>
      <c r="Q2620" t="n">
        <v>-65</v>
      </c>
      <c r="R2620" t="n">
        <v>0.0365</v>
      </c>
      <c r="S2620">
        <f>IMAGE("https://mitra.stanford.edu/kundaje/oak/projects/neuro-variants/variant_position/credible/roussos_2024/variant_figures/roussos_2024.childhood.GABA/rs9847855_count_position.png",4,220,900)</f>
        <v/>
      </c>
      <c r="T2620">
        <f>IMAGE("https://mitra.stanford.edu/kundaje/oak/projects/neuro-variants/variant_position/credible/roussos_2024/variant_figures/roussos_2024.childhood.GABA/rs9847855_profile_position.png",4,220,900)</f>
        <v/>
      </c>
    </row>
    <row r="2621">
      <c r="A2621" t="inlineStr">
        <is>
          <t>chr3</t>
        </is>
      </c>
      <c r="B2621" t="n">
        <v>60384904</v>
      </c>
      <c r="C2621" t="inlineStr">
        <is>
          <t>C</t>
        </is>
      </c>
      <c r="D2621" t="inlineStr">
        <is>
          <t>T</t>
        </is>
      </c>
      <c r="E2621" t="inlineStr">
        <is>
          <t>rs9848065</t>
        </is>
      </c>
      <c r="F2621" t="n">
        <v>-0.0325014206</v>
      </c>
      <c r="G2621" t="n">
        <v>0.2842921593405569</v>
      </c>
      <c r="H2621" t="n">
        <v>0.0162401344669978</v>
      </c>
      <c r="I2621" t="n">
        <v>0.1711176039529984</v>
      </c>
      <c r="J2621" t="n">
        <v>0.0185702917216392</v>
      </c>
      <c r="K2621" t="n">
        <v>0.6544880732165586</v>
      </c>
      <c r="L2621" t="b">
        <v>0</v>
      </c>
      <c r="M2621" t="b">
        <v>0</v>
      </c>
      <c r="N2621" t="inlineStr">
        <is>
          <t>ref</t>
        </is>
      </c>
      <c r="O2621" t="n">
        <v>55</v>
      </c>
      <c r="P2621" t="n">
        <v>0.00647</v>
      </c>
      <c r="Q2621" t="n">
        <v>15</v>
      </c>
      <c r="R2621" t="n">
        <v>0.02295</v>
      </c>
      <c r="S2621">
        <f>IMAGE("https://mitra.stanford.edu/kundaje/oak/projects/neuro-variants/variant_position/credible/roussos_2024/variant_figures/roussos_2024.childhood.GABA/rs9848065_count_position.png",4,220,900)</f>
        <v/>
      </c>
      <c r="T2621">
        <f>IMAGE("https://mitra.stanford.edu/kundaje/oak/projects/neuro-variants/variant_position/credible/roussos_2024/variant_figures/roussos_2024.childhood.GABA/rs9848065_profile_position.png",4,220,900)</f>
        <v/>
      </c>
    </row>
    <row r="2622">
      <c r="A2622" t="inlineStr">
        <is>
          <t>chr3</t>
        </is>
      </c>
      <c r="B2622" t="n">
        <v>60391307</v>
      </c>
      <c r="C2622" t="inlineStr">
        <is>
          <t>C</t>
        </is>
      </c>
      <c r="D2622" t="inlineStr">
        <is>
          <t>A</t>
        </is>
      </c>
      <c r="E2622" t="inlineStr">
        <is>
          <t>rs2687176</t>
        </is>
      </c>
      <c r="F2622" t="n">
        <v>-0.003118076632</v>
      </c>
      <c r="G2622" t="n">
        <v>0.84265443911644</v>
      </c>
      <c r="H2622" t="n">
        <v>0.0220653387062387</v>
      </c>
      <c r="I2622" t="n">
        <v>0.0516219536078584</v>
      </c>
      <c r="J2622" t="n">
        <v>0.0066427928210927</v>
      </c>
      <c r="K2622" t="n">
        <v>0.7814304031926048</v>
      </c>
      <c r="L2622" t="b">
        <v>0</v>
      </c>
      <c r="M2622" t="b">
        <v>0</v>
      </c>
      <c r="N2622" t="inlineStr">
        <is>
          <t>ref</t>
        </is>
      </c>
      <c r="O2622" t="n">
        <v>-100</v>
      </c>
      <c r="P2622" t="n">
        <v>0.00537</v>
      </c>
      <c r="Q2622" t="n">
        <v>65</v>
      </c>
      <c r="R2622" t="n">
        <v>0.1007</v>
      </c>
      <c r="S2622">
        <f>IMAGE("https://mitra.stanford.edu/kundaje/oak/projects/neuro-variants/variant_position/credible/roussos_2024/variant_figures/roussos_2024.childhood.GABA/rs2687176_count_position.png",4,220,900)</f>
        <v/>
      </c>
      <c r="T2622">
        <f>IMAGE("https://mitra.stanford.edu/kundaje/oak/projects/neuro-variants/variant_position/credible/roussos_2024/variant_figures/roussos_2024.childhood.GABA/rs2687176_profile_position.png",4,220,900)</f>
        <v/>
      </c>
    </row>
    <row r="2623">
      <c r="A2623" t="inlineStr">
        <is>
          <t>chr3</t>
        </is>
      </c>
      <c r="B2623" t="n">
        <v>60394062</v>
      </c>
      <c r="C2623" t="inlineStr">
        <is>
          <t>T</t>
        </is>
      </c>
      <c r="D2623" t="inlineStr">
        <is>
          <t>C</t>
        </is>
      </c>
      <c r="E2623" t="inlineStr">
        <is>
          <t>rs68056303</t>
        </is>
      </c>
      <c r="F2623" t="n">
        <v>0.075272177</v>
      </c>
      <c r="G2623" t="n">
        <v>0.0643334185893658</v>
      </c>
      <c r="H2623" t="n">
        <v>0.013804876601984</v>
      </c>
      <c r="I2623" t="n">
        <v>0.299304908210682</v>
      </c>
      <c r="J2623" t="n">
        <v>0.0271177566961947</v>
      </c>
      <c r="K2623" t="n">
        <v>0.6062277506201887</v>
      </c>
      <c r="L2623" t="b">
        <v>0</v>
      </c>
      <c r="M2623" t="b">
        <v>0</v>
      </c>
      <c r="N2623" t="inlineStr">
        <is>
          <t>alt</t>
        </is>
      </c>
      <c r="O2623" t="n">
        <v>-65</v>
      </c>
      <c r="P2623" t="n">
        <v>0.001253</v>
      </c>
      <c r="Q2623" t="n">
        <v>-85</v>
      </c>
      <c r="R2623" t="n">
        <v>0.09039999999999999</v>
      </c>
      <c r="S2623">
        <f>IMAGE("https://mitra.stanford.edu/kundaje/oak/projects/neuro-variants/variant_position/credible/roussos_2024/variant_figures/roussos_2024.childhood.GABA/rs68056303_count_position.png",4,220,900)</f>
        <v/>
      </c>
      <c r="T2623">
        <f>IMAGE("https://mitra.stanford.edu/kundaje/oak/projects/neuro-variants/variant_position/credible/roussos_2024/variant_figures/roussos_2024.childhood.GABA/rs68056303_profile_position.png",4,220,900)</f>
        <v/>
      </c>
    </row>
    <row r="2624">
      <c r="A2624" t="inlineStr">
        <is>
          <t>chr3</t>
        </is>
      </c>
      <c r="B2624" t="n">
        <v>60397868</v>
      </c>
      <c r="C2624" t="inlineStr">
        <is>
          <t>C</t>
        </is>
      </c>
      <c r="D2624" t="inlineStr">
        <is>
          <t>T</t>
        </is>
      </c>
      <c r="E2624" t="inlineStr">
        <is>
          <t>rs9862806</t>
        </is>
      </c>
      <c r="F2624" t="n">
        <v>-0.0382675302</v>
      </c>
      <c r="G2624" t="n">
        <v>0.2302143215591521</v>
      </c>
      <c r="H2624" t="n">
        <v>0.0124258998674767</v>
      </c>
      <c r="I2624" t="n">
        <v>0.3822625057580155</v>
      </c>
      <c r="J2624" t="n">
        <v>0.07205503549663871</v>
      </c>
      <c r="K2624" t="n">
        <v>0.4298185727623215</v>
      </c>
      <c r="L2624" t="b">
        <v>0</v>
      </c>
      <c r="M2624" t="b">
        <v>0</v>
      </c>
      <c r="N2624" t="inlineStr">
        <is>
          <t>ref</t>
        </is>
      </c>
      <c r="O2624" t="n">
        <v>100</v>
      </c>
      <c r="P2624" t="n">
        <v>0.001448</v>
      </c>
      <c r="Q2624" t="n">
        <v>100</v>
      </c>
      <c r="R2624" t="n">
        <v>0.1471</v>
      </c>
      <c r="S2624">
        <f>IMAGE("https://mitra.stanford.edu/kundaje/oak/projects/neuro-variants/variant_position/credible/roussos_2024/variant_figures/roussos_2024.childhood.GABA/rs9862806_count_position.png",4,220,900)</f>
        <v/>
      </c>
      <c r="T2624">
        <f>IMAGE("https://mitra.stanford.edu/kundaje/oak/projects/neuro-variants/variant_position/credible/roussos_2024/variant_figures/roussos_2024.childhood.GABA/rs9862806_profile_position.png",4,220,900)</f>
        <v/>
      </c>
    </row>
    <row r="2625">
      <c r="A2625" t="inlineStr">
        <is>
          <t>chr3</t>
        </is>
      </c>
      <c r="B2625" t="n">
        <v>60397871</v>
      </c>
      <c r="C2625" t="inlineStr">
        <is>
          <t>C</t>
        </is>
      </c>
      <c r="D2625" t="inlineStr">
        <is>
          <t>T</t>
        </is>
      </c>
      <c r="E2625" t="inlineStr">
        <is>
          <t>rs9862809</t>
        </is>
      </c>
      <c r="F2625" t="n">
        <v>-0.110649032</v>
      </c>
      <c r="G2625" t="n">
        <v>0.0275532119888358</v>
      </c>
      <c r="H2625" t="n">
        <v>0.0166725606431582</v>
      </c>
      <c r="I2625" t="n">
        <v>0.1532928352884914</v>
      </c>
      <c r="J2625" t="n">
        <v>0.0726508345374965</v>
      </c>
      <c r="K2625" t="n">
        <v>0.4278151680328035</v>
      </c>
      <c r="L2625" t="b">
        <v>0</v>
      </c>
      <c r="M2625" t="b">
        <v>0</v>
      </c>
      <c r="N2625" t="inlineStr">
        <is>
          <t>ref</t>
        </is>
      </c>
      <c r="O2625" t="n">
        <v>100</v>
      </c>
      <c r="P2625" t="n">
        <v>0.004784</v>
      </c>
      <c r="Q2625" t="n">
        <v>100</v>
      </c>
      <c r="R2625" t="n">
        <v>0.1499</v>
      </c>
      <c r="S2625">
        <f>IMAGE("https://mitra.stanford.edu/kundaje/oak/projects/neuro-variants/variant_position/credible/roussos_2024/variant_figures/roussos_2024.childhood.GABA/rs9862809_count_position.png",4,220,900)</f>
        <v/>
      </c>
      <c r="T2625">
        <f>IMAGE("https://mitra.stanford.edu/kundaje/oak/projects/neuro-variants/variant_position/credible/roussos_2024/variant_figures/roussos_2024.childhood.GABA/rs9862809_profile_position.png",4,220,900)</f>
        <v/>
      </c>
    </row>
    <row r="2626">
      <c r="A2626" t="inlineStr">
        <is>
          <t>chr3</t>
        </is>
      </c>
      <c r="B2626" t="n">
        <v>60437276</v>
      </c>
      <c r="C2626" t="inlineStr">
        <is>
          <t>T</t>
        </is>
      </c>
      <c r="D2626" t="inlineStr">
        <is>
          <t>C</t>
        </is>
      </c>
      <c r="E2626" t="inlineStr">
        <is>
          <t>rs2687189</t>
        </is>
      </c>
      <c r="F2626" t="n">
        <v>0.014712204</v>
      </c>
      <c r="G2626" t="n">
        <v>0.1507628080489545</v>
      </c>
      <c r="H2626" t="n">
        <v>0.0155613765998684</v>
      </c>
      <c r="I2626" t="n">
        <v>0.2015707910115613</v>
      </c>
      <c r="J2626" t="n">
        <v>0.0327375342924755</v>
      </c>
      <c r="K2626" t="n">
        <v>0.5784624292032242</v>
      </c>
      <c r="L2626" t="b">
        <v>0</v>
      </c>
      <c r="M2626" t="b">
        <v>0</v>
      </c>
      <c r="N2626" t="inlineStr">
        <is>
          <t>alt</t>
        </is>
      </c>
      <c r="O2626" t="n">
        <v>-30</v>
      </c>
      <c r="P2626" t="n">
        <v>0.00282</v>
      </c>
      <c r="Q2626" t="n">
        <v>0</v>
      </c>
      <c r="R2626" t="n">
        <v>0</v>
      </c>
      <c r="S2626">
        <f>IMAGE("https://mitra.stanford.edu/kundaje/oak/projects/neuro-variants/variant_position/credible/roussos_2024/variant_figures/roussos_2024.childhood.GABA/rs2687189_count_position.png",4,220,900)</f>
        <v/>
      </c>
      <c r="T2626">
        <f>IMAGE("https://mitra.stanford.edu/kundaje/oak/projects/neuro-variants/variant_position/credible/roussos_2024/variant_figures/roussos_2024.childhood.GABA/rs2687189_profile_position.png",4,220,900)</f>
        <v/>
      </c>
    </row>
    <row r="2627">
      <c r="A2627" t="inlineStr">
        <is>
          <t>chr3</t>
        </is>
      </c>
      <c r="B2627" t="n">
        <v>60442238</v>
      </c>
      <c r="C2627" t="inlineStr">
        <is>
          <t>C</t>
        </is>
      </c>
      <c r="D2627" t="inlineStr">
        <is>
          <t>A</t>
        </is>
      </c>
      <c r="E2627" t="inlineStr">
        <is>
          <t>rs77635360</t>
        </is>
      </c>
      <c r="F2627" t="n">
        <v>0.031034171</v>
      </c>
      <c r="G2627" t="n">
        <v>0.2746873380699638</v>
      </c>
      <c r="H2627" t="n">
        <v>0.0260022918311444</v>
      </c>
      <c r="I2627" t="n">
        <v>0.0242296929256196</v>
      </c>
      <c r="J2627" t="n">
        <v>0.0003298360243763</v>
      </c>
      <c r="K2627" t="n">
        <v>0.9521522848999976</v>
      </c>
      <c r="L2627" t="b">
        <v>0</v>
      </c>
      <c r="M2627" t="b">
        <v>0</v>
      </c>
      <c r="N2627" t="inlineStr">
        <is>
          <t>alt</t>
        </is>
      </c>
      <c r="O2627" t="n">
        <v>80</v>
      </c>
      <c r="P2627" t="n">
        <v>0.004105</v>
      </c>
      <c r="Q2627" t="n">
        <v>-15</v>
      </c>
      <c r="R2627" t="n">
        <v>0.01654</v>
      </c>
      <c r="S2627">
        <f>IMAGE("https://mitra.stanford.edu/kundaje/oak/projects/neuro-variants/variant_position/credible/roussos_2024/variant_figures/roussos_2024.childhood.GABA/rs77635360_count_position.png",4,220,900)</f>
        <v/>
      </c>
      <c r="T2627">
        <f>IMAGE("https://mitra.stanford.edu/kundaje/oak/projects/neuro-variants/variant_position/credible/roussos_2024/variant_figures/roussos_2024.childhood.GABA/rs77635360_profile_position.png",4,220,900)</f>
        <v/>
      </c>
    </row>
    <row r="2628">
      <c r="A2628" t="inlineStr">
        <is>
          <t>chr3</t>
        </is>
      </c>
      <c r="B2628" t="n">
        <v>60449492</v>
      </c>
      <c r="C2628" t="inlineStr">
        <is>
          <t>A</t>
        </is>
      </c>
      <c r="D2628" t="inlineStr">
        <is>
          <t>C</t>
        </is>
      </c>
      <c r="E2628" t="inlineStr">
        <is>
          <t>rs12629110</t>
        </is>
      </c>
      <c r="F2628" t="n">
        <v>-0.0574982632</v>
      </c>
      <c r="G2628" t="n">
        <v>0.1188680704021246</v>
      </c>
      <c r="H2628" t="n">
        <v>0.0268863802593534</v>
      </c>
      <c r="I2628" t="n">
        <v>0.0207191833298405</v>
      </c>
      <c r="J2628" t="n">
        <v>0.0805480513497099</v>
      </c>
      <c r="K2628" t="n">
        <v>0.4014706634302304</v>
      </c>
      <c r="L2628" t="b">
        <v>0</v>
      </c>
      <c r="M2628" t="b">
        <v>0</v>
      </c>
      <c r="N2628" t="inlineStr">
        <is>
          <t>ref</t>
        </is>
      </c>
      <c r="O2628" t="n">
        <v>100</v>
      </c>
      <c r="P2628" t="n">
        <v>0.00448</v>
      </c>
      <c r="Q2628" t="n">
        <v>-100</v>
      </c>
      <c r="R2628" t="n">
        <v>0.06244</v>
      </c>
      <c r="S2628">
        <f>IMAGE("https://mitra.stanford.edu/kundaje/oak/projects/neuro-variants/variant_position/credible/roussos_2024/variant_figures/roussos_2024.childhood.GABA/rs12629110_count_position.png",4,220,900)</f>
        <v/>
      </c>
      <c r="T2628">
        <f>IMAGE("https://mitra.stanford.edu/kundaje/oak/projects/neuro-variants/variant_position/credible/roussos_2024/variant_figures/roussos_2024.childhood.GABA/rs12629110_profile_position.png",4,220,900)</f>
        <v/>
      </c>
    </row>
    <row r="2629">
      <c r="A2629" t="inlineStr">
        <is>
          <t>chr3</t>
        </is>
      </c>
      <c r="B2629" t="n">
        <v>60486253</v>
      </c>
      <c r="C2629" t="inlineStr">
        <is>
          <t>A</t>
        </is>
      </c>
      <c r="D2629" t="inlineStr">
        <is>
          <t>G</t>
        </is>
      </c>
      <c r="E2629" t="inlineStr">
        <is>
          <t>rs9818182</t>
        </is>
      </c>
      <c r="F2629" t="n">
        <v>0.00090273661</v>
      </c>
      <c r="G2629" t="n">
        <v>0.8608114894998988</v>
      </c>
      <c r="H2629" t="n">
        <v>0.0340529857151142</v>
      </c>
      <c r="I2629" t="n">
        <v>0.0074436070551123</v>
      </c>
      <c r="J2629" t="n">
        <v>0.0020030994115306</v>
      </c>
      <c r="K2629" t="n">
        <v>0.8863416833081522</v>
      </c>
      <c r="L2629" t="b">
        <v>0</v>
      </c>
      <c r="M2629" t="b">
        <v>0</v>
      </c>
      <c r="N2629" t="inlineStr">
        <is>
          <t>alt</t>
        </is>
      </c>
      <c r="O2629" t="n">
        <v>50</v>
      </c>
      <c r="P2629" t="n">
        <v>0.00177</v>
      </c>
      <c r="Q2629" t="n">
        <v>100</v>
      </c>
      <c r="R2629" t="n">
        <v>0.05615</v>
      </c>
      <c r="S2629">
        <f>IMAGE("https://mitra.stanford.edu/kundaje/oak/projects/neuro-variants/variant_position/credible/roussos_2024/variant_figures/roussos_2024.childhood.GABA/rs9818182_count_position.png",4,220,900)</f>
        <v/>
      </c>
      <c r="T2629">
        <f>IMAGE("https://mitra.stanford.edu/kundaje/oak/projects/neuro-variants/variant_position/credible/roussos_2024/variant_figures/roussos_2024.childhood.GABA/rs9818182_profile_position.png",4,220,900)</f>
        <v/>
      </c>
    </row>
    <row r="2630">
      <c r="A2630" t="inlineStr">
        <is>
          <t>chr3</t>
        </is>
      </c>
      <c r="B2630" t="n">
        <v>60487965</v>
      </c>
      <c r="C2630" t="inlineStr">
        <is>
          <t>A</t>
        </is>
      </c>
      <c r="D2630" t="inlineStr">
        <is>
          <t>G</t>
        </is>
      </c>
      <c r="E2630" t="inlineStr">
        <is>
          <t>rs9828307</t>
        </is>
      </c>
      <c r="F2630" t="n">
        <v>0.0718575328</v>
      </c>
      <c r="G2630" t="n">
        <v>0.062878382210274</v>
      </c>
      <c r="H2630" t="n">
        <v>0.0137491434414287</v>
      </c>
      <c r="I2630" t="n">
        <v>0.2960747066428898</v>
      </c>
      <c r="J2630" t="n">
        <v>0.0919855081568971</v>
      </c>
      <c r="K2630" t="n">
        <v>0.3645841143513716</v>
      </c>
      <c r="L2630" t="b">
        <v>0</v>
      </c>
      <c r="M2630" t="b">
        <v>0</v>
      </c>
      <c r="N2630" t="inlineStr">
        <is>
          <t>alt</t>
        </is>
      </c>
      <c r="O2630" t="n">
        <v>60</v>
      </c>
      <c r="P2630" t="n">
        <v>0.003477</v>
      </c>
      <c r="Q2630" t="n">
        <v>80</v>
      </c>
      <c r="R2630" t="n">
        <v>0.0451</v>
      </c>
      <c r="S2630">
        <f>IMAGE("https://mitra.stanford.edu/kundaje/oak/projects/neuro-variants/variant_position/credible/roussos_2024/variant_figures/roussos_2024.childhood.GABA/rs9828307_count_position.png",4,220,900)</f>
        <v/>
      </c>
      <c r="T2630">
        <f>IMAGE("https://mitra.stanford.edu/kundaje/oak/projects/neuro-variants/variant_position/credible/roussos_2024/variant_figures/roussos_2024.childhood.GABA/rs9828307_profile_position.png",4,220,900)</f>
        <v/>
      </c>
    </row>
    <row r="2631">
      <c r="A2631" t="inlineStr">
        <is>
          <t>chr3</t>
        </is>
      </c>
      <c r="B2631" t="n">
        <v>61848270</v>
      </c>
      <c r="C2631" t="inlineStr">
        <is>
          <t>C</t>
        </is>
      </c>
      <c r="D2631" t="inlineStr">
        <is>
          <t>T</t>
        </is>
      </c>
      <c r="E2631" t="inlineStr">
        <is>
          <t>rs606506</t>
        </is>
      </c>
      <c r="F2631" t="n">
        <v>-0.0460424504</v>
      </c>
      <c r="G2631" t="n">
        <v>0.1629723930553444</v>
      </c>
      <c r="H2631" t="n">
        <v>0.011702352073043</v>
      </c>
      <c r="I2631" t="n">
        <v>0.4630992884162784</v>
      </c>
      <c r="J2631" t="n">
        <v>0.2106510858411342</v>
      </c>
      <c r="K2631" t="n">
        <v>0.2032719379870742</v>
      </c>
      <c r="L2631" t="b">
        <v>0</v>
      </c>
      <c r="M2631" t="b">
        <v>0</v>
      </c>
      <c r="N2631" t="inlineStr">
        <is>
          <t>ref</t>
        </is>
      </c>
      <c r="O2631" t="n">
        <v>85</v>
      </c>
      <c r="P2631" t="n">
        <v>0.01837</v>
      </c>
      <c r="Q2631" t="n">
        <v>-65</v>
      </c>
      <c r="R2631" t="n">
        <v>0.1214</v>
      </c>
      <c r="S2631">
        <f>IMAGE("https://mitra.stanford.edu/kundaje/oak/projects/neuro-variants/variant_position/credible/roussos_2024/variant_figures/roussos_2024.childhood.GABA/rs606506_count_position.png",4,220,900)</f>
        <v/>
      </c>
      <c r="T2631">
        <f>IMAGE("https://mitra.stanford.edu/kundaje/oak/projects/neuro-variants/variant_position/credible/roussos_2024/variant_figures/roussos_2024.childhood.GABA/rs606506_profile_position.png",4,220,900)</f>
        <v/>
      </c>
    </row>
    <row r="2632">
      <c r="A2632" t="inlineStr">
        <is>
          <t>chr3</t>
        </is>
      </c>
      <c r="B2632" t="n">
        <v>61851594</v>
      </c>
      <c r="C2632" t="inlineStr">
        <is>
          <t>G</t>
        </is>
      </c>
      <c r="D2632" t="inlineStr">
        <is>
          <t>T</t>
        </is>
      </c>
      <c r="E2632" t="inlineStr">
        <is>
          <t>rs640732</t>
        </is>
      </c>
      <c r="F2632" t="n">
        <v>-0.001550157668</v>
      </c>
      <c r="G2632" t="n">
        <v>0.7349021453886453</v>
      </c>
      <c r="H2632" t="n">
        <v>0.0177949928286706</v>
      </c>
      <c r="I2632" t="n">
        <v>0.1200621440453829</v>
      </c>
      <c r="J2632" t="n">
        <v>0.0242487068333646</v>
      </c>
      <c r="K2632" t="n">
        <v>0.6182454671731509</v>
      </c>
      <c r="L2632" t="b">
        <v>0</v>
      </c>
      <c r="M2632" t="b">
        <v>0</v>
      </c>
      <c r="N2632" t="inlineStr">
        <is>
          <t>ref</t>
        </is>
      </c>
      <c r="O2632" t="n">
        <v>-55</v>
      </c>
      <c r="P2632" t="n">
        <v>0.009636</v>
      </c>
      <c r="Q2632" t="n">
        <v>-100</v>
      </c>
      <c r="R2632" t="n">
        <v>0.1619</v>
      </c>
      <c r="S2632">
        <f>IMAGE("https://mitra.stanford.edu/kundaje/oak/projects/neuro-variants/variant_position/credible/roussos_2024/variant_figures/roussos_2024.childhood.GABA/rs640732_count_position.png",4,220,900)</f>
        <v/>
      </c>
      <c r="T2632">
        <f>IMAGE("https://mitra.stanford.edu/kundaje/oak/projects/neuro-variants/variant_position/credible/roussos_2024/variant_figures/roussos_2024.childhood.GABA/rs640732_profile_position.png",4,220,900)</f>
        <v/>
      </c>
    </row>
    <row r="2633">
      <c r="A2633" t="inlineStr">
        <is>
          <t>chr3</t>
        </is>
      </c>
      <c r="B2633" t="n">
        <v>61852543</v>
      </c>
      <c r="C2633" t="inlineStr">
        <is>
          <t>C</t>
        </is>
      </c>
      <c r="D2633" t="inlineStr">
        <is>
          <t>T</t>
        </is>
      </c>
      <c r="E2633" t="inlineStr">
        <is>
          <t>rs626136</t>
        </is>
      </c>
      <c r="F2633" t="n">
        <v>-0.086523431</v>
      </c>
      <c r="G2633" t="n">
        <v>0.0446434926654198</v>
      </c>
      <c r="H2633" t="n">
        <v>0.0144913257833243</v>
      </c>
      <c r="I2633" t="n">
        <v>0.2520486401864598</v>
      </c>
      <c r="J2633" t="n">
        <v>0.0299993717409059</v>
      </c>
      <c r="K2633" t="n">
        <v>0.5973591611713784</v>
      </c>
      <c r="L2633" t="b">
        <v>0</v>
      </c>
      <c r="M2633" t="b">
        <v>0</v>
      </c>
      <c r="N2633" t="inlineStr">
        <is>
          <t>ref</t>
        </is>
      </c>
      <c r="O2633" t="n">
        <v>-25</v>
      </c>
      <c r="P2633" t="n">
        <v>0.000654</v>
      </c>
      <c r="Q2633" t="n">
        <v>0</v>
      </c>
      <c r="R2633" t="n">
        <v>0</v>
      </c>
      <c r="S2633">
        <f>IMAGE("https://mitra.stanford.edu/kundaje/oak/projects/neuro-variants/variant_position/credible/roussos_2024/variant_figures/roussos_2024.childhood.GABA/rs626136_count_position.png",4,220,900)</f>
        <v/>
      </c>
      <c r="T2633">
        <f>IMAGE("https://mitra.stanford.edu/kundaje/oak/projects/neuro-variants/variant_position/credible/roussos_2024/variant_figures/roussos_2024.childhood.GABA/rs626136_profile_position.png",4,220,900)</f>
        <v/>
      </c>
    </row>
    <row r="2634">
      <c r="A2634" t="inlineStr">
        <is>
          <t>chr3</t>
        </is>
      </c>
      <c r="B2634" t="n">
        <v>61853094</v>
      </c>
      <c r="C2634" t="inlineStr">
        <is>
          <t>C</t>
        </is>
      </c>
      <c r="D2634" t="inlineStr">
        <is>
          <t>T</t>
        </is>
      </c>
      <c r="E2634" t="inlineStr">
        <is>
          <t>rs623843</t>
        </is>
      </c>
      <c r="F2634" t="n">
        <v>-0.08671493</v>
      </c>
      <c r="G2634" t="n">
        <v>0.0445711416559513</v>
      </c>
      <c r="H2634" t="n">
        <v>0.0149920152786706</v>
      </c>
      <c r="I2634" t="n">
        <v>0.2265128064731311</v>
      </c>
      <c r="J2634" t="n">
        <v>0.0890682917635232</v>
      </c>
      <c r="K2634" t="n">
        <v>0.3901991276987639</v>
      </c>
      <c r="L2634" t="b">
        <v>0</v>
      </c>
      <c r="M2634" t="b">
        <v>0</v>
      </c>
      <c r="N2634" t="inlineStr">
        <is>
          <t>ref</t>
        </is>
      </c>
      <c r="O2634" t="n">
        <v>-10</v>
      </c>
      <c r="P2634" t="n">
        <v>0.0007963</v>
      </c>
      <c r="Q2634" t="n">
        <v>25</v>
      </c>
      <c r="R2634" t="n">
        <v>0.02435</v>
      </c>
      <c r="S2634">
        <f>IMAGE("https://mitra.stanford.edu/kundaje/oak/projects/neuro-variants/variant_position/credible/roussos_2024/variant_figures/roussos_2024.childhood.GABA/rs623843_count_position.png",4,220,900)</f>
        <v/>
      </c>
      <c r="T2634">
        <f>IMAGE("https://mitra.stanford.edu/kundaje/oak/projects/neuro-variants/variant_position/credible/roussos_2024/variant_figures/roussos_2024.childhood.GABA/rs623843_profile_position.png",4,220,900)</f>
        <v/>
      </c>
    </row>
    <row r="2635">
      <c r="A2635" t="inlineStr">
        <is>
          <t>chr3</t>
        </is>
      </c>
      <c r="B2635" t="n">
        <v>61864460</v>
      </c>
      <c r="C2635" t="inlineStr">
        <is>
          <t>T</t>
        </is>
      </c>
      <c r="D2635" t="inlineStr">
        <is>
          <t>G</t>
        </is>
      </c>
      <c r="E2635" t="inlineStr">
        <is>
          <t>rs623808</t>
        </is>
      </c>
      <c r="F2635" t="n">
        <v>0.0136715264</v>
      </c>
      <c r="G2635" t="n">
        <v>0.3686230139335191</v>
      </c>
      <c r="H2635" t="n">
        <v>0.0155316879151798</v>
      </c>
      <c r="I2635" t="n">
        <v>0.2031846819837709</v>
      </c>
      <c r="J2635" t="n">
        <v>0.0522114720110573</v>
      </c>
      <c r="K2635" t="n">
        <v>0.5065598485257276</v>
      </c>
      <c r="L2635" t="b">
        <v>0</v>
      </c>
      <c r="M2635" t="b">
        <v>0</v>
      </c>
      <c r="N2635" t="inlineStr">
        <is>
          <t>alt</t>
        </is>
      </c>
      <c r="O2635" t="n">
        <v>90</v>
      </c>
      <c r="P2635" t="n">
        <v>0.00809</v>
      </c>
      <c r="Q2635" t="n">
        <v>90</v>
      </c>
      <c r="R2635" t="n">
        <v>0.1411</v>
      </c>
      <c r="S2635">
        <f>IMAGE("https://mitra.stanford.edu/kundaje/oak/projects/neuro-variants/variant_position/credible/roussos_2024/variant_figures/roussos_2024.childhood.GABA/rs623808_count_position.png",4,220,900)</f>
        <v/>
      </c>
      <c r="T2635">
        <f>IMAGE("https://mitra.stanford.edu/kundaje/oak/projects/neuro-variants/variant_position/credible/roussos_2024/variant_figures/roussos_2024.childhood.GABA/rs623808_profile_position.png",4,220,900)</f>
        <v/>
      </c>
    </row>
    <row r="2636">
      <c r="A2636" t="inlineStr">
        <is>
          <t>chr3</t>
        </is>
      </c>
      <c r="B2636" t="n">
        <v>62068373</v>
      </c>
      <c r="C2636" t="inlineStr">
        <is>
          <t>A</t>
        </is>
      </c>
      <c r="D2636" t="inlineStr">
        <is>
          <t>C</t>
        </is>
      </c>
      <c r="E2636" t="inlineStr">
        <is>
          <t>rs9863323</t>
        </is>
      </c>
      <c r="F2636" t="n">
        <v>0.0787272726</v>
      </c>
      <c r="G2636" t="n">
        <v>0.0526928542508445</v>
      </c>
      <c r="H2636" t="n">
        <v>0.0177109795403151</v>
      </c>
      <c r="I2636" t="n">
        <v>0.1236176093530805</v>
      </c>
      <c r="J2636" t="n">
        <v>0.0362997633557411</v>
      </c>
      <c r="K2636" t="n">
        <v>0.5557998722989429</v>
      </c>
      <c r="L2636" t="b">
        <v>0</v>
      </c>
      <c r="M2636" t="b">
        <v>0</v>
      </c>
      <c r="N2636" t="inlineStr">
        <is>
          <t>alt</t>
        </is>
      </c>
      <c r="O2636" t="n">
        <v>15</v>
      </c>
      <c r="P2636" t="n">
        <v>0.000849</v>
      </c>
      <c r="Q2636" t="n">
        <v>-35</v>
      </c>
      <c r="R2636" t="n">
        <v>0.05597</v>
      </c>
      <c r="S2636">
        <f>IMAGE("https://mitra.stanford.edu/kundaje/oak/projects/neuro-variants/variant_position/credible/roussos_2024/variant_figures/roussos_2024.childhood.GABA/rs9863323_count_position.png",4,220,900)</f>
        <v/>
      </c>
      <c r="T2636">
        <f>IMAGE("https://mitra.stanford.edu/kundaje/oak/projects/neuro-variants/variant_position/credible/roussos_2024/variant_figures/roussos_2024.childhood.GABA/rs9863323_profile_position.png",4,220,900)</f>
        <v/>
      </c>
    </row>
    <row r="2637">
      <c r="A2637" t="inlineStr">
        <is>
          <t>chr3</t>
        </is>
      </c>
      <c r="B2637" t="n">
        <v>62069778</v>
      </c>
      <c r="C2637" t="inlineStr">
        <is>
          <t>G</t>
        </is>
      </c>
      <c r="D2637" t="inlineStr">
        <is>
          <t>A</t>
        </is>
      </c>
      <c r="E2637" t="inlineStr">
        <is>
          <t>rs6787306</t>
        </is>
      </c>
      <c r="F2637" t="n">
        <v>0.0610462152</v>
      </c>
      <c r="G2637" t="n">
        <v>0.09964038365812369</v>
      </c>
      <c r="H2637" t="n">
        <v>0.0151370052735876</v>
      </c>
      <c r="I2637" t="n">
        <v>0.2185222870933748</v>
      </c>
      <c r="J2637" t="n">
        <v>0.0425614123264434</v>
      </c>
      <c r="K2637" t="n">
        <v>0.5282237247913341</v>
      </c>
      <c r="L2637" t="b">
        <v>0</v>
      </c>
      <c r="M2637" t="b">
        <v>0</v>
      </c>
      <c r="N2637" t="inlineStr">
        <is>
          <t>alt</t>
        </is>
      </c>
      <c r="O2637" t="n">
        <v>100</v>
      </c>
      <c r="P2637" t="n">
        <v>0.01366</v>
      </c>
      <c r="Q2637" t="n">
        <v>-75</v>
      </c>
      <c r="R2637" t="n">
        <v>0.0636</v>
      </c>
      <c r="S2637">
        <f>IMAGE("https://mitra.stanford.edu/kundaje/oak/projects/neuro-variants/variant_position/credible/roussos_2024/variant_figures/roussos_2024.childhood.GABA/rs6787306_count_position.png",4,220,900)</f>
        <v/>
      </c>
      <c r="T2637">
        <f>IMAGE("https://mitra.stanford.edu/kundaje/oak/projects/neuro-variants/variant_position/credible/roussos_2024/variant_figures/roussos_2024.childhood.GABA/rs6787306_profile_position.png",4,220,900)</f>
        <v/>
      </c>
    </row>
    <row r="2638">
      <c r="A2638" t="inlineStr">
        <is>
          <t>chr3</t>
        </is>
      </c>
      <c r="B2638" t="n">
        <v>62070952</v>
      </c>
      <c r="C2638" t="inlineStr">
        <is>
          <t>A</t>
        </is>
      </c>
      <c r="D2638" t="inlineStr">
        <is>
          <t>G</t>
        </is>
      </c>
      <c r="E2638" t="inlineStr">
        <is>
          <t>rs6766287</t>
        </is>
      </c>
      <c r="F2638" t="n">
        <v>-0.0106299578399999</v>
      </c>
      <c r="G2638" t="n">
        <v>0.6209215561945207</v>
      </c>
      <c r="H2638" t="n">
        <v>0.0382448110677077</v>
      </c>
      <c r="I2638" t="n">
        <v>0.0045029461319682</v>
      </c>
      <c r="J2638" t="n">
        <v>0.166197566543109</v>
      </c>
      <c r="K2638" t="n">
        <v>0.2467845719643617</v>
      </c>
      <c r="L2638" t="b">
        <v>1</v>
      </c>
      <c r="M2638" t="b">
        <v>1</v>
      </c>
      <c r="N2638" t="inlineStr">
        <is>
          <t>ref</t>
        </is>
      </c>
      <c r="O2638" t="n">
        <v>100</v>
      </c>
      <c r="P2638" t="n">
        <v>0.00589</v>
      </c>
      <c r="Q2638" t="n">
        <v>100</v>
      </c>
      <c r="R2638" t="n">
        <v>0.0776</v>
      </c>
      <c r="S2638">
        <f>IMAGE("https://mitra.stanford.edu/kundaje/oak/projects/neuro-variants/variant_position/credible/roussos_2024/variant_figures/roussos_2024.childhood.GABA/rs6766287_count_position.png",4,220,900)</f>
        <v/>
      </c>
      <c r="T2638">
        <f>IMAGE("https://mitra.stanford.edu/kundaje/oak/projects/neuro-variants/variant_position/credible/roussos_2024/variant_figures/roussos_2024.childhood.GABA/rs6766287_profile_position.png",4,220,900)</f>
        <v/>
      </c>
    </row>
    <row r="2639">
      <c r="A2639" t="inlineStr">
        <is>
          <t>chr3</t>
        </is>
      </c>
      <c r="B2639" t="n">
        <v>62079095</v>
      </c>
      <c r="C2639" t="inlineStr">
        <is>
          <t>A</t>
        </is>
      </c>
      <c r="D2639" t="inlineStr">
        <is>
          <t>G</t>
        </is>
      </c>
      <c r="E2639" t="inlineStr">
        <is>
          <t>rs11130874</t>
        </is>
      </c>
      <c r="F2639" t="n">
        <v>0.052844917</v>
      </c>
      <c r="G2639" t="n">
        <v>0.1229868454041727</v>
      </c>
      <c r="H2639" t="n">
        <v>0.0119804240598246</v>
      </c>
      <c r="I2639" t="n">
        <v>0.4424397497787849</v>
      </c>
      <c r="J2639" t="n">
        <v>0.0078417205922388</v>
      </c>
      <c r="K2639" t="n">
        <v>0.7749623204209102</v>
      </c>
      <c r="L2639" t="b">
        <v>0</v>
      </c>
      <c r="M2639" t="b">
        <v>0</v>
      </c>
      <c r="N2639" t="inlineStr">
        <is>
          <t>alt</t>
        </is>
      </c>
      <c r="O2639" t="n">
        <v>-40</v>
      </c>
      <c r="P2639" t="n">
        <v>0.002274</v>
      </c>
      <c r="Q2639" t="n">
        <v>80</v>
      </c>
      <c r="R2639" t="n">
        <v>0.04944</v>
      </c>
      <c r="S2639">
        <f>IMAGE("https://mitra.stanford.edu/kundaje/oak/projects/neuro-variants/variant_position/credible/roussos_2024/variant_figures/roussos_2024.childhood.GABA/rs11130874_count_position.png",4,220,900)</f>
        <v/>
      </c>
      <c r="T2639">
        <f>IMAGE("https://mitra.stanford.edu/kundaje/oak/projects/neuro-variants/variant_position/credible/roussos_2024/variant_figures/roussos_2024.childhood.GABA/rs11130874_profile_position.png",4,220,900)</f>
        <v/>
      </c>
    </row>
    <row r="2640">
      <c r="A2640" t="inlineStr">
        <is>
          <t>chr3</t>
        </is>
      </c>
      <c r="B2640" t="n">
        <v>62079251</v>
      </c>
      <c r="C2640" t="inlineStr">
        <is>
          <t>C</t>
        </is>
      </c>
      <c r="D2640" t="inlineStr">
        <is>
          <t>T</t>
        </is>
      </c>
      <c r="E2640" t="inlineStr">
        <is>
          <t>rs11715438</t>
        </is>
      </c>
      <c r="F2640" t="n">
        <v>0.0030759746439999</v>
      </c>
      <c r="G2640" t="n">
        <v>0.8013675658194712</v>
      </c>
      <c r="H2640" t="n">
        <v>0.0148545295551611</v>
      </c>
      <c r="I2640" t="n">
        <v>0.2343515996416682</v>
      </c>
      <c r="J2640" t="n">
        <v>0.007220791187619</v>
      </c>
      <c r="K2640" t="n">
        <v>0.7817473403246658</v>
      </c>
      <c r="L2640" t="b">
        <v>0</v>
      </c>
      <c r="M2640" t="b">
        <v>0</v>
      </c>
      <c r="N2640" t="inlineStr">
        <is>
          <t>alt</t>
        </is>
      </c>
      <c r="O2640" t="n">
        <v>-75</v>
      </c>
      <c r="P2640" t="n">
        <v>0.004417</v>
      </c>
      <c r="Q2640" t="n">
        <v>100</v>
      </c>
      <c r="R2640" t="n">
        <v>0.1024</v>
      </c>
      <c r="S2640">
        <f>IMAGE("https://mitra.stanford.edu/kundaje/oak/projects/neuro-variants/variant_position/credible/roussos_2024/variant_figures/roussos_2024.childhood.GABA/rs11715438_count_position.png",4,220,900)</f>
        <v/>
      </c>
      <c r="T2640">
        <f>IMAGE("https://mitra.stanford.edu/kundaje/oak/projects/neuro-variants/variant_position/credible/roussos_2024/variant_figures/roussos_2024.childhood.GABA/rs11715438_profile_position.png",4,220,900)</f>
        <v/>
      </c>
    </row>
    <row r="2641">
      <c r="A2641" t="inlineStr">
        <is>
          <t>chr3</t>
        </is>
      </c>
      <c r="B2641" t="n">
        <v>62080406</v>
      </c>
      <c r="C2641" t="inlineStr">
        <is>
          <t>T</t>
        </is>
      </c>
      <c r="D2641" t="inlineStr">
        <is>
          <t>C</t>
        </is>
      </c>
      <c r="E2641" t="inlineStr">
        <is>
          <t>rs1859404</t>
        </is>
      </c>
      <c r="F2641" t="n">
        <v>0.0999103142</v>
      </c>
      <c r="G2641" t="n">
        <v>0.0287016381884462</v>
      </c>
      <c r="H2641" t="n">
        <v>0.0124752090859674</v>
      </c>
      <c r="I2641" t="n">
        <v>0.392360151264149</v>
      </c>
      <c r="J2641" t="n">
        <v>0.069227869573412</v>
      </c>
      <c r="K2641" t="n">
        <v>0.4510288011935082</v>
      </c>
      <c r="L2641" t="b">
        <v>0</v>
      </c>
      <c r="M2641" t="b">
        <v>0</v>
      </c>
      <c r="N2641" t="inlineStr">
        <is>
          <t>alt</t>
        </is>
      </c>
      <c r="O2641" t="n">
        <v>-100</v>
      </c>
      <c r="P2641" t="n">
        <v>0.02496</v>
      </c>
      <c r="Q2641" t="n">
        <v>35</v>
      </c>
      <c r="R2641" t="n">
        <v>0.09660000000000001</v>
      </c>
      <c r="S2641">
        <f>IMAGE("https://mitra.stanford.edu/kundaje/oak/projects/neuro-variants/variant_position/credible/roussos_2024/variant_figures/roussos_2024.childhood.GABA/rs1859404_count_position.png",4,220,900)</f>
        <v/>
      </c>
      <c r="T2641">
        <f>IMAGE("https://mitra.stanford.edu/kundaje/oak/projects/neuro-variants/variant_position/credible/roussos_2024/variant_figures/roussos_2024.childhood.GABA/rs1859404_profile_position.png",4,220,900)</f>
        <v/>
      </c>
    </row>
    <row r="2642">
      <c r="A2642" t="inlineStr">
        <is>
          <t>chr3</t>
        </is>
      </c>
      <c r="B2642" t="n">
        <v>62084622</v>
      </c>
      <c r="C2642" t="inlineStr">
        <is>
          <t>A</t>
        </is>
      </c>
      <c r="D2642" t="inlineStr">
        <is>
          <t>C</t>
        </is>
      </c>
      <c r="E2642" t="inlineStr">
        <is>
          <t>rs7646226</t>
        </is>
      </c>
      <c r="F2642" t="n">
        <v>-0.40079676</v>
      </c>
      <c r="G2642" t="n">
        <v>0.0006119622621356</v>
      </c>
      <c r="H2642" t="n">
        <v>0.0514785383260478</v>
      </c>
      <c r="I2642" t="n">
        <v>0.0016713197651997</v>
      </c>
      <c r="J2642" t="n">
        <v>0.3111693995937258</v>
      </c>
      <c r="K2642" t="n">
        <v>0.1273932038183731</v>
      </c>
      <c r="L2642" t="b">
        <v>1</v>
      </c>
      <c r="M2642" t="b">
        <v>1</v>
      </c>
      <c r="N2642" t="inlineStr">
        <is>
          <t>ref</t>
        </is>
      </c>
      <c r="O2642" t="n">
        <v>-50</v>
      </c>
      <c r="P2642" t="n">
        <v>0.001862</v>
      </c>
      <c r="Q2642" t="n">
        <v>-55</v>
      </c>
      <c r="R2642" t="n">
        <v>0.0376</v>
      </c>
      <c r="S2642">
        <f>IMAGE("https://mitra.stanford.edu/kundaje/oak/projects/neuro-variants/variant_position/credible/roussos_2024/variant_figures/roussos_2024.childhood.GABA/rs7646226_count_position.png",4,220,900)</f>
        <v/>
      </c>
      <c r="T2642">
        <f>IMAGE("https://mitra.stanford.edu/kundaje/oak/projects/neuro-variants/variant_position/credible/roussos_2024/variant_figures/roussos_2024.childhood.GABA/rs7646226_profile_position.png",4,220,900)</f>
        <v/>
      </c>
    </row>
    <row r="2643">
      <c r="A2643" t="inlineStr">
        <is>
          <t>chr3</t>
        </is>
      </c>
      <c r="B2643" t="n">
        <v>62093006</v>
      </c>
      <c r="C2643" t="inlineStr">
        <is>
          <t>A</t>
        </is>
      </c>
      <c r="D2643" t="inlineStr">
        <is>
          <t>G</t>
        </is>
      </c>
      <c r="E2643" t="inlineStr">
        <is>
          <t>rs35831310</t>
        </is>
      </c>
      <c r="F2643" t="n">
        <v>-0.01244897014</v>
      </c>
      <c r="G2643" t="n">
        <v>0.5610376632722286</v>
      </c>
      <c r="H2643" t="n">
        <v>0.0191645054829964</v>
      </c>
      <c r="I2643" t="n">
        <v>0.0903971110224797</v>
      </c>
      <c r="J2643" t="n">
        <v>0.1220979665347322</v>
      </c>
      <c r="K2643" t="n">
        <v>0.3135418489194163</v>
      </c>
      <c r="L2643" t="b">
        <v>0</v>
      </c>
      <c r="M2643" t="b">
        <v>0</v>
      </c>
      <c r="N2643" t="inlineStr">
        <is>
          <t>ref</t>
        </is>
      </c>
      <c r="O2643" t="n">
        <v>-85</v>
      </c>
      <c r="P2643" t="n">
        <v>0.0007277</v>
      </c>
      <c r="Q2643" t="n">
        <v>100</v>
      </c>
      <c r="R2643" t="n">
        <v>0.1068</v>
      </c>
      <c r="S2643">
        <f>IMAGE("https://mitra.stanford.edu/kundaje/oak/projects/neuro-variants/variant_position/credible/roussos_2024/variant_figures/roussos_2024.childhood.GABA/rs35831310_count_position.png",4,220,900)</f>
        <v/>
      </c>
      <c r="T2643">
        <f>IMAGE("https://mitra.stanford.edu/kundaje/oak/projects/neuro-variants/variant_position/credible/roussos_2024/variant_figures/roussos_2024.childhood.GABA/rs35831310_profile_position.png",4,220,900)</f>
        <v/>
      </c>
    </row>
    <row r="2644">
      <c r="A2644" t="inlineStr">
        <is>
          <t>chr3</t>
        </is>
      </c>
      <c r="B2644" t="n">
        <v>62119521</v>
      </c>
      <c r="C2644" t="inlineStr">
        <is>
          <t>A</t>
        </is>
      </c>
      <c r="D2644" t="inlineStr">
        <is>
          <t>G</t>
        </is>
      </c>
      <c r="E2644" t="inlineStr">
        <is>
          <t>rs113467722</t>
        </is>
      </c>
      <c r="F2644" t="n">
        <v>0.02556377078</v>
      </c>
      <c r="G2644" t="n">
        <v>0.3463464313480399</v>
      </c>
      <c r="H2644" t="n">
        <v>0.009313141848208801</v>
      </c>
      <c r="I2644" t="n">
        <v>0.7181580777019874</v>
      </c>
      <c r="J2644" t="n">
        <v>0.1993853531863206</v>
      </c>
      <c r="K2644" t="n">
        <v>0.2153683447930834</v>
      </c>
      <c r="L2644" t="b">
        <v>0</v>
      </c>
      <c r="M2644" t="b">
        <v>0</v>
      </c>
      <c r="N2644" t="inlineStr">
        <is>
          <t>alt</t>
        </is>
      </c>
      <c r="O2644" t="n">
        <v>100</v>
      </c>
      <c r="P2644" t="n">
        <v>0.004578</v>
      </c>
      <c r="Q2644" t="n">
        <v>-70</v>
      </c>
      <c r="R2644" t="n">
        <v>0.02747</v>
      </c>
      <c r="S2644">
        <f>IMAGE("https://mitra.stanford.edu/kundaje/oak/projects/neuro-variants/variant_position/credible/roussos_2024/variant_figures/roussos_2024.childhood.GABA/rs113467722_count_position.png",4,220,900)</f>
        <v/>
      </c>
      <c r="T2644">
        <f>IMAGE("https://mitra.stanford.edu/kundaje/oak/projects/neuro-variants/variant_position/credible/roussos_2024/variant_figures/roussos_2024.childhood.GABA/rs113467722_profile_position.png",4,220,900)</f>
        <v/>
      </c>
    </row>
    <row r="2645">
      <c r="A2645" t="inlineStr">
        <is>
          <t>chr3</t>
        </is>
      </c>
      <c r="B2645" t="n">
        <v>62122990</v>
      </c>
      <c r="C2645" t="inlineStr">
        <is>
          <t>G</t>
        </is>
      </c>
      <c r="D2645" t="inlineStr">
        <is>
          <t>A</t>
        </is>
      </c>
      <c r="E2645" t="inlineStr">
        <is>
          <t>rs2366683</t>
        </is>
      </c>
      <c r="F2645" t="n">
        <v>-0.147439208</v>
      </c>
      <c r="G2645" t="n">
        <v>0.0108805016925287</v>
      </c>
      <c r="H2645" t="n">
        <v>0.0169108579875486</v>
      </c>
      <c r="I2645" t="n">
        <v>0.1449316417060127</v>
      </c>
      <c r="J2645" t="n">
        <v>0.1316192331050658</v>
      </c>
      <c r="K2645" t="n">
        <v>0.3021379801810939</v>
      </c>
      <c r="L2645" t="b">
        <v>1</v>
      </c>
      <c r="M2645" t="b">
        <v>0</v>
      </c>
      <c r="N2645" t="inlineStr">
        <is>
          <t>ref</t>
        </is>
      </c>
      <c r="O2645" t="n">
        <v>95</v>
      </c>
      <c r="P2645" t="n">
        <v>0.00185</v>
      </c>
      <c r="Q2645" t="n">
        <v>-25</v>
      </c>
      <c r="R2645" t="n">
        <v>0.0354</v>
      </c>
      <c r="S2645">
        <f>IMAGE("https://mitra.stanford.edu/kundaje/oak/projects/neuro-variants/variant_position/credible/roussos_2024/variant_figures/roussos_2024.childhood.GABA/rs2366683_count_position.png",4,220,900)</f>
        <v/>
      </c>
      <c r="T2645">
        <f>IMAGE("https://mitra.stanford.edu/kundaje/oak/projects/neuro-variants/variant_position/credible/roussos_2024/variant_figures/roussos_2024.childhood.GABA/rs2366683_profile_position.png",4,220,900)</f>
        <v/>
      </c>
    </row>
    <row r="2646">
      <c r="A2646" t="inlineStr">
        <is>
          <t>chr3</t>
        </is>
      </c>
      <c r="B2646" t="n">
        <v>62440565</v>
      </c>
      <c r="C2646" t="inlineStr">
        <is>
          <t>G</t>
        </is>
      </c>
      <c r="D2646" t="inlineStr">
        <is>
          <t>T</t>
        </is>
      </c>
      <c r="E2646" t="inlineStr">
        <is>
          <t>rs13081552</t>
        </is>
      </c>
      <c r="F2646" t="n">
        <v>0.0062747516599999</v>
      </c>
      <c r="G2646" t="n">
        <v>0.2487003565381848</v>
      </c>
      <c r="H2646" t="n">
        <v>0.0173075330686199</v>
      </c>
      <c r="I2646" t="n">
        <v>0.1364043797337069</v>
      </c>
      <c r="J2646" t="n">
        <v>0.0664949425142928</v>
      </c>
      <c r="K2646" t="n">
        <v>0.444589991160835</v>
      </c>
      <c r="L2646" t="b">
        <v>0</v>
      </c>
      <c r="M2646" t="b">
        <v>0</v>
      </c>
      <c r="N2646" t="inlineStr">
        <is>
          <t>alt</t>
        </is>
      </c>
      <c r="O2646" t="n">
        <v>100</v>
      </c>
      <c r="P2646" t="n">
        <v>0.008449999999999999</v>
      </c>
      <c r="Q2646" t="n">
        <v>65</v>
      </c>
      <c r="R2646" t="n">
        <v>0.12213</v>
      </c>
      <c r="S2646">
        <f>IMAGE("https://mitra.stanford.edu/kundaje/oak/projects/neuro-variants/variant_position/credible/roussos_2024/variant_figures/roussos_2024.childhood.GABA/rs13081552_count_position.png",4,220,900)</f>
        <v/>
      </c>
      <c r="T2646">
        <f>IMAGE("https://mitra.stanford.edu/kundaje/oak/projects/neuro-variants/variant_position/credible/roussos_2024/variant_figures/roussos_2024.childhood.GABA/rs13081552_profile_position.png",4,220,900)</f>
        <v/>
      </c>
    </row>
    <row r="2647">
      <c r="A2647" t="inlineStr">
        <is>
          <t>chr3</t>
        </is>
      </c>
      <c r="B2647" t="n">
        <v>62479364</v>
      </c>
      <c r="C2647" t="inlineStr">
        <is>
          <t>C</t>
        </is>
      </c>
      <c r="D2647" t="inlineStr">
        <is>
          <t>A</t>
        </is>
      </c>
      <c r="E2647" t="inlineStr">
        <is>
          <t>rs1452082</t>
        </is>
      </c>
      <c r="F2647" t="n">
        <v>-0.0547053683999999</v>
      </c>
      <c r="G2647" t="n">
        <v>0.1312077294679661</v>
      </c>
      <c r="H2647" t="n">
        <v>0.0131801531213383</v>
      </c>
      <c r="I2647" t="n">
        <v>0.3423487226996168</v>
      </c>
      <c r="J2647" t="n">
        <v>0.3772685388787669</v>
      </c>
      <c r="K2647" t="n">
        <v>0.095281744621381</v>
      </c>
      <c r="L2647" t="b">
        <v>0</v>
      </c>
      <c r="M2647" t="b">
        <v>0</v>
      </c>
      <c r="N2647" t="inlineStr">
        <is>
          <t>ref</t>
        </is>
      </c>
      <c r="O2647" t="n">
        <v>75</v>
      </c>
      <c r="P2647" t="n">
        <v>0.0309</v>
      </c>
      <c r="Q2647" t="n">
        <v>100</v>
      </c>
      <c r="R2647" t="n">
        <v>0.3403</v>
      </c>
      <c r="S2647">
        <f>IMAGE("https://mitra.stanford.edu/kundaje/oak/projects/neuro-variants/variant_position/credible/roussos_2024/variant_figures/roussos_2024.childhood.GABA/rs1452082_count_position.png",4,220,900)</f>
        <v/>
      </c>
      <c r="T2647">
        <f>IMAGE("https://mitra.stanford.edu/kundaje/oak/projects/neuro-variants/variant_position/credible/roussos_2024/variant_figures/roussos_2024.childhood.GABA/rs1452082_profile_position.png",4,220,900)</f>
        <v/>
      </c>
    </row>
    <row r="2648">
      <c r="A2648" t="inlineStr">
        <is>
          <t>chr3</t>
        </is>
      </c>
      <c r="B2648" t="n">
        <v>62574848</v>
      </c>
      <c r="C2648" t="inlineStr">
        <is>
          <t>T</t>
        </is>
      </c>
      <c r="D2648" t="inlineStr">
        <is>
          <t>C</t>
        </is>
      </c>
      <c r="E2648" t="inlineStr">
        <is>
          <t>rs6786550</t>
        </is>
      </c>
      <c r="F2648" t="n">
        <v>0.0141734236</v>
      </c>
      <c r="G2648" t="n">
        <v>0.5085842378793552</v>
      </c>
      <c r="H2648" t="n">
        <v>0.0115831409787121</v>
      </c>
      <c r="I2648" t="n">
        <v>0.4798394012338196</v>
      </c>
      <c r="J2648" t="n">
        <v>0.0204351741324788</v>
      </c>
      <c r="K2648" t="n">
        <v>0.642828281705209</v>
      </c>
      <c r="L2648" t="b">
        <v>0</v>
      </c>
      <c r="M2648" t="b">
        <v>0</v>
      </c>
      <c r="N2648" t="inlineStr">
        <is>
          <t>alt</t>
        </is>
      </c>
      <c r="O2648" t="n">
        <v>-30</v>
      </c>
      <c r="P2648" t="n">
        <v>0.001204</v>
      </c>
      <c r="Q2648" t="n">
        <v>-95</v>
      </c>
      <c r="R2648" t="n">
        <v>0.04193</v>
      </c>
      <c r="S2648">
        <f>IMAGE("https://mitra.stanford.edu/kundaje/oak/projects/neuro-variants/variant_position/credible/roussos_2024/variant_figures/roussos_2024.childhood.GABA/rs6786550_count_position.png",4,220,900)</f>
        <v/>
      </c>
      <c r="T2648">
        <f>IMAGE("https://mitra.stanford.edu/kundaje/oak/projects/neuro-variants/variant_position/credible/roussos_2024/variant_figures/roussos_2024.childhood.GABA/rs6786550_profile_position.png",4,220,900)</f>
        <v/>
      </c>
    </row>
    <row r="2649">
      <c r="A2649" t="inlineStr">
        <is>
          <t>chr3</t>
        </is>
      </c>
      <c r="B2649" t="n">
        <v>63811581</v>
      </c>
      <c r="C2649" t="inlineStr">
        <is>
          <t>A</t>
        </is>
      </c>
      <c r="D2649" t="inlineStr">
        <is>
          <t>C</t>
        </is>
      </c>
      <c r="E2649" t="inlineStr">
        <is>
          <t>rs72886387</t>
        </is>
      </c>
      <c r="F2649" t="n">
        <v>-0.0115481611399999</v>
      </c>
      <c r="G2649" t="n">
        <v>0.6052871988531576</v>
      </c>
      <c r="H2649" t="n">
        <v>0.0373425072666275</v>
      </c>
      <c r="I2649" t="n">
        <v>0.0049598576984058</v>
      </c>
      <c r="J2649" t="n">
        <v>0.0709189336348976</v>
      </c>
      <c r="K2649" t="n">
        <v>0.4289850908186343</v>
      </c>
      <c r="L2649" t="b">
        <v>1</v>
      </c>
      <c r="M2649" t="b">
        <v>1</v>
      </c>
      <c r="N2649" t="inlineStr">
        <is>
          <t>ref</t>
        </is>
      </c>
      <c r="O2649" t="n">
        <v>100</v>
      </c>
      <c r="P2649" t="n">
        <v>0.010315</v>
      </c>
      <c r="Q2649" t="n">
        <v>-40</v>
      </c>
      <c r="R2649" t="n">
        <v>0.0615</v>
      </c>
      <c r="S2649">
        <f>IMAGE("https://mitra.stanford.edu/kundaje/oak/projects/neuro-variants/variant_position/credible/roussos_2024/variant_figures/roussos_2024.childhood.GABA/rs72886387_count_position.png",4,220,900)</f>
        <v/>
      </c>
      <c r="T2649">
        <f>IMAGE("https://mitra.stanford.edu/kundaje/oak/projects/neuro-variants/variant_position/credible/roussos_2024/variant_figures/roussos_2024.childhood.GABA/rs72886387_profile_position.png",4,220,900)</f>
        <v/>
      </c>
    </row>
    <row r="2650">
      <c r="A2650" t="inlineStr">
        <is>
          <t>chr3</t>
        </is>
      </c>
      <c r="B2650" t="n">
        <v>63871194</v>
      </c>
      <c r="C2650" t="inlineStr">
        <is>
          <t>G</t>
        </is>
      </c>
      <c r="D2650" t="inlineStr">
        <is>
          <t>A</t>
        </is>
      </c>
      <c r="E2650" t="inlineStr">
        <is>
          <t>rs3774702</t>
        </is>
      </c>
      <c r="F2650" t="n">
        <v>-0.0318847492</v>
      </c>
      <c r="G2650" t="n">
        <v>0.2910637503260427</v>
      </c>
      <c r="H2650" t="n">
        <v>0.018689333123735</v>
      </c>
      <c r="I2650" t="n">
        <v>0.099546513631009</v>
      </c>
      <c r="J2650" t="n">
        <v>0.0400117275030889</v>
      </c>
      <c r="K2650" t="n">
        <v>0.5260301606564614</v>
      </c>
      <c r="L2650" t="b">
        <v>0</v>
      </c>
      <c r="M2650" t="b">
        <v>0</v>
      </c>
      <c r="N2650" t="inlineStr">
        <is>
          <t>ref</t>
        </is>
      </c>
      <c r="O2650" t="n">
        <v>10</v>
      </c>
      <c r="P2650" t="n">
        <v>0.001682</v>
      </c>
      <c r="Q2650" t="n">
        <v>-40</v>
      </c>
      <c r="R2650" t="n">
        <v>0.03687</v>
      </c>
      <c r="S2650">
        <f>IMAGE("https://mitra.stanford.edu/kundaje/oak/projects/neuro-variants/variant_position/credible/roussos_2024/variant_figures/roussos_2024.childhood.GABA/rs3774702_count_position.png",4,220,900)</f>
        <v/>
      </c>
      <c r="T2650">
        <f>IMAGE("https://mitra.stanford.edu/kundaje/oak/projects/neuro-variants/variant_position/credible/roussos_2024/variant_figures/roussos_2024.childhood.GABA/rs3774702_profile_position.png",4,220,900)</f>
        <v/>
      </c>
    </row>
    <row r="2651">
      <c r="A2651" t="inlineStr">
        <is>
          <t>chr3</t>
        </is>
      </c>
      <c r="B2651" t="n">
        <v>63966089</v>
      </c>
      <c r="C2651" t="inlineStr">
        <is>
          <t>C</t>
        </is>
      </c>
      <c r="D2651" t="inlineStr">
        <is>
          <t>T</t>
        </is>
      </c>
      <c r="E2651" t="inlineStr">
        <is>
          <t>rs3774720</t>
        </is>
      </c>
      <c r="F2651" t="n">
        <v>-0.1295566377999999</v>
      </c>
      <c r="G2651" t="n">
        <v>0.0164037412982325</v>
      </c>
      <c r="H2651" t="n">
        <v>0.0152968032874379</v>
      </c>
      <c r="I2651" t="n">
        <v>0.2105973041243504</v>
      </c>
      <c r="J2651" t="n">
        <v>0.1715639463047893</v>
      </c>
      <c r="K2651" t="n">
        <v>0.2437249868290895</v>
      </c>
      <c r="L2651" t="b">
        <v>1</v>
      </c>
      <c r="M2651" t="b">
        <v>0</v>
      </c>
      <c r="N2651" t="inlineStr">
        <is>
          <t>ref</t>
        </is>
      </c>
      <c r="O2651" t="n">
        <v>-100</v>
      </c>
      <c r="P2651" t="n">
        <v>0.00489</v>
      </c>
      <c r="Q2651" t="n">
        <v>-60</v>
      </c>
      <c r="R2651" t="n">
        <v>0.02869</v>
      </c>
      <c r="S2651">
        <f>IMAGE("https://mitra.stanford.edu/kundaje/oak/projects/neuro-variants/variant_position/credible/roussos_2024/variant_figures/roussos_2024.childhood.GABA/rs3774720_count_position.png",4,220,900)</f>
        <v/>
      </c>
      <c r="T2651">
        <f>IMAGE("https://mitra.stanford.edu/kundaje/oak/projects/neuro-variants/variant_position/credible/roussos_2024/variant_figures/roussos_2024.childhood.GABA/rs3774720_profile_position.png",4,220,900)</f>
        <v/>
      </c>
    </row>
    <row r="2652">
      <c r="A2652" t="inlineStr">
        <is>
          <t>chr3</t>
        </is>
      </c>
      <c r="B2652" t="n">
        <v>64027666</v>
      </c>
      <c r="C2652" t="inlineStr">
        <is>
          <t>G</t>
        </is>
      </c>
      <c r="D2652" t="inlineStr">
        <is>
          <t>A</t>
        </is>
      </c>
      <c r="E2652" t="inlineStr">
        <is>
          <t>rs35838</t>
        </is>
      </c>
      <c r="F2652" t="n">
        <v>-0.022407681</v>
      </c>
      <c r="G2652" t="n">
        <v>0.3968266427028644</v>
      </c>
      <c r="H2652" t="n">
        <v>0.008493911893110301</v>
      </c>
      <c r="I2652" t="n">
        <v>0.7979641087727162</v>
      </c>
      <c r="J2652" t="n">
        <v>0.2441865091830537</v>
      </c>
      <c r="K2652" t="n">
        <v>0.1742966904859229</v>
      </c>
      <c r="L2652" t="b">
        <v>0</v>
      </c>
      <c r="M2652" t="b">
        <v>0</v>
      </c>
      <c r="N2652" t="inlineStr">
        <is>
          <t>ref</t>
        </is>
      </c>
      <c r="O2652" t="n">
        <v>-100</v>
      </c>
      <c r="P2652" t="n">
        <v>0.00344</v>
      </c>
      <c r="Q2652" t="n">
        <v>75</v>
      </c>
      <c r="R2652" t="n">
        <v>0.1702</v>
      </c>
      <c r="S2652">
        <f>IMAGE("https://mitra.stanford.edu/kundaje/oak/projects/neuro-variants/variant_position/credible/roussos_2024/variant_figures/roussos_2024.childhood.GABA/rs35838_count_position.png",4,220,900)</f>
        <v/>
      </c>
      <c r="T2652">
        <f>IMAGE("https://mitra.stanford.edu/kundaje/oak/projects/neuro-variants/variant_position/credible/roussos_2024/variant_figures/roussos_2024.childhood.GABA/rs35838_profile_position.png",4,220,900)</f>
        <v/>
      </c>
    </row>
    <row r="2653">
      <c r="A2653" t="inlineStr">
        <is>
          <t>chr3</t>
        </is>
      </c>
      <c r="B2653" t="n">
        <v>64057955</v>
      </c>
      <c r="C2653" t="inlineStr">
        <is>
          <t>G</t>
        </is>
      </c>
      <c r="D2653" t="inlineStr">
        <is>
          <t>A</t>
        </is>
      </c>
      <c r="E2653" t="inlineStr">
        <is>
          <t>rs704375</t>
        </is>
      </c>
      <c r="F2653" t="n">
        <v>-0.0588118205999999</v>
      </c>
      <c r="G2653" t="n">
        <v>0.1035013257972361</v>
      </c>
      <c r="H2653" t="n">
        <v>0.0118346484060079</v>
      </c>
      <c r="I2653" t="n">
        <v>0.4531515596289314</v>
      </c>
      <c r="J2653" t="n">
        <v>0.06317459320223651</v>
      </c>
      <c r="K2653" t="n">
        <v>0.4678215977746763</v>
      </c>
      <c r="L2653" t="b">
        <v>0</v>
      </c>
      <c r="M2653" t="b">
        <v>0</v>
      </c>
      <c r="N2653" t="inlineStr">
        <is>
          <t>ref</t>
        </is>
      </c>
      <c r="O2653" t="n">
        <v>-85</v>
      </c>
      <c r="P2653" t="n">
        <v>0.001045</v>
      </c>
      <c r="Q2653" t="n">
        <v>70</v>
      </c>
      <c r="R2653" t="n">
        <v>0.00531</v>
      </c>
      <c r="S2653">
        <f>IMAGE("https://mitra.stanford.edu/kundaje/oak/projects/neuro-variants/variant_position/credible/roussos_2024/variant_figures/roussos_2024.childhood.GABA/rs704375_count_position.png",4,220,900)</f>
        <v/>
      </c>
      <c r="T2653">
        <f>IMAGE("https://mitra.stanford.edu/kundaje/oak/projects/neuro-variants/variant_position/credible/roussos_2024/variant_figures/roussos_2024.childhood.GABA/rs704375_profile_position.png",4,220,900)</f>
        <v/>
      </c>
    </row>
    <row r="2654">
      <c r="A2654" t="inlineStr">
        <is>
          <t>chr3</t>
        </is>
      </c>
      <c r="B2654" t="n">
        <v>64083760</v>
      </c>
      <c r="C2654" t="inlineStr">
        <is>
          <t>G</t>
        </is>
      </c>
      <c r="D2654" t="inlineStr">
        <is>
          <t>T</t>
        </is>
      </c>
      <c r="E2654" t="inlineStr">
        <is>
          <t>rs26936</t>
        </is>
      </c>
      <c r="F2654" t="n">
        <v>-0.0525807363999999</v>
      </c>
      <c r="G2654" t="n">
        <v>0.1272617138591325</v>
      </c>
      <c r="H2654" t="n">
        <v>0.0163149469322231</v>
      </c>
      <c r="I2654" t="n">
        <v>0.1668626514555434</v>
      </c>
      <c r="J2654" t="n">
        <v>0.1753910912860463</v>
      </c>
      <c r="K2654" t="n">
        <v>0.2419657001811609</v>
      </c>
      <c r="L2654" t="b">
        <v>0</v>
      </c>
      <c r="M2654" t="b">
        <v>0</v>
      </c>
      <c r="N2654" t="inlineStr">
        <is>
          <t>ref</t>
        </is>
      </c>
      <c r="O2654" t="n">
        <v>50</v>
      </c>
      <c r="P2654" t="n">
        <v>0.001785</v>
      </c>
      <c r="Q2654" t="n">
        <v>-85</v>
      </c>
      <c r="R2654" t="n">
        <v>0.02193</v>
      </c>
      <c r="S2654">
        <f>IMAGE("https://mitra.stanford.edu/kundaje/oak/projects/neuro-variants/variant_position/credible/roussos_2024/variant_figures/roussos_2024.childhood.GABA/rs26936_count_position.png",4,220,900)</f>
        <v/>
      </c>
      <c r="T2654">
        <f>IMAGE("https://mitra.stanford.edu/kundaje/oak/projects/neuro-variants/variant_position/credible/roussos_2024/variant_figures/roussos_2024.childhood.GABA/rs26936_profile_position.png",4,220,900)</f>
        <v/>
      </c>
    </row>
    <row r="2655">
      <c r="A2655" t="inlineStr">
        <is>
          <t>chr3</t>
        </is>
      </c>
      <c r="B2655" t="n">
        <v>71482316</v>
      </c>
      <c r="C2655" t="inlineStr">
        <is>
          <t>T</t>
        </is>
      </c>
      <c r="D2655" t="inlineStr">
        <is>
          <t>C</t>
        </is>
      </c>
      <c r="E2655" t="inlineStr">
        <is>
          <t>rs35483362</t>
        </is>
      </c>
      <c r="F2655" t="n">
        <v>0.03160164</v>
      </c>
      <c r="G2655" t="n">
        <v>0.2594746060875992</v>
      </c>
      <c r="H2655" t="n">
        <v>0.0209085659681401</v>
      </c>
      <c r="I2655" t="n">
        <v>0.0620134003951932</v>
      </c>
      <c r="J2655" t="n">
        <v>0.0675912546334107</v>
      </c>
      <c r="K2655" t="n">
        <v>0.4322723375236373</v>
      </c>
      <c r="L2655" t="b">
        <v>0</v>
      </c>
      <c r="M2655" t="b">
        <v>0</v>
      </c>
      <c r="N2655" t="inlineStr">
        <is>
          <t>alt</t>
        </is>
      </c>
      <c r="O2655" t="n">
        <v>0</v>
      </c>
      <c r="P2655" t="n">
        <v>0</v>
      </c>
      <c r="Q2655" t="n">
        <v>100</v>
      </c>
      <c r="R2655" t="n">
        <v>0.07166</v>
      </c>
      <c r="S2655">
        <f>IMAGE("https://mitra.stanford.edu/kundaje/oak/projects/neuro-variants/variant_position/credible/roussos_2024/variant_figures/roussos_2024.childhood.GABA/rs35483362_count_position.png",4,220,900)</f>
        <v/>
      </c>
      <c r="T2655">
        <f>IMAGE("https://mitra.stanford.edu/kundaje/oak/projects/neuro-variants/variant_position/credible/roussos_2024/variant_figures/roussos_2024.childhood.GABA/rs35483362_profile_position.png",4,220,900)</f>
        <v/>
      </c>
    </row>
    <row r="2656">
      <c r="A2656" t="inlineStr">
        <is>
          <t>chr3</t>
        </is>
      </c>
      <c r="B2656" t="n">
        <v>71482962</v>
      </c>
      <c r="C2656" t="inlineStr">
        <is>
          <t>T</t>
        </is>
      </c>
      <c r="D2656" t="inlineStr">
        <is>
          <t>C</t>
        </is>
      </c>
      <c r="E2656" t="inlineStr">
        <is>
          <t>rs6805189</t>
        </is>
      </c>
      <c r="F2656" t="n">
        <v>0.0449085991999999</v>
      </c>
      <c r="G2656" t="n">
        <v>0.1693157257081052</v>
      </c>
      <c r="H2656" t="n">
        <v>0.0109282949931047</v>
      </c>
      <c r="I2656" t="n">
        <v>0.5272243106894604</v>
      </c>
      <c r="J2656" t="n">
        <v>0.0689776130342819</v>
      </c>
      <c r="K2656" t="n">
        <v>0.4283354427153784</v>
      </c>
      <c r="L2656" t="b">
        <v>0</v>
      </c>
      <c r="M2656" t="b">
        <v>0</v>
      </c>
      <c r="N2656" t="inlineStr">
        <is>
          <t>alt</t>
        </is>
      </c>
      <c r="O2656" t="n">
        <v>-100</v>
      </c>
      <c r="P2656" t="n">
        <v>0.01643</v>
      </c>
      <c r="Q2656" t="n">
        <v>-90</v>
      </c>
      <c r="R2656" t="n">
        <v>0.01398</v>
      </c>
      <c r="S2656">
        <f>IMAGE("https://mitra.stanford.edu/kundaje/oak/projects/neuro-variants/variant_position/credible/roussos_2024/variant_figures/roussos_2024.childhood.GABA/rs6805189_count_position.png",4,220,900)</f>
        <v/>
      </c>
      <c r="T2656">
        <f>IMAGE("https://mitra.stanford.edu/kundaje/oak/projects/neuro-variants/variant_position/credible/roussos_2024/variant_figures/roussos_2024.childhood.GABA/rs6805189_profile_position.png",4,220,900)</f>
        <v/>
      </c>
    </row>
    <row r="2657">
      <c r="A2657" t="inlineStr">
        <is>
          <t>chr3</t>
        </is>
      </c>
      <c r="B2657" t="n">
        <v>71522194</v>
      </c>
      <c r="C2657" t="inlineStr">
        <is>
          <t>C</t>
        </is>
      </c>
      <c r="D2657" t="inlineStr">
        <is>
          <t>T</t>
        </is>
      </c>
      <c r="E2657" t="inlineStr">
        <is>
          <t>rs6803008</t>
        </is>
      </c>
      <c r="F2657" t="n">
        <v>0.0258424385799999</v>
      </c>
      <c r="G2657" t="n">
        <v>0.3513951159130811</v>
      </c>
      <c r="H2657" t="n">
        <v>0.0231294684562686</v>
      </c>
      <c r="I2657" t="n">
        <v>0.048663274517926</v>
      </c>
      <c r="J2657" t="n">
        <v>0.2406651169609013</v>
      </c>
      <c r="K2657" t="n">
        <v>0.1760295142389043</v>
      </c>
      <c r="L2657" t="b">
        <v>0</v>
      </c>
      <c r="M2657" t="b">
        <v>0</v>
      </c>
      <c r="N2657" t="inlineStr">
        <is>
          <t>alt</t>
        </is>
      </c>
      <c r="O2657" t="n">
        <v>-100</v>
      </c>
      <c r="P2657" t="n">
        <v>0.010574</v>
      </c>
      <c r="Q2657" t="n">
        <v>-100</v>
      </c>
      <c r="R2657" t="n">
        <v>0.12256</v>
      </c>
      <c r="S2657">
        <f>IMAGE("https://mitra.stanford.edu/kundaje/oak/projects/neuro-variants/variant_position/credible/roussos_2024/variant_figures/roussos_2024.childhood.GABA/rs6803008_count_position.png",4,220,900)</f>
        <v/>
      </c>
      <c r="T2657">
        <f>IMAGE("https://mitra.stanford.edu/kundaje/oak/projects/neuro-variants/variant_position/credible/roussos_2024/variant_figures/roussos_2024.childhood.GABA/rs6803008_profile_position.png",4,220,900)</f>
        <v/>
      </c>
    </row>
    <row r="2658">
      <c r="A2658" t="inlineStr">
        <is>
          <t>chr3</t>
        </is>
      </c>
      <c r="B2658" t="n">
        <v>71523984</v>
      </c>
      <c r="C2658" t="inlineStr">
        <is>
          <t>T</t>
        </is>
      </c>
      <c r="D2658" t="inlineStr">
        <is>
          <t>G</t>
        </is>
      </c>
      <c r="E2658" t="inlineStr">
        <is>
          <t>rs17008723</t>
        </is>
      </c>
      <c r="F2658" t="n">
        <v>-0.0664219182</v>
      </c>
      <c r="G2658" t="n">
        <v>0.09808193416903679</v>
      </c>
      <c r="H2658" t="n">
        <v>0.020363540918576</v>
      </c>
      <c r="I2658" t="n">
        <v>0.0721707006485631</v>
      </c>
      <c r="J2658" t="n">
        <v>0.0724853929760633</v>
      </c>
      <c r="K2658" t="n">
        <v>0.4142034668334248</v>
      </c>
      <c r="L2658" t="b">
        <v>0</v>
      </c>
      <c r="M2658" t="b">
        <v>0</v>
      </c>
      <c r="N2658" t="inlineStr">
        <is>
          <t>ref</t>
        </is>
      </c>
      <c r="O2658" t="n">
        <v>100</v>
      </c>
      <c r="P2658" t="n">
        <v>0.010635</v>
      </c>
      <c r="Q2658" t="n">
        <v>-90</v>
      </c>
      <c r="R2658" t="n">
        <v>0.03094</v>
      </c>
      <c r="S2658">
        <f>IMAGE("https://mitra.stanford.edu/kundaje/oak/projects/neuro-variants/variant_position/credible/roussos_2024/variant_figures/roussos_2024.childhood.GABA/rs17008723_count_position.png",4,220,900)</f>
        <v/>
      </c>
      <c r="T2658">
        <f>IMAGE("https://mitra.stanford.edu/kundaje/oak/projects/neuro-variants/variant_position/credible/roussos_2024/variant_figures/roussos_2024.childhood.GABA/rs17008723_profile_position.png",4,220,900)</f>
        <v/>
      </c>
    </row>
    <row r="2659">
      <c r="A2659" t="inlineStr">
        <is>
          <t>chr3</t>
        </is>
      </c>
      <c r="B2659" t="n">
        <v>80616803</v>
      </c>
      <c r="C2659" t="inlineStr">
        <is>
          <t>C</t>
        </is>
      </c>
      <c r="D2659" t="inlineStr">
        <is>
          <t>T</t>
        </is>
      </c>
      <c r="E2659" t="inlineStr">
        <is>
          <t>rs1437046</t>
        </is>
      </c>
      <c r="F2659" t="n">
        <v>-0.0271077300999999</v>
      </c>
      <c r="G2659" t="n">
        <v>0.3297646320163885</v>
      </c>
      <c r="H2659" t="n">
        <v>0.01352397832694</v>
      </c>
      <c r="I2659" t="n">
        <v>0.3083825371800331</v>
      </c>
      <c r="J2659" t="n">
        <v>0.1637274612050009</v>
      </c>
      <c r="K2659" t="n">
        <v>0.2562670533266521</v>
      </c>
      <c r="L2659" t="b">
        <v>0</v>
      </c>
      <c r="M2659" t="b">
        <v>0</v>
      </c>
      <c r="N2659" t="inlineStr">
        <is>
          <t>ref</t>
        </is>
      </c>
      <c r="O2659" t="n">
        <v>-100</v>
      </c>
      <c r="P2659" t="n">
        <v>0.01729</v>
      </c>
      <c r="Q2659" t="n">
        <v>70</v>
      </c>
      <c r="R2659" t="n">
        <v>0.08154</v>
      </c>
      <c r="S2659">
        <f>IMAGE("https://mitra.stanford.edu/kundaje/oak/projects/neuro-variants/variant_position/credible/roussos_2024/variant_figures/roussos_2024.childhood.GABA/rs1437046_count_position.png",4,220,900)</f>
        <v/>
      </c>
      <c r="T2659">
        <f>IMAGE("https://mitra.stanford.edu/kundaje/oak/projects/neuro-variants/variant_position/credible/roussos_2024/variant_figures/roussos_2024.childhood.GABA/rs1437046_profile_position.png",4,220,900)</f>
        <v/>
      </c>
    </row>
    <row r="2660">
      <c r="A2660" t="inlineStr">
        <is>
          <t>chr3</t>
        </is>
      </c>
      <c r="B2660" t="n">
        <v>80652442</v>
      </c>
      <c r="C2660" t="inlineStr">
        <is>
          <t>T</t>
        </is>
      </c>
      <c r="D2660" t="inlineStr">
        <is>
          <t>C</t>
        </is>
      </c>
      <c r="E2660" t="inlineStr">
        <is>
          <t>rs678585</t>
        </is>
      </c>
      <c r="F2660" t="n">
        <v>-0.0129321552</v>
      </c>
      <c r="G2660" t="n">
        <v>0.5570000251447852</v>
      </c>
      <c r="H2660" t="n">
        <v>0.0181505643630758</v>
      </c>
      <c r="I2660" t="n">
        <v>0.1122427021294516</v>
      </c>
      <c r="J2660" t="n">
        <v>0.0058543276580594</v>
      </c>
      <c r="K2660" t="n">
        <v>0.7981018586586606</v>
      </c>
      <c r="L2660" t="b">
        <v>0</v>
      </c>
      <c r="M2660" t="b">
        <v>0</v>
      </c>
      <c r="N2660" t="inlineStr">
        <is>
          <t>ref</t>
        </is>
      </c>
      <c r="O2660" t="n">
        <v>60</v>
      </c>
      <c r="P2660" t="n">
        <v>0.000964</v>
      </c>
      <c r="Q2660" t="n">
        <v>100</v>
      </c>
      <c r="R2660" t="n">
        <v>0.0978</v>
      </c>
      <c r="S2660">
        <f>IMAGE("https://mitra.stanford.edu/kundaje/oak/projects/neuro-variants/variant_position/credible/roussos_2024/variant_figures/roussos_2024.childhood.GABA/rs678585_count_position.png",4,220,900)</f>
        <v/>
      </c>
      <c r="T2660">
        <f>IMAGE("https://mitra.stanford.edu/kundaje/oak/projects/neuro-variants/variant_position/credible/roussos_2024/variant_figures/roussos_2024.childhood.GABA/rs678585_profile_position.png",4,220,900)</f>
        <v/>
      </c>
    </row>
    <row r="2661">
      <c r="A2661" t="inlineStr">
        <is>
          <t>chr3</t>
        </is>
      </c>
      <c r="B2661" t="n">
        <v>80655819</v>
      </c>
      <c r="C2661" t="inlineStr">
        <is>
          <t>C</t>
        </is>
      </c>
      <c r="D2661" t="inlineStr">
        <is>
          <t>T</t>
        </is>
      </c>
      <c r="E2661" t="inlineStr">
        <is>
          <t>rs500298</t>
        </is>
      </c>
      <c r="F2661" t="n">
        <v>0.00025207086</v>
      </c>
      <c r="G2661" t="n">
        <v>0.9204286189708401</v>
      </c>
      <c r="H2661" t="n">
        <v>0.015020956496617</v>
      </c>
      <c r="I2661" t="n">
        <v>0.2249516520055987</v>
      </c>
      <c r="J2661" t="n">
        <v>0.0637819103264852</v>
      </c>
      <c r="K2661" t="n">
        <v>0.445163170125643</v>
      </c>
      <c r="L2661" t="b">
        <v>0</v>
      </c>
      <c r="M2661" t="b">
        <v>0</v>
      </c>
      <c r="N2661" t="inlineStr">
        <is>
          <t>alt</t>
        </is>
      </c>
      <c r="O2661" t="n">
        <v>-95</v>
      </c>
      <c r="P2661" t="n">
        <v>0.01244</v>
      </c>
      <c r="Q2661" t="n">
        <v>-95</v>
      </c>
      <c r="R2661" t="n">
        <v>0.02072</v>
      </c>
      <c r="S2661">
        <f>IMAGE("https://mitra.stanford.edu/kundaje/oak/projects/neuro-variants/variant_position/credible/roussos_2024/variant_figures/roussos_2024.childhood.GABA/rs500298_count_position.png",4,220,900)</f>
        <v/>
      </c>
      <c r="T2661">
        <f>IMAGE("https://mitra.stanford.edu/kundaje/oak/projects/neuro-variants/variant_position/credible/roussos_2024/variant_figures/roussos_2024.childhood.GABA/rs500298_profile_position.png",4,220,900)</f>
        <v/>
      </c>
    </row>
    <row r="2662">
      <c r="A2662" t="inlineStr">
        <is>
          <t>chr3</t>
        </is>
      </c>
      <c r="B2662" t="n">
        <v>80664787</v>
      </c>
      <c r="C2662" t="inlineStr">
        <is>
          <t>A</t>
        </is>
      </c>
      <c r="D2662" t="inlineStr">
        <is>
          <t>C</t>
        </is>
      </c>
      <c r="E2662" t="inlineStr">
        <is>
          <t>rs658551</t>
        </is>
      </c>
      <c r="F2662" t="n">
        <v>-0.00207392024</v>
      </c>
      <c r="G2662" t="n">
        <v>0.8160097470193313</v>
      </c>
      <c r="H2662" t="n">
        <v>0.0231019647556936</v>
      </c>
      <c r="I2662" t="n">
        <v>0.0407469144002728</v>
      </c>
      <c r="J2662" t="n">
        <v>0.0054030282088332</v>
      </c>
      <c r="K2662" t="n">
        <v>0.8118489394783355</v>
      </c>
      <c r="L2662" t="b">
        <v>0</v>
      </c>
      <c r="M2662" t="b">
        <v>0</v>
      </c>
      <c r="N2662" t="inlineStr">
        <is>
          <t>ref</t>
        </is>
      </c>
      <c r="O2662" t="n">
        <v>-5</v>
      </c>
      <c r="P2662" t="n">
        <v>0.0005035</v>
      </c>
      <c r="Q2662" t="n">
        <v>10</v>
      </c>
      <c r="R2662" t="n">
        <v>0.00598</v>
      </c>
      <c r="S2662">
        <f>IMAGE("https://mitra.stanford.edu/kundaje/oak/projects/neuro-variants/variant_position/credible/roussos_2024/variant_figures/roussos_2024.childhood.GABA/rs658551_count_position.png",4,220,900)</f>
        <v/>
      </c>
      <c r="T2662">
        <f>IMAGE("https://mitra.stanford.edu/kundaje/oak/projects/neuro-variants/variant_position/credible/roussos_2024/variant_figures/roussos_2024.childhood.GABA/rs658551_profile_position.png",4,220,900)</f>
        <v/>
      </c>
    </row>
    <row r="2663">
      <c r="A2663" t="inlineStr">
        <is>
          <t>chr3</t>
        </is>
      </c>
      <c r="B2663" t="n">
        <v>80677674</v>
      </c>
      <c r="C2663" t="inlineStr">
        <is>
          <t>C</t>
        </is>
      </c>
      <c r="D2663" t="inlineStr">
        <is>
          <t>A</t>
        </is>
      </c>
      <c r="E2663" t="inlineStr">
        <is>
          <t>rs627529</t>
        </is>
      </c>
      <c r="F2663" t="n">
        <v>0.0082905603999999</v>
      </c>
      <c r="G2663" t="n">
        <v>0.6648926933109485</v>
      </c>
      <c r="H2663" t="n">
        <v>0.0179390994489747</v>
      </c>
      <c r="I2663" t="n">
        <v>0.1164539582051469</v>
      </c>
      <c r="J2663" t="n">
        <v>0.3902305710875164</v>
      </c>
      <c r="K2663" t="n">
        <v>0.08993086336578079</v>
      </c>
      <c r="L2663" t="b">
        <v>0</v>
      </c>
      <c r="M2663" t="b">
        <v>0</v>
      </c>
      <c r="N2663" t="inlineStr">
        <is>
          <t>alt</t>
        </is>
      </c>
      <c r="O2663" t="n">
        <v>100</v>
      </c>
      <c r="P2663" t="n">
        <v>0.02821</v>
      </c>
      <c r="Q2663" t="n">
        <v>100</v>
      </c>
      <c r="R2663" t="n">
        <v>0.2178</v>
      </c>
      <c r="S2663">
        <f>IMAGE("https://mitra.stanford.edu/kundaje/oak/projects/neuro-variants/variant_position/credible/roussos_2024/variant_figures/roussos_2024.childhood.GABA/rs627529_count_position.png",4,220,900)</f>
        <v/>
      </c>
      <c r="T2663">
        <f>IMAGE("https://mitra.stanford.edu/kundaje/oak/projects/neuro-variants/variant_position/credible/roussos_2024/variant_figures/roussos_2024.childhood.GABA/rs627529_profile_position.png",4,220,900)</f>
        <v/>
      </c>
    </row>
    <row r="2664">
      <c r="A2664" t="inlineStr">
        <is>
          <t>chr3</t>
        </is>
      </c>
      <c r="B2664" t="n">
        <v>80686336</v>
      </c>
      <c r="C2664" t="inlineStr">
        <is>
          <t>C</t>
        </is>
      </c>
      <c r="D2664" t="inlineStr">
        <is>
          <t>T</t>
        </is>
      </c>
      <c r="E2664" t="inlineStr">
        <is>
          <t>rs7617921</t>
        </is>
      </c>
      <c r="F2664" t="n">
        <v>-0.0521153956</v>
      </c>
      <c r="G2664" t="n">
        <v>0.141250524889539</v>
      </c>
      <c r="H2664" t="n">
        <v>0.0202782247140084</v>
      </c>
      <c r="I2664" t="n">
        <v>0.07470847956133</v>
      </c>
      <c r="J2664" t="n">
        <v>0.2028858034386714</v>
      </c>
      <c r="K2664" t="n">
        <v>0.2073347079099314</v>
      </c>
      <c r="L2664" t="b">
        <v>0</v>
      </c>
      <c r="M2664" t="b">
        <v>0</v>
      </c>
      <c r="N2664" t="inlineStr">
        <is>
          <t>ref</t>
        </is>
      </c>
      <c r="O2664" t="n">
        <v>0</v>
      </c>
      <c r="P2664" t="n">
        <v>0</v>
      </c>
      <c r="Q2664" t="n">
        <v>15</v>
      </c>
      <c r="R2664" t="n">
        <v>0.02148</v>
      </c>
      <c r="S2664">
        <f>IMAGE("https://mitra.stanford.edu/kundaje/oak/projects/neuro-variants/variant_position/credible/roussos_2024/variant_figures/roussos_2024.childhood.GABA/rs7617921_count_position.png",4,220,900)</f>
        <v/>
      </c>
      <c r="T2664">
        <f>IMAGE("https://mitra.stanford.edu/kundaje/oak/projects/neuro-variants/variant_position/credible/roussos_2024/variant_figures/roussos_2024.childhood.GABA/rs7617921_profile_position.png",4,220,900)</f>
        <v/>
      </c>
    </row>
    <row r="2665">
      <c r="A2665" t="inlineStr">
        <is>
          <t>chr3</t>
        </is>
      </c>
      <c r="B2665" t="n">
        <v>80695967</v>
      </c>
      <c r="C2665" t="inlineStr">
        <is>
          <t>A</t>
        </is>
      </c>
      <c r="D2665" t="inlineStr">
        <is>
          <t>T</t>
        </is>
      </c>
      <c r="E2665" t="inlineStr">
        <is>
          <t>rs613707</t>
        </is>
      </c>
      <c r="F2665" t="n">
        <v>0.0217284714</v>
      </c>
      <c r="G2665" t="n">
        <v>0.3852241003487152</v>
      </c>
      <c r="H2665" t="n">
        <v>0.0084120789147384</v>
      </c>
      <c r="I2665" t="n">
        <v>0.8176973137763878</v>
      </c>
      <c r="J2665" t="n">
        <v>0.0133871541957236</v>
      </c>
      <c r="K2665" t="n">
        <v>0.7053712729293965</v>
      </c>
      <c r="L2665" t="b">
        <v>0</v>
      </c>
      <c r="M2665" t="b">
        <v>0</v>
      </c>
      <c r="N2665" t="inlineStr">
        <is>
          <t>alt</t>
        </is>
      </c>
      <c r="O2665" t="n">
        <v>55</v>
      </c>
      <c r="P2665" t="n">
        <v>0.00447</v>
      </c>
      <c r="Q2665" t="n">
        <v>-5</v>
      </c>
      <c r="R2665" t="n">
        <v>0.003906</v>
      </c>
      <c r="S2665">
        <f>IMAGE("https://mitra.stanford.edu/kundaje/oak/projects/neuro-variants/variant_position/credible/roussos_2024/variant_figures/roussos_2024.childhood.GABA/rs613707_count_position.png",4,220,900)</f>
        <v/>
      </c>
      <c r="T2665">
        <f>IMAGE("https://mitra.stanford.edu/kundaje/oak/projects/neuro-variants/variant_position/credible/roussos_2024/variant_figures/roussos_2024.childhood.GABA/rs613707_profile_position.png",4,220,900)</f>
        <v/>
      </c>
    </row>
    <row r="2666">
      <c r="A2666" t="inlineStr">
        <is>
          <t>chr3</t>
        </is>
      </c>
      <c r="B2666" t="n">
        <v>80732296</v>
      </c>
      <c r="C2666" t="inlineStr">
        <is>
          <t>C</t>
        </is>
      </c>
      <c r="D2666" t="inlineStr">
        <is>
          <t>G</t>
        </is>
      </c>
      <c r="E2666" t="inlineStr">
        <is>
          <t>rs9832758</t>
        </is>
      </c>
      <c r="F2666" t="n">
        <v>-0.09846740499999999</v>
      </c>
      <c r="G2666" t="n">
        <v>0.0345347203651223</v>
      </c>
      <c r="H2666" t="n">
        <v>0.0226103440222575</v>
      </c>
      <c r="I2666" t="n">
        <v>0.0481646246305299</v>
      </c>
      <c r="J2666" t="n">
        <v>0.0054867960880399</v>
      </c>
      <c r="K2666" t="n">
        <v>0.8051147082366966</v>
      </c>
      <c r="L2666" t="b">
        <v>0</v>
      </c>
      <c r="M2666" t="b">
        <v>0</v>
      </c>
      <c r="N2666" t="inlineStr">
        <is>
          <t>ref</t>
        </is>
      </c>
      <c r="O2666" t="n">
        <v>100</v>
      </c>
      <c r="P2666" t="n">
        <v>0.01797</v>
      </c>
      <c r="Q2666" t="n">
        <v>15</v>
      </c>
      <c r="R2666" t="n">
        <v>0.01294</v>
      </c>
      <c r="S2666">
        <f>IMAGE("https://mitra.stanford.edu/kundaje/oak/projects/neuro-variants/variant_position/credible/roussos_2024/variant_figures/roussos_2024.childhood.GABA/rs9832758_count_position.png",4,220,900)</f>
        <v/>
      </c>
      <c r="T2666">
        <f>IMAGE("https://mitra.stanford.edu/kundaje/oak/projects/neuro-variants/variant_position/credible/roussos_2024/variant_figures/roussos_2024.childhood.GABA/rs9832758_profile_position.png",4,220,900)</f>
        <v/>
      </c>
    </row>
    <row r="2667">
      <c r="A2667" t="inlineStr">
        <is>
          <t>chr3</t>
        </is>
      </c>
      <c r="B2667" t="n">
        <v>80772172</v>
      </c>
      <c r="C2667" t="inlineStr">
        <is>
          <t>C</t>
        </is>
      </c>
      <c r="D2667" t="inlineStr">
        <is>
          <t>T</t>
        </is>
      </c>
      <c r="E2667" t="inlineStr">
        <is>
          <t>rs7633748</t>
        </is>
      </c>
      <c r="F2667" t="n">
        <v>0.0211868512</v>
      </c>
      <c r="G2667" t="n">
        <v>0.3858139763678618</v>
      </c>
      <c r="H2667" t="n">
        <v>0.0155786594414261</v>
      </c>
      <c r="I2667" t="n">
        <v>0.1970318733595646</v>
      </c>
      <c r="J2667" t="n">
        <v>0.0025266486565726</v>
      </c>
      <c r="K2667" t="n">
        <v>0.8684294437873451</v>
      </c>
      <c r="L2667" t="b">
        <v>0</v>
      </c>
      <c r="M2667" t="b">
        <v>0</v>
      </c>
      <c r="N2667" t="inlineStr">
        <is>
          <t>alt</t>
        </is>
      </c>
      <c r="O2667" t="n">
        <v>-10</v>
      </c>
      <c r="P2667" t="n">
        <v>0.0006914</v>
      </c>
      <c r="Q2667" t="n">
        <v>100</v>
      </c>
      <c r="R2667" t="n">
        <v>0.03516</v>
      </c>
      <c r="S2667">
        <f>IMAGE("https://mitra.stanford.edu/kundaje/oak/projects/neuro-variants/variant_position/credible/roussos_2024/variant_figures/roussos_2024.childhood.GABA/rs7633748_count_position.png",4,220,900)</f>
        <v/>
      </c>
      <c r="T2667">
        <f>IMAGE("https://mitra.stanford.edu/kundaje/oak/projects/neuro-variants/variant_position/credible/roussos_2024/variant_figures/roussos_2024.childhood.GABA/rs7633748_profile_position.png",4,220,900)</f>
        <v/>
      </c>
    </row>
    <row r="2668">
      <c r="A2668" t="inlineStr">
        <is>
          <t>chr3</t>
        </is>
      </c>
      <c r="B2668" t="n">
        <v>80789484</v>
      </c>
      <c r="C2668" t="inlineStr">
        <is>
          <t>C</t>
        </is>
      </c>
      <c r="D2668" t="inlineStr">
        <is>
          <t>T</t>
        </is>
      </c>
      <c r="E2668" t="inlineStr">
        <is>
          <t>rs9865863</t>
        </is>
      </c>
      <c r="F2668" t="n">
        <v>0.00599698228</v>
      </c>
      <c r="G2668" t="n">
        <v>0.6971315789845046</v>
      </c>
      <c r="H2668" t="n">
        <v>0.0070720427285222</v>
      </c>
      <c r="I2668" t="n">
        <v>0.9424955051370748</v>
      </c>
      <c r="J2668" t="n">
        <v>0.0041580281041234</v>
      </c>
      <c r="K2668" t="n">
        <v>0.8309126553903925</v>
      </c>
      <c r="L2668" t="b">
        <v>0</v>
      </c>
      <c r="M2668" t="b">
        <v>0</v>
      </c>
      <c r="N2668" t="inlineStr">
        <is>
          <t>alt</t>
        </is>
      </c>
      <c r="O2668" t="n">
        <v>-60</v>
      </c>
      <c r="P2668" t="n">
        <v>0.003706</v>
      </c>
      <c r="Q2668" t="n">
        <v>40</v>
      </c>
      <c r="R2668" t="n">
        <v>0.01155</v>
      </c>
      <c r="S2668">
        <f>IMAGE("https://mitra.stanford.edu/kundaje/oak/projects/neuro-variants/variant_position/credible/roussos_2024/variant_figures/roussos_2024.childhood.GABA/rs9865863_count_position.png",4,220,900)</f>
        <v/>
      </c>
      <c r="T2668">
        <f>IMAGE("https://mitra.stanford.edu/kundaje/oak/projects/neuro-variants/variant_position/credible/roussos_2024/variant_figures/roussos_2024.childhood.GABA/rs9865863_profile_position.png",4,220,900)</f>
        <v/>
      </c>
    </row>
    <row r="2669">
      <c r="A2669" t="inlineStr">
        <is>
          <t>chr3</t>
        </is>
      </c>
      <c r="B2669" t="n">
        <v>80793900</v>
      </c>
      <c r="C2669" t="inlineStr">
        <is>
          <t>C</t>
        </is>
      </c>
      <c r="D2669" t="inlineStr">
        <is>
          <t>G</t>
        </is>
      </c>
      <c r="E2669" t="inlineStr">
        <is>
          <t>rs9812564</t>
        </is>
      </c>
      <c r="F2669" t="n">
        <v>0.36365238</v>
      </c>
      <c r="G2669" t="n">
        <v>0.0007728084080048</v>
      </c>
      <c r="H2669" t="n">
        <v>0.0512812509114979</v>
      </c>
      <c r="I2669" t="n">
        <v>0.0017746047267503</v>
      </c>
      <c r="J2669" t="n">
        <v>0.0255136018093861</v>
      </c>
      <c r="K2669" t="n">
        <v>0.6065817437319297</v>
      </c>
      <c r="L2669" t="b">
        <v>1</v>
      </c>
      <c r="M2669" t="b">
        <v>1</v>
      </c>
      <c r="N2669" t="inlineStr">
        <is>
          <t>alt</t>
        </is>
      </c>
      <c r="O2669" t="n">
        <v>40</v>
      </c>
      <c r="P2669" t="n">
        <v>0.001175</v>
      </c>
      <c r="Q2669" t="n">
        <v>30</v>
      </c>
      <c r="R2669" t="n">
        <v>0.0083</v>
      </c>
      <c r="S2669">
        <f>IMAGE("https://mitra.stanford.edu/kundaje/oak/projects/neuro-variants/variant_position/credible/roussos_2024/variant_figures/roussos_2024.childhood.GABA/rs9812564_count_position.png",4,220,900)</f>
        <v/>
      </c>
      <c r="T2669">
        <f>IMAGE("https://mitra.stanford.edu/kundaje/oak/projects/neuro-variants/variant_position/credible/roussos_2024/variant_figures/roussos_2024.childhood.GABA/rs9812564_profile_position.png",4,220,900)</f>
        <v/>
      </c>
    </row>
    <row r="2670">
      <c r="A2670" t="inlineStr">
        <is>
          <t>chr3</t>
        </is>
      </c>
      <c r="B2670" t="n">
        <v>80815717</v>
      </c>
      <c r="C2670" t="inlineStr">
        <is>
          <t>A</t>
        </is>
      </c>
      <c r="D2670" t="inlineStr">
        <is>
          <t>C</t>
        </is>
      </c>
      <c r="E2670" t="inlineStr">
        <is>
          <t>rs78929026</t>
        </is>
      </c>
      <c r="F2670" t="n">
        <v>-0.0005799708199999</v>
      </c>
      <c r="G2670" t="n">
        <v>0.7967959464549933</v>
      </c>
      <c r="H2670" t="n">
        <v>0.0174270029383931</v>
      </c>
      <c r="I2670" t="n">
        <v>0.1321544028597908</v>
      </c>
      <c r="J2670" t="n">
        <v>0.0006732843291239</v>
      </c>
      <c r="K2670" t="n">
        <v>0.925329877839014</v>
      </c>
      <c r="L2670" t="b">
        <v>0</v>
      </c>
      <c r="M2670" t="b">
        <v>0</v>
      </c>
      <c r="N2670" t="inlineStr">
        <is>
          <t>ref</t>
        </is>
      </c>
      <c r="O2670" t="n">
        <v>80</v>
      </c>
      <c r="P2670" t="n">
        <v>0.005554</v>
      </c>
      <c r="Q2670" t="n">
        <v>-35</v>
      </c>
      <c r="R2670" t="n">
        <v>0.01514</v>
      </c>
      <c r="S2670">
        <f>IMAGE("https://mitra.stanford.edu/kundaje/oak/projects/neuro-variants/variant_position/credible/roussos_2024/variant_figures/roussos_2024.childhood.GABA/rs78929026_count_position.png",4,220,900)</f>
        <v/>
      </c>
      <c r="T2670">
        <f>IMAGE("https://mitra.stanford.edu/kundaje/oak/projects/neuro-variants/variant_position/credible/roussos_2024/variant_figures/roussos_2024.childhood.GABA/rs78929026_profile_position.png",4,220,900)</f>
        <v/>
      </c>
    </row>
    <row r="2671">
      <c r="A2671" t="inlineStr">
        <is>
          <t>chr3</t>
        </is>
      </c>
      <c r="B2671" t="n">
        <v>80864077</v>
      </c>
      <c r="C2671" t="inlineStr">
        <is>
          <t>T</t>
        </is>
      </c>
      <c r="D2671" t="inlineStr">
        <is>
          <t>G</t>
        </is>
      </c>
      <c r="E2671" t="inlineStr">
        <is>
          <t>rs9831201</t>
        </is>
      </c>
      <c r="F2671" t="n">
        <v>-0.0615103568</v>
      </c>
      <c r="G2671" t="n">
        <v>0.115467858398079</v>
      </c>
      <c r="H2671" t="n">
        <v>0.0209476135619032</v>
      </c>
      <c r="I2671" t="n">
        <v>0.0616073003838832</v>
      </c>
      <c r="J2671" t="n">
        <v>0.0013790287114405</v>
      </c>
      <c r="K2671" t="n">
        <v>0.9195368392492324</v>
      </c>
      <c r="L2671" t="b">
        <v>0</v>
      </c>
      <c r="M2671" t="b">
        <v>0</v>
      </c>
      <c r="N2671" t="inlineStr">
        <is>
          <t>ref</t>
        </is>
      </c>
      <c r="O2671" t="n">
        <v>95</v>
      </c>
      <c r="P2671" t="n">
        <v>0.006065</v>
      </c>
      <c r="Q2671" t="n">
        <v>-60</v>
      </c>
      <c r="R2671" t="n">
        <v>0.03217</v>
      </c>
      <c r="S2671">
        <f>IMAGE("https://mitra.stanford.edu/kundaje/oak/projects/neuro-variants/variant_position/credible/roussos_2024/variant_figures/roussos_2024.childhood.GABA/rs9831201_count_position.png",4,220,900)</f>
        <v/>
      </c>
      <c r="T2671">
        <f>IMAGE("https://mitra.stanford.edu/kundaje/oak/projects/neuro-variants/variant_position/credible/roussos_2024/variant_figures/roussos_2024.childhood.GABA/rs9831201_profile_position.png",4,220,900)</f>
        <v/>
      </c>
    </row>
    <row r="2672">
      <c r="A2672" t="inlineStr">
        <is>
          <t>chr3</t>
        </is>
      </c>
      <c r="B2672" t="n">
        <v>80930843</v>
      </c>
      <c r="C2672" t="inlineStr">
        <is>
          <t>T</t>
        </is>
      </c>
      <c r="D2672" t="inlineStr">
        <is>
          <t>C</t>
        </is>
      </c>
      <c r="E2672" t="inlineStr">
        <is>
          <t>rs9839468</t>
        </is>
      </c>
      <c r="F2672" t="n">
        <v>0.0174280088</v>
      </c>
      <c r="G2672" t="n">
        <v>0.4756422324177114</v>
      </c>
      <c r="H2672" t="n">
        <v>0.0394164751214718</v>
      </c>
      <c r="I2672" t="n">
        <v>0.0040770230858155</v>
      </c>
      <c r="J2672" t="n">
        <v>0.0018439404410378</v>
      </c>
      <c r="K2672" t="n">
        <v>0.8863430998507204</v>
      </c>
      <c r="L2672" t="b">
        <v>0</v>
      </c>
      <c r="M2672" t="b">
        <v>0</v>
      </c>
      <c r="N2672" t="inlineStr">
        <is>
          <t>alt</t>
        </is>
      </c>
      <c r="O2672" t="n">
        <v>60</v>
      </c>
      <c r="P2672" t="n">
        <v>0.003448</v>
      </c>
      <c r="Q2672" t="n">
        <v>75</v>
      </c>
      <c r="R2672" t="n">
        <v>0.11017</v>
      </c>
      <c r="S2672">
        <f>IMAGE("https://mitra.stanford.edu/kundaje/oak/projects/neuro-variants/variant_position/credible/roussos_2024/variant_figures/roussos_2024.childhood.GABA/rs9839468_count_position.png",4,220,900)</f>
        <v/>
      </c>
      <c r="T2672">
        <f>IMAGE("https://mitra.stanford.edu/kundaje/oak/projects/neuro-variants/variant_position/credible/roussos_2024/variant_figures/roussos_2024.childhood.GABA/rs9839468_profile_position.png",4,220,900)</f>
        <v/>
      </c>
    </row>
    <row r="2673">
      <c r="A2673" t="inlineStr">
        <is>
          <t>chr3</t>
        </is>
      </c>
      <c r="B2673" t="n">
        <v>80956286</v>
      </c>
      <c r="C2673" t="inlineStr">
        <is>
          <t>G</t>
        </is>
      </c>
      <c r="D2673" t="inlineStr">
        <is>
          <t>A</t>
        </is>
      </c>
      <c r="E2673" t="inlineStr">
        <is>
          <t>rs2679046</t>
        </is>
      </c>
      <c r="F2673" t="n">
        <v>-0.031474681</v>
      </c>
      <c r="G2673" t="n">
        <v>0.2795457284747404</v>
      </c>
      <c r="H2673" t="n">
        <v>0.0150366640399841</v>
      </c>
      <c r="I2673" t="n">
        <v>0.2241230238018581</v>
      </c>
      <c r="J2673" t="n">
        <v>0.2562951561223848</v>
      </c>
      <c r="K2673" t="n">
        <v>0.1621019519036023</v>
      </c>
      <c r="L2673" t="b">
        <v>0</v>
      </c>
      <c r="M2673" t="b">
        <v>0</v>
      </c>
      <c r="N2673" t="inlineStr">
        <is>
          <t>ref</t>
        </is>
      </c>
      <c r="O2673" t="n">
        <v>-100</v>
      </c>
      <c r="P2673" t="n">
        <v>0.02669</v>
      </c>
      <c r="Q2673" t="n">
        <v>-100</v>
      </c>
      <c r="R2673" t="n">
        <v>0.2207</v>
      </c>
      <c r="S2673">
        <f>IMAGE("https://mitra.stanford.edu/kundaje/oak/projects/neuro-variants/variant_position/credible/roussos_2024/variant_figures/roussos_2024.childhood.GABA/rs2679046_count_position.png",4,220,900)</f>
        <v/>
      </c>
      <c r="T2673">
        <f>IMAGE("https://mitra.stanford.edu/kundaje/oak/projects/neuro-variants/variant_position/credible/roussos_2024/variant_figures/roussos_2024.childhood.GABA/rs2679046_profile_position.png",4,220,900)</f>
        <v/>
      </c>
    </row>
    <row r="2674">
      <c r="A2674" t="inlineStr">
        <is>
          <t>chr3</t>
        </is>
      </c>
      <c r="B2674" t="n">
        <v>80957854</v>
      </c>
      <c r="C2674" t="inlineStr">
        <is>
          <t>T</t>
        </is>
      </c>
      <c r="D2674" t="inlineStr">
        <is>
          <t>A</t>
        </is>
      </c>
      <c r="E2674" t="inlineStr">
        <is>
          <t>rs2679042</t>
        </is>
      </c>
      <c r="F2674" t="n">
        <v>0.0092520936199999</v>
      </c>
      <c r="G2674" t="n">
        <v>0.4412158642163493</v>
      </c>
      <c r="H2674" t="n">
        <v>0.0111143976633212</v>
      </c>
      <c r="I2674" t="n">
        <v>0.5164723812357387</v>
      </c>
      <c r="J2674" t="n">
        <v>0.07668006952733961</v>
      </c>
      <c r="K2674" t="n">
        <v>0.403469221646467</v>
      </c>
      <c r="L2674" t="b">
        <v>0</v>
      </c>
      <c r="M2674" t="b">
        <v>0</v>
      </c>
      <c r="N2674" t="inlineStr">
        <is>
          <t>alt</t>
        </is>
      </c>
      <c r="O2674" t="n">
        <v>-45</v>
      </c>
      <c r="P2674" t="n">
        <v>0.005043</v>
      </c>
      <c r="Q2674" t="n">
        <v>-20</v>
      </c>
      <c r="R2674" t="n">
        <v>0.04712</v>
      </c>
      <c r="S2674">
        <f>IMAGE("https://mitra.stanford.edu/kundaje/oak/projects/neuro-variants/variant_position/credible/roussos_2024/variant_figures/roussos_2024.childhood.GABA/rs2679042_count_position.png",4,220,900)</f>
        <v/>
      </c>
      <c r="T2674">
        <f>IMAGE("https://mitra.stanford.edu/kundaje/oak/projects/neuro-variants/variant_position/credible/roussos_2024/variant_figures/roussos_2024.childhood.GABA/rs2679042_profile_position.png",4,220,900)</f>
        <v/>
      </c>
    </row>
    <row r="2675">
      <c r="A2675" t="inlineStr">
        <is>
          <t>chr3</t>
        </is>
      </c>
      <c r="B2675" t="n">
        <v>80987800</v>
      </c>
      <c r="C2675" t="inlineStr">
        <is>
          <t>C</t>
        </is>
      </c>
      <c r="D2675" t="inlineStr">
        <is>
          <t>A</t>
        </is>
      </c>
      <c r="E2675" t="inlineStr">
        <is>
          <t>rs2372667</t>
        </is>
      </c>
      <c r="F2675" t="n">
        <v>0.00989809514</v>
      </c>
      <c r="G2675" t="n">
        <v>0.5997776899477201</v>
      </c>
      <c r="H2675" t="n">
        <v>0.0262725920994823</v>
      </c>
      <c r="I2675" t="n">
        <v>0.0230447393786492</v>
      </c>
      <c r="J2675" t="n">
        <v>0.0028638143703796</v>
      </c>
      <c r="K2675" t="n">
        <v>0.8558913794410314</v>
      </c>
      <c r="L2675" t="b">
        <v>0</v>
      </c>
      <c r="M2675" t="b">
        <v>0</v>
      </c>
      <c r="N2675" t="inlineStr">
        <is>
          <t>alt</t>
        </is>
      </c>
      <c r="O2675" t="n">
        <v>-100</v>
      </c>
      <c r="P2675" t="n">
        <v>0.002146</v>
      </c>
      <c r="Q2675" t="n">
        <v>100</v>
      </c>
      <c r="R2675" t="n">
        <v>0.08594</v>
      </c>
      <c r="S2675">
        <f>IMAGE("https://mitra.stanford.edu/kundaje/oak/projects/neuro-variants/variant_position/credible/roussos_2024/variant_figures/roussos_2024.childhood.GABA/rs2372667_count_position.png",4,220,900)</f>
        <v/>
      </c>
      <c r="T2675">
        <f>IMAGE("https://mitra.stanford.edu/kundaje/oak/projects/neuro-variants/variant_position/credible/roussos_2024/variant_figures/roussos_2024.childhood.GABA/rs2372667_profile_position.png",4,220,900)</f>
        <v/>
      </c>
    </row>
    <row r="2676">
      <c r="A2676" t="inlineStr">
        <is>
          <t>chr3</t>
        </is>
      </c>
      <c r="B2676" t="n">
        <v>80999051</v>
      </c>
      <c r="C2676" t="inlineStr">
        <is>
          <t>G</t>
        </is>
      </c>
      <c r="D2676" t="inlineStr">
        <is>
          <t>T</t>
        </is>
      </c>
      <c r="E2676" t="inlineStr">
        <is>
          <t>rs2250739</t>
        </is>
      </c>
      <c r="F2676" t="n">
        <v>0.00320517342</v>
      </c>
      <c r="G2676" t="n">
        <v>0.8491647230616103</v>
      </c>
      <c r="H2676" t="n">
        <v>0.0195232670777713</v>
      </c>
      <c r="I2676" t="n">
        <v>0.0818483667171197</v>
      </c>
      <c r="J2676" t="n">
        <v>0.0114814349437707</v>
      </c>
      <c r="K2676" t="n">
        <v>0.7222865136949853</v>
      </c>
      <c r="L2676" t="b">
        <v>0</v>
      </c>
      <c r="M2676" t="b">
        <v>0</v>
      </c>
      <c r="N2676" t="inlineStr">
        <is>
          <t>alt</t>
        </is>
      </c>
      <c r="O2676" t="n">
        <v>-95</v>
      </c>
      <c r="P2676" t="n">
        <v>0.01656</v>
      </c>
      <c r="Q2676" t="n">
        <v>20</v>
      </c>
      <c r="R2676" t="n">
        <v>0.03104</v>
      </c>
      <c r="S2676">
        <f>IMAGE("https://mitra.stanford.edu/kundaje/oak/projects/neuro-variants/variant_position/credible/roussos_2024/variant_figures/roussos_2024.childhood.GABA/rs2250739_count_position.png",4,220,900)</f>
        <v/>
      </c>
      <c r="T2676">
        <f>IMAGE("https://mitra.stanford.edu/kundaje/oak/projects/neuro-variants/variant_position/credible/roussos_2024/variant_figures/roussos_2024.childhood.GABA/rs2250739_profile_position.png",4,220,900)</f>
        <v/>
      </c>
    </row>
    <row r="2677">
      <c r="A2677" t="inlineStr">
        <is>
          <t>chr3</t>
        </is>
      </c>
      <c r="B2677" t="n">
        <v>81004094</v>
      </c>
      <c r="C2677" t="inlineStr">
        <is>
          <t>G</t>
        </is>
      </c>
      <c r="D2677" t="inlineStr">
        <is>
          <t>C</t>
        </is>
      </c>
      <c r="E2677" t="inlineStr">
        <is>
          <t>rs2639255</t>
        </is>
      </c>
      <c r="F2677" t="n">
        <v>0.00757261514</v>
      </c>
      <c r="G2677" t="n">
        <v>0.4788103433318462</v>
      </c>
      <c r="H2677" t="n">
        <v>0.0081522181149109</v>
      </c>
      <c r="I2677" t="n">
        <v>0.849520111813609</v>
      </c>
      <c r="J2677" t="n">
        <v>0.06318087579317699</v>
      </c>
      <c r="K2677" t="n">
        <v>0.4592520661228043</v>
      </c>
      <c r="L2677" t="b">
        <v>0</v>
      </c>
      <c r="M2677" t="b">
        <v>0</v>
      </c>
      <c r="N2677" t="inlineStr">
        <is>
          <t>alt</t>
        </is>
      </c>
      <c r="O2677" t="n">
        <v>70</v>
      </c>
      <c r="P2677" t="n">
        <v>0.001743</v>
      </c>
      <c r="Q2677" t="n">
        <v>60</v>
      </c>
      <c r="R2677" t="n">
        <v>0.03406</v>
      </c>
      <c r="S2677">
        <f>IMAGE("https://mitra.stanford.edu/kundaje/oak/projects/neuro-variants/variant_position/credible/roussos_2024/variant_figures/roussos_2024.childhood.GABA/rs2639255_count_position.png",4,220,900)</f>
        <v/>
      </c>
      <c r="T2677">
        <f>IMAGE("https://mitra.stanford.edu/kundaje/oak/projects/neuro-variants/variant_position/credible/roussos_2024/variant_figures/roussos_2024.childhood.GABA/rs2639255_profile_position.png",4,220,900)</f>
        <v/>
      </c>
    </row>
    <row r="2678">
      <c r="A2678" t="inlineStr">
        <is>
          <t>chr3</t>
        </is>
      </c>
      <c r="B2678" t="n">
        <v>81005089</v>
      </c>
      <c r="C2678" t="inlineStr">
        <is>
          <t>T</t>
        </is>
      </c>
      <c r="D2678" t="inlineStr">
        <is>
          <t>G</t>
        </is>
      </c>
      <c r="E2678" t="inlineStr">
        <is>
          <t>rs2639254</t>
        </is>
      </c>
      <c r="F2678" t="n">
        <v>0.0004933752399999001</v>
      </c>
      <c r="G2678" t="n">
        <v>0.8493537950127914</v>
      </c>
      <c r="H2678" t="n">
        <v>0.024514469403852</v>
      </c>
      <c r="I2678" t="n">
        <v>0.0313017545102431</v>
      </c>
      <c r="J2678" t="n">
        <v>0.0550836631693576</v>
      </c>
      <c r="K2678" t="n">
        <v>0.4886764414387156</v>
      </c>
      <c r="L2678" t="b">
        <v>0</v>
      </c>
      <c r="M2678" t="b">
        <v>0</v>
      </c>
      <c r="N2678" t="inlineStr">
        <is>
          <t>alt</t>
        </is>
      </c>
      <c r="O2678" t="n">
        <v>-30</v>
      </c>
      <c r="P2678" t="n">
        <v>0.001123</v>
      </c>
      <c r="Q2678" t="n">
        <v>100</v>
      </c>
      <c r="R2678" t="n">
        <v>0.1283</v>
      </c>
      <c r="S2678">
        <f>IMAGE("https://mitra.stanford.edu/kundaje/oak/projects/neuro-variants/variant_position/credible/roussos_2024/variant_figures/roussos_2024.childhood.GABA/rs2639254_count_position.png",4,220,900)</f>
        <v/>
      </c>
      <c r="T2678">
        <f>IMAGE("https://mitra.stanford.edu/kundaje/oak/projects/neuro-variants/variant_position/credible/roussos_2024/variant_figures/roussos_2024.childhood.GABA/rs2639254_profile_position.png",4,220,900)</f>
        <v/>
      </c>
    </row>
    <row r="2679">
      <c r="A2679" t="inlineStr">
        <is>
          <t>chr3</t>
        </is>
      </c>
      <c r="B2679" t="n">
        <v>81006191</v>
      </c>
      <c r="C2679" t="inlineStr">
        <is>
          <t>A</t>
        </is>
      </c>
      <c r="D2679" t="inlineStr">
        <is>
          <t>G</t>
        </is>
      </c>
      <c r="E2679" t="inlineStr">
        <is>
          <t>rs2639213</t>
        </is>
      </c>
      <c r="F2679" t="n">
        <v>-0.0201655726</v>
      </c>
      <c r="G2679" t="n">
        <v>0.2103100198070635</v>
      </c>
      <c r="H2679" t="n">
        <v>0.02547939546702</v>
      </c>
      <c r="I2679" t="n">
        <v>0.0343929668611288</v>
      </c>
      <c r="J2679" t="n">
        <v>0.0166509601893153</v>
      </c>
      <c r="K2679" t="n">
        <v>0.7055635003967594</v>
      </c>
      <c r="L2679" t="b">
        <v>0</v>
      </c>
      <c r="M2679" t="b">
        <v>0</v>
      </c>
      <c r="N2679" t="inlineStr">
        <is>
          <t>ref</t>
        </is>
      </c>
      <c r="O2679" t="n">
        <v>-45</v>
      </c>
      <c r="P2679" t="n">
        <v>0.0007133</v>
      </c>
      <c r="Q2679" t="n">
        <v>-40</v>
      </c>
      <c r="R2679" t="n">
        <v>0.05396</v>
      </c>
      <c r="S2679">
        <f>IMAGE("https://mitra.stanford.edu/kundaje/oak/projects/neuro-variants/variant_position/credible/roussos_2024/variant_figures/roussos_2024.childhood.GABA/rs2639213_count_position.png",4,220,900)</f>
        <v/>
      </c>
      <c r="T2679">
        <f>IMAGE("https://mitra.stanford.edu/kundaje/oak/projects/neuro-variants/variant_position/credible/roussos_2024/variant_figures/roussos_2024.childhood.GABA/rs2639213_profile_position.png",4,220,900)</f>
        <v/>
      </c>
    </row>
    <row r="2680">
      <c r="A2680" t="inlineStr">
        <is>
          <t>chr3</t>
        </is>
      </c>
      <c r="B2680" t="n">
        <v>107845612</v>
      </c>
      <c r="C2680" t="inlineStr">
        <is>
          <t>T</t>
        </is>
      </c>
      <c r="D2680" t="inlineStr">
        <is>
          <t>C</t>
        </is>
      </c>
      <c r="E2680" t="inlineStr">
        <is>
          <t>rs7644809</t>
        </is>
      </c>
      <c r="F2680" t="n">
        <v>0.073859865</v>
      </c>
      <c r="G2680" t="n">
        <v>0.0645560350926612</v>
      </c>
      <c r="H2680" t="n">
        <v>0.0155414430250452</v>
      </c>
      <c r="I2680" t="n">
        <v>0.1990992188360968</v>
      </c>
      <c r="J2680" t="n">
        <v>0.6067841511172541</v>
      </c>
      <c r="K2680" t="n">
        <v>0.0283261344482006</v>
      </c>
      <c r="L2680" t="b">
        <v>0</v>
      </c>
      <c r="M2680" t="b">
        <v>0</v>
      </c>
      <c r="N2680" t="inlineStr">
        <is>
          <t>alt</t>
        </is>
      </c>
      <c r="O2680" t="n">
        <v>35</v>
      </c>
      <c r="P2680" t="n">
        <v>0.00241</v>
      </c>
      <c r="Q2680" t="n">
        <v>-35</v>
      </c>
      <c r="R2680" t="n">
        <v>0.1011</v>
      </c>
      <c r="S2680">
        <f>IMAGE("https://mitra.stanford.edu/kundaje/oak/projects/neuro-variants/variant_position/credible/roussos_2024/variant_figures/roussos_2024.childhood.GABA/rs7644809_count_position.png",4,220,900)</f>
        <v/>
      </c>
      <c r="T2680">
        <f>IMAGE("https://mitra.stanford.edu/kundaje/oak/projects/neuro-variants/variant_position/credible/roussos_2024/variant_figures/roussos_2024.childhood.GABA/rs7644809_profile_position.png",4,220,900)</f>
        <v/>
      </c>
    </row>
    <row r="2681">
      <c r="A2681" t="inlineStr">
        <is>
          <t>chr3</t>
        </is>
      </c>
      <c r="B2681" t="n">
        <v>108046402</v>
      </c>
      <c r="C2681" t="inlineStr">
        <is>
          <t>T</t>
        </is>
      </c>
      <c r="D2681" t="inlineStr">
        <is>
          <t>C</t>
        </is>
      </c>
      <c r="E2681" t="inlineStr">
        <is>
          <t>rs3206652</t>
        </is>
      </c>
      <c r="F2681" t="n">
        <v>0.0557670866</v>
      </c>
      <c r="G2681" t="n">
        <v>0.1356680240249042</v>
      </c>
      <c r="H2681" t="n">
        <v>0.0120429545443496</v>
      </c>
      <c r="I2681" t="n">
        <v>0.4239066333674834</v>
      </c>
      <c r="J2681" t="n">
        <v>0.020674959686708</v>
      </c>
      <c r="K2681" t="n">
        <v>0.6405951351149027</v>
      </c>
      <c r="L2681" t="b">
        <v>0</v>
      </c>
      <c r="M2681" t="b">
        <v>0</v>
      </c>
      <c r="N2681" t="inlineStr">
        <is>
          <t>alt</t>
        </is>
      </c>
      <c r="O2681" t="n">
        <v>5</v>
      </c>
      <c r="P2681" t="n">
        <v>0.0001678</v>
      </c>
      <c r="Q2681" t="n">
        <v>-50</v>
      </c>
      <c r="R2681" t="n">
        <v>0.03247</v>
      </c>
      <c r="S2681">
        <f>IMAGE("https://mitra.stanford.edu/kundaje/oak/projects/neuro-variants/variant_position/credible/roussos_2024/variant_figures/roussos_2024.childhood.GABA/rs3206652_count_position.png",4,220,900)</f>
        <v/>
      </c>
      <c r="T2681">
        <f>IMAGE("https://mitra.stanford.edu/kundaje/oak/projects/neuro-variants/variant_position/credible/roussos_2024/variant_figures/roussos_2024.childhood.GABA/rs3206652_profile_position.png",4,220,900)</f>
        <v/>
      </c>
    </row>
    <row r="2682">
      <c r="A2682" t="inlineStr">
        <is>
          <t>chr3</t>
        </is>
      </c>
      <c r="B2682" t="n">
        <v>108061891</v>
      </c>
      <c r="C2682" t="inlineStr">
        <is>
          <t>T</t>
        </is>
      </c>
      <c r="D2682" t="inlineStr">
        <is>
          <t>C</t>
        </is>
      </c>
      <c r="E2682" t="inlineStr">
        <is>
          <t>rs3804638</t>
        </is>
      </c>
      <c r="F2682" t="n">
        <v>0.003336777868</v>
      </c>
      <c r="G2682" t="n">
        <v>0.820085633516265</v>
      </c>
      <c r="H2682" t="n">
        <v>0.0230679180672029</v>
      </c>
      <c r="I2682" t="n">
        <v>0.0405812922680496</v>
      </c>
      <c r="J2682" t="n">
        <v>0.0163996565516952</v>
      </c>
      <c r="K2682" t="n">
        <v>0.6731166532490886</v>
      </c>
      <c r="L2682" t="b">
        <v>0</v>
      </c>
      <c r="M2682" t="b">
        <v>0</v>
      </c>
      <c r="N2682" t="inlineStr">
        <is>
          <t>alt</t>
        </is>
      </c>
      <c r="O2682" t="n">
        <v>-80</v>
      </c>
      <c r="P2682" t="n">
        <v>0.00522</v>
      </c>
      <c r="Q2682" t="n">
        <v>-45</v>
      </c>
      <c r="R2682" t="n">
        <v>0.0376</v>
      </c>
      <c r="S2682">
        <f>IMAGE("https://mitra.stanford.edu/kundaje/oak/projects/neuro-variants/variant_position/credible/roussos_2024/variant_figures/roussos_2024.childhood.GABA/rs3804638_count_position.png",4,220,900)</f>
        <v/>
      </c>
      <c r="T2682">
        <f>IMAGE("https://mitra.stanford.edu/kundaje/oak/projects/neuro-variants/variant_position/credible/roussos_2024/variant_figures/roussos_2024.childhood.GABA/rs3804638_profile_position.png",4,220,900)</f>
        <v/>
      </c>
    </row>
    <row r="2683">
      <c r="A2683" t="inlineStr">
        <is>
          <t>chr3</t>
        </is>
      </c>
      <c r="B2683" t="n">
        <v>108097467</v>
      </c>
      <c r="C2683" t="inlineStr">
        <is>
          <t>G</t>
        </is>
      </c>
      <c r="D2683" t="inlineStr">
        <is>
          <t>A</t>
        </is>
      </c>
      <c r="E2683" t="inlineStr">
        <is>
          <t>rs7628325</t>
        </is>
      </c>
      <c r="F2683" t="n">
        <v>-0.0156873744</v>
      </c>
      <c r="G2683" t="n">
        <v>0.51707674900209</v>
      </c>
      <c r="H2683" t="n">
        <v>0.0086258599323326</v>
      </c>
      <c r="I2683" t="n">
        <v>0.7966544210684005</v>
      </c>
      <c r="J2683" t="n">
        <v>0.1683001403111976</v>
      </c>
      <c r="K2683" t="n">
        <v>0.2559229169933961</v>
      </c>
      <c r="L2683" t="b">
        <v>0</v>
      </c>
      <c r="M2683" t="b">
        <v>0</v>
      </c>
      <c r="N2683" t="inlineStr">
        <is>
          <t>ref</t>
        </is>
      </c>
      <c r="O2683" t="n">
        <v>55</v>
      </c>
      <c r="P2683" t="n">
        <v>0.002142</v>
      </c>
      <c r="Q2683" t="n">
        <v>-55</v>
      </c>
      <c r="R2683" t="n">
        <v>0.04</v>
      </c>
      <c r="S2683">
        <f>IMAGE("https://mitra.stanford.edu/kundaje/oak/projects/neuro-variants/variant_position/credible/roussos_2024/variant_figures/roussos_2024.childhood.GABA/rs7628325_count_position.png",4,220,900)</f>
        <v/>
      </c>
      <c r="T2683">
        <f>IMAGE("https://mitra.stanford.edu/kundaje/oak/projects/neuro-variants/variant_position/credible/roussos_2024/variant_figures/roussos_2024.childhood.GABA/rs7628325_profile_position.png",4,220,900)</f>
        <v/>
      </c>
    </row>
    <row r="2684">
      <c r="A2684" t="inlineStr">
        <is>
          <t>chr3</t>
        </is>
      </c>
      <c r="B2684" t="n">
        <v>108097886</v>
      </c>
      <c r="C2684" t="inlineStr">
        <is>
          <t>C</t>
        </is>
      </c>
      <c r="D2684" t="inlineStr">
        <is>
          <t>T</t>
        </is>
      </c>
      <c r="E2684" t="inlineStr">
        <is>
          <t>rs34910554</t>
        </is>
      </c>
      <c r="F2684" t="n">
        <v>0.0650778306</v>
      </c>
      <c r="G2684" t="n">
        <v>0.09350406189636359</v>
      </c>
      <c r="H2684" t="n">
        <v>0.0208194045038997</v>
      </c>
      <c r="I2684" t="n">
        <v>0.0657845115588315</v>
      </c>
      <c r="J2684" t="n">
        <v>0.1702069066616406</v>
      </c>
      <c r="K2684" t="n">
        <v>0.2576818744535339</v>
      </c>
      <c r="L2684" t="b">
        <v>0</v>
      </c>
      <c r="M2684" t="b">
        <v>0</v>
      </c>
      <c r="N2684" t="inlineStr">
        <is>
          <t>alt</t>
        </is>
      </c>
      <c r="O2684" t="n">
        <v>70</v>
      </c>
      <c r="P2684" t="n">
        <v>0.00074</v>
      </c>
      <c r="Q2684" t="n">
        <v>-90</v>
      </c>
      <c r="R2684" t="n">
        <v>0.04327</v>
      </c>
      <c r="S2684">
        <f>IMAGE("https://mitra.stanford.edu/kundaje/oak/projects/neuro-variants/variant_position/credible/roussos_2024/variant_figures/roussos_2024.childhood.GABA/rs34910554_count_position.png",4,220,900)</f>
        <v/>
      </c>
      <c r="T2684">
        <f>IMAGE("https://mitra.stanford.edu/kundaje/oak/projects/neuro-variants/variant_position/credible/roussos_2024/variant_figures/roussos_2024.childhood.GABA/rs34910554_profile_position.png",4,220,900)</f>
        <v/>
      </c>
    </row>
    <row r="2685">
      <c r="A2685" t="inlineStr">
        <is>
          <t>chr3</t>
        </is>
      </c>
      <c r="B2685" t="n">
        <v>108098452</v>
      </c>
      <c r="C2685" t="inlineStr">
        <is>
          <t>G</t>
        </is>
      </c>
      <c r="D2685" t="inlineStr">
        <is>
          <t>A</t>
        </is>
      </c>
      <c r="E2685" t="inlineStr">
        <is>
          <t>rs17231503</t>
        </is>
      </c>
      <c r="F2685" t="n">
        <v>-0.08253989019999999</v>
      </c>
      <c r="G2685" t="n">
        <v>0.050542054276449</v>
      </c>
      <c r="H2685" t="n">
        <v>0.0173701997480854</v>
      </c>
      <c r="I2685" t="n">
        <v>0.1326107188499035</v>
      </c>
      <c r="J2685" t="n">
        <v>0.1961906556930744</v>
      </c>
      <c r="K2685" t="n">
        <v>0.2251455406638679</v>
      </c>
      <c r="L2685" t="b">
        <v>0</v>
      </c>
      <c r="M2685" t="b">
        <v>0</v>
      </c>
      <c r="N2685" t="inlineStr">
        <is>
          <t>ref</t>
        </is>
      </c>
      <c r="O2685" t="n">
        <v>100</v>
      </c>
      <c r="P2685" t="n">
        <v>0.00285</v>
      </c>
      <c r="Q2685" t="n">
        <v>85</v>
      </c>
      <c r="R2685" t="n">
        <v>0.0481</v>
      </c>
      <c r="S2685">
        <f>IMAGE("https://mitra.stanford.edu/kundaje/oak/projects/neuro-variants/variant_position/credible/roussos_2024/variant_figures/roussos_2024.childhood.GABA/rs17231503_count_position.png",4,220,900)</f>
        <v/>
      </c>
      <c r="T2685">
        <f>IMAGE("https://mitra.stanford.edu/kundaje/oak/projects/neuro-variants/variant_position/credible/roussos_2024/variant_figures/roussos_2024.childhood.GABA/rs17231503_profile_position.png",4,220,900)</f>
        <v/>
      </c>
    </row>
    <row r="2686">
      <c r="A2686" t="inlineStr">
        <is>
          <t>chr3</t>
        </is>
      </c>
      <c r="B2686" t="n">
        <v>108100194</v>
      </c>
      <c r="C2686" t="inlineStr">
        <is>
          <t>G</t>
        </is>
      </c>
      <c r="D2686" t="inlineStr">
        <is>
          <t>A</t>
        </is>
      </c>
      <c r="E2686" t="inlineStr">
        <is>
          <t>rs326361</t>
        </is>
      </c>
      <c r="F2686" t="n">
        <v>0.03585169</v>
      </c>
      <c r="G2686" t="n">
        <v>0.2317674971102566</v>
      </c>
      <c r="H2686" t="n">
        <v>0.013184298650552</v>
      </c>
      <c r="I2686" t="n">
        <v>0.3410431585476676</v>
      </c>
      <c r="J2686" t="n">
        <v>0.3064794454566396</v>
      </c>
      <c r="K2686" t="n">
        <v>0.1325812528475798</v>
      </c>
      <c r="L2686" t="b">
        <v>0</v>
      </c>
      <c r="M2686" t="b">
        <v>0</v>
      </c>
      <c r="N2686" t="inlineStr">
        <is>
          <t>alt</t>
        </is>
      </c>
      <c r="O2686" t="n">
        <v>-100</v>
      </c>
      <c r="P2686" t="n">
        <v>0.002895</v>
      </c>
      <c r="Q2686" t="n">
        <v>45</v>
      </c>
      <c r="R2686" t="n">
        <v>0.06714000000000001</v>
      </c>
      <c r="S2686">
        <f>IMAGE("https://mitra.stanford.edu/kundaje/oak/projects/neuro-variants/variant_position/credible/roussos_2024/variant_figures/roussos_2024.childhood.GABA/rs326361_count_position.png",4,220,900)</f>
        <v/>
      </c>
      <c r="T2686">
        <f>IMAGE("https://mitra.stanford.edu/kundaje/oak/projects/neuro-variants/variant_position/credible/roussos_2024/variant_figures/roussos_2024.childhood.GABA/rs326361_profile_position.png",4,220,900)</f>
        <v/>
      </c>
    </row>
    <row r="2687">
      <c r="A2687" t="inlineStr">
        <is>
          <t>chr3</t>
        </is>
      </c>
      <c r="B2687" t="n">
        <v>108149425</v>
      </c>
      <c r="C2687" t="inlineStr">
        <is>
          <t>A</t>
        </is>
      </c>
      <c r="D2687" t="inlineStr">
        <is>
          <t>G</t>
        </is>
      </c>
      <c r="E2687" t="inlineStr">
        <is>
          <t>rs60140727</t>
        </is>
      </c>
      <c r="F2687" t="n">
        <v>0.08695967139999999</v>
      </c>
      <c r="G2687" t="n">
        <v>0.0439144182456803</v>
      </c>
      <c r="H2687" t="n">
        <v>0.0111852966369842</v>
      </c>
      <c r="I2687" t="n">
        <v>0.5145859027202825</v>
      </c>
      <c r="J2687" t="n">
        <v>0.0113652070113714</v>
      </c>
      <c r="K2687" t="n">
        <v>0.7335513509981911</v>
      </c>
      <c r="L2687" t="b">
        <v>0</v>
      </c>
      <c r="M2687" t="b">
        <v>0</v>
      </c>
      <c r="N2687" t="inlineStr">
        <is>
          <t>alt</t>
        </is>
      </c>
      <c r="O2687" t="n">
        <v>75</v>
      </c>
      <c r="P2687" t="n">
        <v>0.01613</v>
      </c>
      <c r="Q2687" t="n">
        <v>5</v>
      </c>
      <c r="R2687" t="n">
        <v>0.0006104</v>
      </c>
      <c r="S2687">
        <f>IMAGE("https://mitra.stanford.edu/kundaje/oak/projects/neuro-variants/variant_position/credible/roussos_2024/variant_figures/roussos_2024.childhood.GABA/rs60140727_count_position.png",4,220,900)</f>
        <v/>
      </c>
      <c r="T2687">
        <f>IMAGE("https://mitra.stanford.edu/kundaje/oak/projects/neuro-variants/variant_position/credible/roussos_2024/variant_figures/roussos_2024.childhood.GABA/rs60140727_profile_position.png",4,220,900)</f>
        <v/>
      </c>
    </row>
    <row r="2688">
      <c r="A2688" t="inlineStr">
        <is>
          <t>chr3</t>
        </is>
      </c>
      <c r="B2688" t="n">
        <v>108149814</v>
      </c>
      <c r="C2688" t="inlineStr">
        <is>
          <t>G</t>
        </is>
      </c>
      <c r="D2688" t="inlineStr">
        <is>
          <t>A</t>
        </is>
      </c>
      <c r="E2688" t="inlineStr">
        <is>
          <t>rs10514750</t>
        </is>
      </c>
      <c r="F2688" t="n">
        <v>0.0240456782</v>
      </c>
      <c r="G2688" t="n">
        <v>0.356728267051848</v>
      </c>
      <c r="H2688" t="n">
        <v>0.0243424844515869</v>
      </c>
      <c r="I2688" t="n">
        <v>0.0317599159250326</v>
      </c>
      <c r="J2688" t="n">
        <v>0.0843385478838139</v>
      </c>
      <c r="K2688" t="n">
        <v>0.3948281996082195</v>
      </c>
      <c r="L2688" t="b">
        <v>0</v>
      </c>
      <c r="M2688" t="b">
        <v>0</v>
      </c>
      <c r="N2688" t="inlineStr">
        <is>
          <t>alt</t>
        </is>
      </c>
      <c r="O2688" t="n">
        <v>100</v>
      </c>
      <c r="P2688" t="n">
        <v>0.0523</v>
      </c>
      <c r="Q2688" t="n">
        <v>100</v>
      </c>
      <c r="R2688" t="n">
        <v>0.2822</v>
      </c>
      <c r="S2688">
        <f>IMAGE("https://mitra.stanford.edu/kundaje/oak/projects/neuro-variants/variant_position/credible/roussos_2024/variant_figures/roussos_2024.childhood.GABA/rs10514750_count_position.png",4,220,900)</f>
        <v/>
      </c>
      <c r="T2688">
        <f>IMAGE("https://mitra.stanford.edu/kundaje/oak/projects/neuro-variants/variant_position/credible/roussos_2024/variant_figures/roussos_2024.childhood.GABA/rs10514750_profile_position.png",4,220,900)</f>
        <v/>
      </c>
    </row>
    <row r="2689">
      <c r="A2689" t="inlineStr">
        <is>
          <t>chr3</t>
        </is>
      </c>
      <c r="B2689" t="n">
        <v>108157520</v>
      </c>
      <c r="C2689" t="inlineStr">
        <is>
          <t>A</t>
        </is>
      </c>
      <c r="D2689" t="inlineStr">
        <is>
          <t>G</t>
        </is>
      </c>
      <c r="E2689" t="inlineStr">
        <is>
          <t>rs11926978</t>
        </is>
      </c>
      <c r="F2689" t="n">
        <v>0.0829249058</v>
      </c>
      <c r="G2689" t="n">
        <v>0.0444567697476894</v>
      </c>
      <c r="H2689" t="n">
        <v>0.0173895268065528</v>
      </c>
      <c r="I2689" t="n">
        <v>0.1349070666909943</v>
      </c>
      <c r="J2689" t="n">
        <v>0.1077213042658792</v>
      </c>
      <c r="K2689" t="n">
        <v>0.3350249919018754</v>
      </c>
      <c r="L2689" t="b">
        <v>0</v>
      </c>
      <c r="M2689" t="b">
        <v>0</v>
      </c>
      <c r="N2689" t="inlineStr">
        <is>
          <t>alt</t>
        </is>
      </c>
      <c r="O2689" t="n">
        <v>100</v>
      </c>
      <c r="P2689" t="n">
        <v>0.03723</v>
      </c>
      <c r="Q2689" t="n">
        <v>85</v>
      </c>
      <c r="R2689" t="n">
        <v>0.0564</v>
      </c>
      <c r="S2689">
        <f>IMAGE("https://mitra.stanford.edu/kundaje/oak/projects/neuro-variants/variant_position/credible/roussos_2024/variant_figures/roussos_2024.childhood.GABA/rs11926978_count_position.png",4,220,900)</f>
        <v/>
      </c>
      <c r="T2689">
        <f>IMAGE("https://mitra.stanford.edu/kundaje/oak/projects/neuro-variants/variant_position/credible/roussos_2024/variant_figures/roussos_2024.childhood.GABA/rs11926978_profile_position.png",4,220,900)</f>
        <v/>
      </c>
    </row>
    <row r="2690">
      <c r="A2690" t="inlineStr">
        <is>
          <t>chr3</t>
        </is>
      </c>
      <c r="B2690" t="n">
        <v>108157585</v>
      </c>
      <c r="C2690" t="inlineStr">
        <is>
          <t>G</t>
        </is>
      </c>
      <c r="D2690" t="inlineStr">
        <is>
          <t>A</t>
        </is>
      </c>
      <c r="E2690" t="inlineStr">
        <is>
          <t>rs11919348</t>
        </is>
      </c>
      <c r="F2690" t="n">
        <v>0.07551094999999999</v>
      </c>
      <c r="G2690" t="n">
        <v>0.0596593930490487</v>
      </c>
      <c r="H2690" t="n">
        <v>0.0268384860558562</v>
      </c>
      <c r="I2690" t="n">
        <v>0.0217634085974772</v>
      </c>
      <c r="J2690" t="n">
        <v>0.1253963267784967</v>
      </c>
      <c r="K2690" t="n">
        <v>0.3032872907951131</v>
      </c>
      <c r="L2690" t="b">
        <v>0</v>
      </c>
      <c r="M2690" t="b">
        <v>0</v>
      </c>
      <c r="N2690" t="inlineStr">
        <is>
          <t>alt</t>
        </is>
      </c>
      <c r="O2690" t="n">
        <v>-10</v>
      </c>
      <c r="P2690" t="n">
        <v>0.00351</v>
      </c>
      <c r="Q2690" t="n">
        <v>20</v>
      </c>
      <c r="R2690" t="n">
        <v>0.02686</v>
      </c>
      <c r="S2690">
        <f>IMAGE("https://mitra.stanford.edu/kundaje/oak/projects/neuro-variants/variant_position/credible/roussos_2024/variant_figures/roussos_2024.childhood.GABA/rs11919348_count_position.png",4,220,900)</f>
        <v/>
      </c>
      <c r="T2690">
        <f>IMAGE("https://mitra.stanford.edu/kundaje/oak/projects/neuro-variants/variant_position/credible/roussos_2024/variant_figures/roussos_2024.childhood.GABA/rs11919348_profile_position.png",4,220,900)</f>
        <v/>
      </c>
    </row>
    <row r="2691">
      <c r="A2691" t="inlineStr">
        <is>
          <t>chr3</t>
        </is>
      </c>
      <c r="B2691" t="n">
        <v>108160883</v>
      </c>
      <c r="C2691" t="inlineStr">
        <is>
          <t>G</t>
        </is>
      </c>
      <c r="D2691" t="inlineStr">
        <is>
          <t>C</t>
        </is>
      </c>
      <c r="E2691" t="inlineStr">
        <is>
          <t>rs62264146</t>
        </is>
      </c>
      <c r="F2691" t="n">
        <v>-0.0855650553999999</v>
      </c>
      <c r="G2691" t="n">
        <v>0.0515714087993502</v>
      </c>
      <c r="H2691" t="n">
        <v>0.0162408306608369</v>
      </c>
      <c r="I2691" t="n">
        <v>0.1718931073817083</v>
      </c>
      <c r="J2691" t="n">
        <v>0.0240528994157189</v>
      </c>
      <c r="K2691" t="n">
        <v>0.6143885648303755</v>
      </c>
      <c r="L2691" t="b">
        <v>0</v>
      </c>
      <c r="M2691" t="b">
        <v>0</v>
      </c>
      <c r="N2691" t="inlineStr">
        <is>
          <t>ref</t>
        </is>
      </c>
      <c r="O2691" t="n">
        <v>95</v>
      </c>
      <c r="P2691" t="n">
        <v>0.02242</v>
      </c>
      <c r="Q2691" t="n">
        <v>95</v>
      </c>
      <c r="R2691" t="n">
        <v>0.2115</v>
      </c>
      <c r="S2691">
        <f>IMAGE("https://mitra.stanford.edu/kundaje/oak/projects/neuro-variants/variant_position/credible/roussos_2024/variant_figures/roussos_2024.childhood.GABA/rs62264146_count_position.png",4,220,900)</f>
        <v/>
      </c>
      <c r="T2691">
        <f>IMAGE("https://mitra.stanford.edu/kundaje/oak/projects/neuro-variants/variant_position/credible/roussos_2024/variant_figures/roussos_2024.childhood.GABA/rs62264146_profile_position.png",4,220,900)</f>
        <v/>
      </c>
    </row>
    <row r="2692">
      <c r="A2692" t="inlineStr">
        <is>
          <t>chr3</t>
        </is>
      </c>
      <c r="B2692" t="n">
        <v>108162072</v>
      </c>
      <c r="C2692" t="inlineStr">
        <is>
          <t>T</t>
        </is>
      </c>
      <c r="D2692" t="inlineStr">
        <is>
          <t>C</t>
        </is>
      </c>
      <c r="E2692" t="inlineStr">
        <is>
          <t>rs2035</t>
        </is>
      </c>
      <c r="F2692" t="n">
        <v>0.0773185928</v>
      </c>
      <c r="G2692" t="n">
        <v>0.0571831374469175</v>
      </c>
      <c r="H2692" t="n">
        <v>0.0128034878112216</v>
      </c>
      <c r="I2692" t="n">
        <v>0.3684535572672538</v>
      </c>
      <c r="J2692" t="n">
        <v>0.0363678247575966</v>
      </c>
      <c r="K2692" t="n">
        <v>0.5495692702409073</v>
      </c>
      <c r="L2692" t="b">
        <v>0</v>
      </c>
      <c r="M2692" t="b">
        <v>0</v>
      </c>
      <c r="N2692" t="inlineStr">
        <is>
          <t>alt</t>
        </is>
      </c>
      <c r="O2692" t="n">
        <v>-10</v>
      </c>
      <c r="P2692" t="n">
        <v>0.002625</v>
      </c>
      <c r="Q2692" t="n">
        <v>30</v>
      </c>
      <c r="R2692" t="n">
        <v>0.09959999999999999</v>
      </c>
      <c r="S2692">
        <f>IMAGE("https://mitra.stanford.edu/kundaje/oak/projects/neuro-variants/variant_position/credible/roussos_2024/variant_figures/roussos_2024.childhood.GABA/rs2035_count_position.png",4,220,900)</f>
        <v/>
      </c>
      <c r="T2692">
        <f>IMAGE("https://mitra.stanford.edu/kundaje/oak/projects/neuro-variants/variant_position/credible/roussos_2024/variant_figures/roussos_2024.childhood.GABA/rs2035_profile_position.png",4,220,900)</f>
        <v/>
      </c>
    </row>
    <row r="2693">
      <c r="A2693" t="inlineStr">
        <is>
          <t>chr3</t>
        </is>
      </c>
      <c r="B2693" t="n">
        <v>108163444</v>
      </c>
      <c r="C2693" t="inlineStr">
        <is>
          <t>G</t>
        </is>
      </c>
      <c r="D2693" t="inlineStr">
        <is>
          <t>T</t>
        </is>
      </c>
      <c r="E2693" t="inlineStr">
        <is>
          <t>rs28494587</t>
        </is>
      </c>
      <c r="F2693" t="n">
        <v>0.01070155614</v>
      </c>
      <c r="G2693" t="n">
        <v>0.6112181235785866</v>
      </c>
      <c r="H2693" t="n">
        <v>0.0212825834968644</v>
      </c>
      <c r="I2693" t="n">
        <v>0.0599707132318812</v>
      </c>
      <c r="J2693" t="n">
        <v>0.0056333898766517</v>
      </c>
      <c r="K2693" t="n">
        <v>0.8056263664036468</v>
      </c>
      <c r="L2693" t="b">
        <v>0</v>
      </c>
      <c r="M2693" t="b">
        <v>0</v>
      </c>
      <c r="N2693" t="inlineStr">
        <is>
          <t>alt</t>
        </is>
      </c>
      <c r="O2693" t="n">
        <v>-100</v>
      </c>
      <c r="P2693" t="n">
        <v>0.007990000000000001</v>
      </c>
      <c r="Q2693" t="n">
        <v>-65</v>
      </c>
      <c r="R2693" t="n">
        <v>0.08260000000000001</v>
      </c>
      <c r="S2693">
        <f>IMAGE("https://mitra.stanford.edu/kundaje/oak/projects/neuro-variants/variant_position/credible/roussos_2024/variant_figures/roussos_2024.childhood.GABA/rs28494587_count_position.png",4,220,900)</f>
        <v/>
      </c>
      <c r="T2693">
        <f>IMAGE("https://mitra.stanford.edu/kundaje/oak/projects/neuro-variants/variant_position/credible/roussos_2024/variant_figures/roussos_2024.childhood.GABA/rs28494587_profile_position.png",4,220,900)</f>
        <v/>
      </c>
    </row>
    <row r="2694">
      <c r="A2694" t="inlineStr">
        <is>
          <t>chr3</t>
        </is>
      </c>
      <c r="B2694" t="n">
        <v>108167028</v>
      </c>
      <c r="C2694" t="inlineStr">
        <is>
          <t>A</t>
        </is>
      </c>
      <c r="D2694" t="inlineStr">
        <is>
          <t>G</t>
        </is>
      </c>
      <c r="E2694" t="inlineStr">
        <is>
          <t>rs2305551</t>
        </is>
      </c>
      <c r="F2694" t="n">
        <v>0.0400235808</v>
      </c>
      <c r="G2694" t="n">
        <v>0.2053429861720938</v>
      </c>
      <c r="H2694" t="n">
        <v>0.0196049097547558</v>
      </c>
      <c r="I2694" t="n">
        <v>0.08108753001143609</v>
      </c>
      <c r="J2694" t="n">
        <v>0.0910295072354505</v>
      </c>
      <c r="K2694" t="n">
        <v>0.3654856690077371</v>
      </c>
      <c r="L2694" t="b">
        <v>0</v>
      </c>
      <c r="M2694" t="b">
        <v>0</v>
      </c>
      <c r="N2694" t="inlineStr">
        <is>
          <t>alt</t>
        </is>
      </c>
      <c r="O2694" t="n">
        <v>-30</v>
      </c>
      <c r="P2694" t="n">
        <v>0.001556</v>
      </c>
      <c r="Q2694" t="n">
        <v>-35</v>
      </c>
      <c r="R2694" t="n">
        <v>0.0764</v>
      </c>
      <c r="S2694">
        <f>IMAGE("https://mitra.stanford.edu/kundaje/oak/projects/neuro-variants/variant_position/credible/roussos_2024/variant_figures/roussos_2024.childhood.GABA/rs2305551_count_position.png",4,220,900)</f>
        <v/>
      </c>
      <c r="T2694">
        <f>IMAGE("https://mitra.stanford.edu/kundaje/oak/projects/neuro-variants/variant_position/credible/roussos_2024/variant_figures/roussos_2024.childhood.GABA/rs2305551_profile_position.png",4,220,900)</f>
        <v/>
      </c>
    </row>
    <row r="2695">
      <c r="A2695" t="inlineStr">
        <is>
          <t>chr3</t>
        </is>
      </c>
      <c r="B2695" t="n">
        <v>108168909</v>
      </c>
      <c r="C2695" t="inlineStr">
        <is>
          <t>A</t>
        </is>
      </c>
      <c r="D2695" t="inlineStr">
        <is>
          <t>G</t>
        </is>
      </c>
      <c r="E2695" t="inlineStr">
        <is>
          <t>rs9826261</t>
        </is>
      </c>
      <c r="F2695" t="n">
        <v>-0.0592625798</v>
      </c>
      <c r="G2695" t="n">
        <v>0.1129245900568856</v>
      </c>
      <c r="H2695" t="n">
        <v>0.0352972357489567</v>
      </c>
      <c r="I2695" t="n">
        <v>0.0069377049410943</v>
      </c>
      <c r="J2695" t="n">
        <v>0.0239209650059684</v>
      </c>
      <c r="K2695" t="n">
        <v>0.6146670290380603</v>
      </c>
      <c r="L2695" t="b">
        <v>1</v>
      </c>
      <c r="M2695" t="b">
        <v>0</v>
      </c>
      <c r="N2695" t="inlineStr">
        <is>
          <t>ref</t>
        </is>
      </c>
      <c r="O2695" t="n">
        <v>100</v>
      </c>
      <c r="P2695" t="n">
        <v>0.005386</v>
      </c>
      <c r="Q2695" t="n">
        <v>-50</v>
      </c>
      <c r="R2695" t="n">
        <v>0.09984999999999999</v>
      </c>
      <c r="S2695">
        <f>IMAGE("https://mitra.stanford.edu/kundaje/oak/projects/neuro-variants/variant_position/credible/roussos_2024/variant_figures/roussos_2024.childhood.GABA/rs9826261_count_position.png",4,220,900)</f>
        <v/>
      </c>
      <c r="T2695">
        <f>IMAGE("https://mitra.stanford.edu/kundaje/oak/projects/neuro-variants/variant_position/credible/roussos_2024/variant_figures/roussos_2024.childhood.GABA/rs9826261_profile_position.png",4,220,900)</f>
        <v/>
      </c>
    </row>
    <row r="2696">
      <c r="A2696" t="inlineStr">
        <is>
          <t>chr3</t>
        </is>
      </c>
      <c r="B2696" t="n">
        <v>108169059</v>
      </c>
      <c r="C2696" t="inlineStr">
        <is>
          <t>A</t>
        </is>
      </c>
      <c r="D2696" t="inlineStr">
        <is>
          <t>C</t>
        </is>
      </c>
      <c r="E2696" t="inlineStr">
        <is>
          <t>rs9830118</t>
        </is>
      </c>
      <c r="F2696" t="n">
        <v>0.0365798039999999</v>
      </c>
      <c r="G2696" t="n">
        <v>0.2268823539471277</v>
      </c>
      <c r="H2696" t="n">
        <v>0.0151742806238051</v>
      </c>
      <c r="I2696" t="n">
        <v>0.2167610374027881</v>
      </c>
      <c r="J2696" t="n">
        <v>0.0269271847709995</v>
      </c>
      <c r="K2696" t="n">
        <v>0.5961078073475219</v>
      </c>
      <c r="L2696" t="b">
        <v>0</v>
      </c>
      <c r="M2696" t="b">
        <v>0</v>
      </c>
      <c r="N2696" t="inlineStr">
        <is>
          <t>alt</t>
        </is>
      </c>
      <c r="O2696" t="n">
        <v>-20</v>
      </c>
      <c r="P2696" t="n">
        <v>0.012955</v>
      </c>
      <c r="Q2696" t="n">
        <v>-20</v>
      </c>
      <c r="R2696" t="n">
        <v>0.05286</v>
      </c>
      <c r="S2696">
        <f>IMAGE("https://mitra.stanford.edu/kundaje/oak/projects/neuro-variants/variant_position/credible/roussos_2024/variant_figures/roussos_2024.childhood.GABA/rs9830118_count_position.png",4,220,900)</f>
        <v/>
      </c>
      <c r="T2696">
        <f>IMAGE("https://mitra.stanford.edu/kundaje/oak/projects/neuro-variants/variant_position/credible/roussos_2024/variant_figures/roussos_2024.childhood.GABA/rs9830118_profile_position.png",4,220,900)</f>
        <v/>
      </c>
    </row>
    <row r="2697">
      <c r="A2697" t="inlineStr">
        <is>
          <t>chr3</t>
        </is>
      </c>
      <c r="B2697" t="n">
        <v>108171371</v>
      </c>
      <c r="C2697" t="inlineStr">
        <is>
          <t>C</t>
        </is>
      </c>
      <c r="D2697" t="inlineStr">
        <is>
          <t>T</t>
        </is>
      </c>
      <c r="E2697" t="inlineStr">
        <is>
          <t>rs11928715</t>
        </is>
      </c>
      <c r="F2697" t="n">
        <v>-0.0668911482</v>
      </c>
      <c r="G2697" t="n">
        <v>0.0829936649101958</v>
      </c>
      <c r="H2697" t="n">
        <v>0.0104860710072704</v>
      </c>
      <c r="I2697" t="n">
        <v>0.5788215252499089</v>
      </c>
      <c r="J2697" t="n">
        <v>0.020711608133861</v>
      </c>
      <c r="K2697" t="n">
        <v>0.6536092389897271</v>
      </c>
      <c r="L2697" t="b">
        <v>0</v>
      </c>
      <c r="M2697" t="b">
        <v>0</v>
      </c>
      <c r="N2697" t="inlineStr">
        <is>
          <t>ref</t>
        </is>
      </c>
      <c r="O2697" t="n">
        <v>0</v>
      </c>
      <c r="P2697" t="n">
        <v>0</v>
      </c>
      <c r="Q2697" t="n">
        <v>85</v>
      </c>
      <c r="R2697" t="n">
        <v>6.104e-05</v>
      </c>
      <c r="S2697">
        <f>IMAGE("https://mitra.stanford.edu/kundaje/oak/projects/neuro-variants/variant_position/credible/roussos_2024/variant_figures/roussos_2024.childhood.GABA/rs11928715_count_position.png",4,220,900)</f>
        <v/>
      </c>
      <c r="T2697">
        <f>IMAGE("https://mitra.stanford.edu/kundaje/oak/projects/neuro-variants/variant_position/credible/roussos_2024/variant_figures/roussos_2024.childhood.GABA/rs11928715_profile_position.png",4,220,900)</f>
        <v/>
      </c>
    </row>
    <row r="2698">
      <c r="A2698" t="inlineStr">
        <is>
          <t>chr3</t>
        </is>
      </c>
      <c r="B2698" t="n">
        <v>108171457</v>
      </c>
      <c r="C2698" t="inlineStr">
        <is>
          <t>T</t>
        </is>
      </c>
      <c r="D2698" t="inlineStr">
        <is>
          <t>C</t>
        </is>
      </c>
      <c r="E2698" t="inlineStr">
        <is>
          <t>rs11917405</t>
        </is>
      </c>
      <c r="F2698" t="n">
        <v>-0.01226714748</v>
      </c>
      <c r="G2698" t="n">
        <v>0.4522936745227097</v>
      </c>
      <c r="H2698" t="n">
        <v>0.0236273186319542</v>
      </c>
      <c r="I2698" t="n">
        <v>0.0368220222331387</v>
      </c>
      <c r="J2698" t="n">
        <v>0.0303072186969905</v>
      </c>
      <c r="K2698" t="n">
        <v>0.5964752059307457</v>
      </c>
      <c r="L2698" t="b">
        <v>0</v>
      </c>
      <c r="M2698" t="b">
        <v>0</v>
      </c>
      <c r="N2698" t="inlineStr">
        <is>
          <t>ref</t>
        </is>
      </c>
      <c r="O2698" t="n">
        <v>-85</v>
      </c>
      <c r="P2698" t="n">
        <v>0.01158</v>
      </c>
      <c r="Q2698" t="n">
        <v>90</v>
      </c>
      <c r="R2698" t="n">
        <v>0.01617</v>
      </c>
      <c r="S2698">
        <f>IMAGE("https://mitra.stanford.edu/kundaje/oak/projects/neuro-variants/variant_position/credible/roussos_2024/variant_figures/roussos_2024.childhood.GABA/rs11917405_count_position.png",4,220,900)</f>
        <v/>
      </c>
      <c r="T2698">
        <f>IMAGE("https://mitra.stanford.edu/kundaje/oak/projects/neuro-variants/variant_position/credible/roussos_2024/variant_figures/roussos_2024.childhood.GABA/rs11917405_profile_position.png",4,220,900)</f>
        <v/>
      </c>
    </row>
    <row r="2699">
      <c r="A2699" t="inlineStr">
        <is>
          <t>chr3</t>
        </is>
      </c>
      <c r="B2699" t="n">
        <v>108171613</v>
      </c>
      <c r="C2699" t="inlineStr">
        <is>
          <t>A</t>
        </is>
      </c>
      <c r="D2699" t="inlineStr">
        <is>
          <t>G</t>
        </is>
      </c>
      <c r="E2699" t="inlineStr">
        <is>
          <t>rs11921090</t>
        </is>
      </c>
      <c r="F2699" t="n">
        <v>0.0242489432</v>
      </c>
      <c r="G2699" t="n">
        <v>0.350648220592624</v>
      </c>
      <c r="H2699" t="n">
        <v>0.0142901527270847</v>
      </c>
      <c r="I2699" t="n">
        <v>0.2663986508793377</v>
      </c>
      <c r="J2699" t="n">
        <v>0.0581359552679524</v>
      </c>
      <c r="K2699" t="n">
        <v>0.4780658259838563</v>
      </c>
      <c r="L2699" t="b">
        <v>0</v>
      </c>
      <c r="M2699" t="b">
        <v>0</v>
      </c>
      <c r="N2699" t="inlineStr">
        <is>
          <t>alt</t>
        </is>
      </c>
      <c r="O2699" t="n">
        <v>95</v>
      </c>
      <c r="P2699" t="n">
        <v>0.03204</v>
      </c>
      <c r="Q2699" t="n">
        <v>-70</v>
      </c>
      <c r="R2699" t="n">
        <v>0.0354</v>
      </c>
      <c r="S2699">
        <f>IMAGE("https://mitra.stanford.edu/kundaje/oak/projects/neuro-variants/variant_position/credible/roussos_2024/variant_figures/roussos_2024.childhood.GABA/rs11921090_count_position.png",4,220,900)</f>
        <v/>
      </c>
      <c r="T2699">
        <f>IMAGE("https://mitra.stanford.edu/kundaje/oak/projects/neuro-variants/variant_position/credible/roussos_2024/variant_figures/roussos_2024.childhood.GABA/rs11921090_profile_position.png",4,220,900)</f>
        <v/>
      </c>
    </row>
    <row r="2700">
      <c r="A2700" t="inlineStr">
        <is>
          <t>chr3</t>
        </is>
      </c>
      <c r="B2700" t="n">
        <v>108172218</v>
      </c>
      <c r="C2700" t="inlineStr">
        <is>
          <t>C</t>
        </is>
      </c>
      <c r="D2700" t="inlineStr">
        <is>
          <t>T</t>
        </is>
      </c>
      <c r="E2700" t="inlineStr">
        <is>
          <t>rs17829242</t>
        </is>
      </c>
      <c r="F2700" t="n">
        <v>-0.0952119293999999</v>
      </c>
      <c r="G2700" t="n">
        <v>0.0337983670866815</v>
      </c>
      <c r="H2700" t="n">
        <v>0.0173372597029888</v>
      </c>
      <c r="I2700" t="n">
        <v>0.1358077897899579</v>
      </c>
      <c r="J2700" t="n">
        <v>0.0868767146237774</v>
      </c>
      <c r="K2700" t="n">
        <v>0.3948007596415441</v>
      </c>
      <c r="L2700" t="b">
        <v>0</v>
      </c>
      <c r="M2700" t="b">
        <v>0</v>
      </c>
      <c r="N2700" t="inlineStr">
        <is>
          <t>ref</t>
        </is>
      </c>
      <c r="O2700" t="n">
        <v>-80</v>
      </c>
      <c r="P2700" t="n">
        <v>0.01512</v>
      </c>
      <c r="Q2700" t="n">
        <v>-60</v>
      </c>
      <c r="R2700" t="n">
        <v>0.003906</v>
      </c>
      <c r="S2700">
        <f>IMAGE("https://mitra.stanford.edu/kundaje/oak/projects/neuro-variants/variant_position/credible/roussos_2024/variant_figures/roussos_2024.childhood.GABA/rs17829242_count_position.png",4,220,900)</f>
        <v/>
      </c>
      <c r="T2700">
        <f>IMAGE("https://mitra.stanford.edu/kundaje/oak/projects/neuro-variants/variant_position/credible/roussos_2024/variant_figures/roussos_2024.childhood.GABA/rs17829242_profile_position.png",4,220,900)</f>
        <v/>
      </c>
    </row>
    <row r="2701">
      <c r="A2701" t="inlineStr">
        <is>
          <t>chr3</t>
        </is>
      </c>
      <c r="B2701" t="n">
        <v>108174732</v>
      </c>
      <c r="C2701" t="inlineStr">
        <is>
          <t>T</t>
        </is>
      </c>
      <c r="D2701" t="inlineStr">
        <is>
          <t>C</t>
        </is>
      </c>
      <c r="E2701" t="inlineStr">
        <is>
          <t>rs28377152</t>
        </is>
      </c>
      <c r="F2701" t="n">
        <v>-0.115337724</v>
      </c>
      <c r="G2701" t="n">
        <v>0.0207309534829866</v>
      </c>
      <c r="H2701" t="n">
        <v>0.0285387121761965</v>
      </c>
      <c r="I2701" t="n">
        <v>0.0158243688744642</v>
      </c>
      <c r="J2701" t="n">
        <v>0.0138374065464596</v>
      </c>
      <c r="K2701" t="n">
        <v>0.7088916759535654</v>
      </c>
      <c r="L2701" t="b">
        <v>1</v>
      </c>
      <c r="M2701" t="b">
        <v>0</v>
      </c>
      <c r="N2701" t="inlineStr">
        <is>
          <t>ref</t>
        </is>
      </c>
      <c r="O2701" t="n">
        <v>80</v>
      </c>
      <c r="P2701" t="n">
        <v>0.007324</v>
      </c>
      <c r="Q2701" t="n">
        <v>90</v>
      </c>
      <c r="R2701" t="n">
        <v>0.04138</v>
      </c>
      <c r="S2701">
        <f>IMAGE("https://mitra.stanford.edu/kundaje/oak/projects/neuro-variants/variant_position/credible/roussos_2024/variant_figures/roussos_2024.childhood.GABA/rs28377152_count_position.png",4,220,900)</f>
        <v/>
      </c>
      <c r="T2701">
        <f>IMAGE("https://mitra.stanford.edu/kundaje/oak/projects/neuro-variants/variant_position/credible/roussos_2024/variant_figures/roussos_2024.childhood.GABA/rs28377152_profile_position.png",4,220,900)</f>
        <v/>
      </c>
    </row>
    <row r="2702">
      <c r="A2702" t="inlineStr">
        <is>
          <t>chr3</t>
        </is>
      </c>
      <c r="B2702" t="n">
        <v>108175645</v>
      </c>
      <c r="C2702" t="inlineStr">
        <is>
          <t>C</t>
        </is>
      </c>
      <c r="D2702" t="inlineStr">
        <is>
          <t>A</t>
        </is>
      </c>
      <c r="E2702" t="inlineStr">
        <is>
          <t>rs11917750</t>
        </is>
      </c>
      <c r="F2702" t="n">
        <v>-0.0115612097</v>
      </c>
      <c r="G2702" t="n">
        <v>0.5681024145653387</v>
      </c>
      <c r="H2702" t="n">
        <v>0.0085528611949795</v>
      </c>
      <c r="I2702" t="n">
        <v>0.8027663907985635</v>
      </c>
      <c r="J2702" t="n">
        <v>0.0590888148939288</v>
      </c>
      <c r="K2702" t="n">
        <v>0.4538331631986099</v>
      </c>
      <c r="L2702" t="b">
        <v>0</v>
      </c>
      <c r="M2702" t="b">
        <v>0</v>
      </c>
      <c r="N2702" t="inlineStr">
        <is>
          <t>ref</t>
        </is>
      </c>
      <c r="O2702" t="n">
        <v>90</v>
      </c>
      <c r="P2702" t="n">
        <v>0.0442</v>
      </c>
      <c r="Q2702" t="n">
        <v>-15</v>
      </c>
      <c r="R2702" t="n">
        <v>0.04727</v>
      </c>
      <c r="S2702">
        <f>IMAGE("https://mitra.stanford.edu/kundaje/oak/projects/neuro-variants/variant_position/credible/roussos_2024/variant_figures/roussos_2024.childhood.GABA/rs11917750_count_position.png",4,220,900)</f>
        <v/>
      </c>
      <c r="T2702">
        <f>IMAGE("https://mitra.stanford.edu/kundaje/oak/projects/neuro-variants/variant_position/credible/roussos_2024/variant_figures/roussos_2024.childhood.GABA/rs11917750_profile_position.png",4,220,900)</f>
        <v/>
      </c>
    </row>
    <row r="2703">
      <c r="A2703" t="inlineStr">
        <is>
          <t>chr3</t>
        </is>
      </c>
      <c r="B2703" t="n">
        <v>108175745</v>
      </c>
      <c r="C2703" t="inlineStr">
        <is>
          <t>T</t>
        </is>
      </c>
      <c r="D2703" t="inlineStr">
        <is>
          <t>C</t>
        </is>
      </c>
      <c r="E2703" t="inlineStr">
        <is>
          <t>rs723271</t>
        </is>
      </c>
      <c r="F2703" t="n">
        <v>-0.028017914</v>
      </c>
      <c r="G2703" t="n">
        <v>0.3214839509251742</v>
      </c>
      <c r="H2703" t="n">
        <v>0.0219549985955607</v>
      </c>
      <c r="I2703" t="n">
        <v>0.0521638056384613</v>
      </c>
      <c r="J2703" t="n">
        <v>0.0622866536826453</v>
      </c>
      <c r="K2703" t="n">
        <v>0.443151384101528</v>
      </c>
      <c r="L2703" t="b">
        <v>0</v>
      </c>
      <c r="M2703" t="b">
        <v>0</v>
      </c>
      <c r="N2703" t="inlineStr">
        <is>
          <t>ref</t>
        </is>
      </c>
      <c r="O2703" t="n">
        <v>-60</v>
      </c>
      <c r="P2703" t="n">
        <v>0.001251</v>
      </c>
      <c r="Q2703" t="n">
        <v>55</v>
      </c>
      <c r="R2703" t="n">
        <v>0.02876</v>
      </c>
      <c r="S2703">
        <f>IMAGE("https://mitra.stanford.edu/kundaje/oak/projects/neuro-variants/variant_position/credible/roussos_2024/variant_figures/roussos_2024.childhood.GABA/rs723271_count_position.png",4,220,900)</f>
        <v/>
      </c>
      <c r="T2703">
        <f>IMAGE("https://mitra.stanford.edu/kundaje/oak/projects/neuro-variants/variant_position/credible/roussos_2024/variant_figures/roussos_2024.childhood.GABA/rs723271_profile_position.png",4,220,900)</f>
        <v/>
      </c>
    </row>
    <row r="2704">
      <c r="A2704" t="inlineStr">
        <is>
          <t>chr3</t>
        </is>
      </c>
      <c r="B2704" t="n">
        <v>108176360</v>
      </c>
      <c r="C2704" t="inlineStr">
        <is>
          <t>C</t>
        </is>
      </c>
      <c r="D2704" t="inlineStr">
        <is>
          <t>T</t>
        </is>
      </c>
      <c r="E2704" t="inlineStr">
        <is>
          <t>rs7610003</t>
        </is>
      </c>
      <c r="F2704" t="n">
        <v>-0.0012314950733999</v>
      </c>
      <c r="G2704" t="n">
        <v>0.5614191018715177</v>
      </c>
      <c r="H2704" t="n">
        <v>0.0243502853984841</v>
      </c>
      <c r="I2704" t="n">
        <v>0.0333584847484206</v>
      </c>
      <c r="J2704" t="n">
        <v>0.0253575841343636</v>
      </c>
      <c r="K2704" t="n">
        <v>0.6065060784681471</v>
      </c>
      <c r="L2704" t="b">
        <v>0</v>
      </c>
      <c r="M2704" t="b">
        <v>0</v>
      </c>
      <c r="N2704" t="inlineStr">
        <is>
          <t>ref</t>
        </is>
      </c>
      <c r="O2704" t="n">
        <v>-70</v>
      </c>
      <c r="P2704" t="n">
        <v>0.00847</v>
      </c>
      <c r="Q2704" t="n">
        <v>-90</v>
      </c>
      <c r="R2704" t="n">
        <v>0.1007</v>
      </c>
      <c r="S2704">
        <f>IMAGE("https://mitra.stanford.edu/kundaje/oak/projects/neuro-variants/variant_position/credible/roussos_2024/variant_figures/roussos_2024.childhood.GABA/rs7610003_count_position.png",4,220,900)</f>
        <v/>
      </c>
      <c r="T2704">
        <f>IMAGE("https://mitra.stanford.edu/kundaje/oak/projects/neuro-variants/variant_position/credible/roussos_2024/variant_figures/roussos_2024.childhood.GABA/rs7610003_profile_position.png",4,220,900)</f>
        <v/>
      </c>
    </row>
    <row r="2705">
      <c r="A2705" t="inlineStr">
        <is>
          <t>chr3</t>
        </is>
      </c>
      <c r="B2705" t="n">
        <v>108176479</v>
      </c>
      <c r="C2705" t="inlineStr">
        <is>
          <t>A</t>
        </is>
      </c>
      <c r="D2705" t="inlineStr">
        <is>
          <t>G</t>
        </is>
      </c>
      <c r="E2705" t="inlineStr">
        <is>
          <t>rs7632036</t>
        </is>
      </c>
      <c r="F2705" t="n">
        <v>0.00515697742</v>
      </c>
      <c r="G2705" t="n">
        <v>0.668780760206097</v>
      </c>
      <c r="H2705" t="n">
        <v>0.0130427796858422</v>
      </c>
      <c r="I2705" t="n">
        <v>0.3527706075522746</v>
      </c>
      <c r="J2705" t="n">
        <v>0.0138217000691084</v>
      </c>
      <c r="K2705" t="n">
        <v>0.6973804962762555</v>
      </c>
      <c r="L2705" t="b">
        <v>0</v>
      </c>
      <c r="M2705" t="b">
        <v>0</v>
      </c>
      <c r="N2705" t="inlineStr">
        <is>
          <t>alt</t>
        </is>
      </c>
      <c r="O2705" t="n">
        <v>-90</v>
      </c>
      <c r="P2705" t="n">
        <v>0.01556</v>
      </c>
      <c r="Q2705" t="n">
        <v>100</v>
      </c>
      <c r="R2705" t="n">
        <v>0.01686</v>
      </c>
      <c r="S2705">
        <f>IMAGE("https://mitra.stanford.edu/kundaje/oak/projects/neuro-variants/variant_position/credible/roussos_2024/variant_figures/roussos_2024.childhood.GABA/rs7632036_count_position.png",4,220,900)</f>
        <v/>
      </c>
      <c r="T2705">
        <f>IMAGE("https://mitra.stanford.edu/kundaje/oak/projects/neuro-variants/variant_position/credible/roussos_2024/variant_figures/roussos_2024.childhood.GABA/rs7632036_profile_position.png",4,220,900)</f>
        <v/>
      </c>
    </row>
    <row r="2706">
      <c r="A2706" t="inlineStr">
        <is>
          <t>chr3</t>
        </is>
      </c>
      <c r="B2706" t="n">
        <v>108178447</v>
      </c>
      <c r="C2706" t="inlineStr">
        <is>
          <t>G</t>
        </is>
      </c>
      <c r="D2706" t="inlineStr">
        <is>
          <t>A</t>
        </is>
      </c>
      <c r="E2706" t="inlineStr">
        <is>
          <t>rs11915212</t>
        </is>
      </c>
      <c r="F2706" t="n">
        <v>0.0262695128</v>
      </c>
      <c r="G2706" t="n">
        <v>0.3356140456047967</v>
      </c>
      <c r="H2706" t="n">
        <v>0.0218607744079035</v>
      </c>
      <c r="I2706" t="n">
        <v>0.0513862203964825</v>
      </c>
      <c r="J2706" t="n">
        <v>0.0090375070679147</v>
      </c>
      <c r="K2706" t="n">
        <v>0.7578834208886619</v>
      </c>
      <c r="L2706" t="b">
        <v>0</v>
      </c>
      <c r="M2706" t="b">
        <v>0</v>
      </c>
      <c r="N2706" t="inlineStr">
        <is>
          <t>alt</t>
        </is>
      </c>
      <c r="O2706" t="n">
        <v>-90</v>
      </c>
      <c r="P2706" t="n">
        <v>0.003798</v>
      </c>
      <c r="Q2706" t="n">
        <v>90</v>
      </c>
      <c r="R2706" t="n">
        <v>0.05206</v>
      </c>
      <c r="S2706">
        <f>IMAGE("https://mitra.stanford.edu/kundaje/oak/projects/neuro-variants/variant_position/credible/roussos_2024/variant_figures/roussos_2024.childhood.GABA/rs11915212_count_position.png",4,220,900)</f>
        <v/>
      </c>
      <c r="T2706">
        <f>IMAGE("https://mitra.stanford.edu/kundaje/oak/projects/neuro-variants/variant_position/credible/roussos_2024/variant_figures/roussos_2024.childhood.GABA/rs11915212_profile_position.png",4,220,900)</f>
        <v/>
      </c>
    </row>
    <row r="2707">
      <c r="A2707" t="inlineStr">
        <is>
          <t>chr3</t>
        </is>
      </c>
      <c r="B2707" t="n">
        <v>108178698</v>
      </c>
      <c r="C2707" t="inlineStr">
        <is>
          <t>C</t>
        </is>
      </c>
      <c r="D2707" t="inlineStr">
        <is>
          <t>A</t>
        </is>
      </c>
      <c r="E2707" t="inlineStr">
        <is>
          <t>rs11915231</t>
        </is>
      </c>
      <c r="F2707" t="n">
        <v>0.00740044952</v>
      </c>
      <c r="G2707" t="n">
        <v>0.6897338114221072</v>
      </c>
      <c r="H2707" t="n">
        <v>0.0199498842318152</v>
      </c>
      <c r="I2707" t="n">
        <v>0.07596140498220159</v>
      </c>
      <c r="J2707" t="n">
        <v>0.0257408221817343</v>
      </c>
      <c r="K2707" t="n">
        <v>0.6064018066221136</v>
      </c>
      <c r="L2707" t="b">
        <v>0</v>
      </c>
      <c r="M2707" t="b">
        <v>0</v>
      </c>
      <c r="N2707" t="inlineStr">
        <is>
          <t>alt</t>
        </is>
      </c>
      <c r="O2707" t="n">
        <v>95</v>
      </c>
      <c r="P2707" t="n">
        <v>0.00708</v>
      </c>
      <c r="Q2707" t="n">
        <v>95</v>
      </c>
      <c r="R2707" t="n">
        <v>0.03317</v>
      </c>
      <c r="S2707">
        <f>IMAGE("https://mitra.stanford.edu/kundaje/oak/projects/neuro-variants/variant_position/credible/roussos_2024/variant_figures/roussos_2024.childhood.GABA/rs11915231_count_position.png",4,220,900)</f>
        <v/>
      </c>
      <c r="T2707">
        <f>IMAGE("https://mitra.stanford.edu/kundaje/oak/projects/neuro-variants/variant_position/credible/roussos_2024/variant_figures/roussos_2024.childhood.GABA/rs11915231_profile_position.png",4,220,900)</f>
        <v/>
      </c>
    </row>
    <row r="2708">
      <c r="A2708" t="inlineStr">
        <is>
          <t>chr3</t>
        </is>
      </c>
      <c r="B2708" t="n">
        <v>108179746</v>
      </c>
      <c r="C2708" t="inlineStr">
        <is>
          <t>C</t>
        </is>
      </c>
      <c r="D2708" t="inlineStr">
        <is>
          <t>T</t>
        </is>
      </c>
      <c r="E2708" t="inlineStr">
        <is>
          <t>rs9818755</t>
        </is>
      </c>
      <c r="F2708" t="n">
        <v>-0.325628292</v>
      </c>
      <c r="G2708" t="n">
        <v>0.0010451672818524</v>
      </c>
      <c r="H2708" t="n">
        <v>0.09743664962133849</v>
      </c>
      <c r="I2708" t="n">
        <v>0.0002721553954296</v>
      </c>
      <c r="J2708" t="n">
        <v>0.3899813616468764</v>
      </c>
      <c r="K2708" t="n">
        <v>0.0896359274239012</v>
      </c>
      <c r="L2708" t="b">
        <v>1</v>
      </c>
      <c r="M2708" t="b">
        <v>1</v>
      </c>
      <c r="N2708" t="inlineStr">
        <is>
          <t>ref</t>
        </is>
      </c>
      <c r="O2708" t="n">
        <v>-60</v>
      </c>
      <c r="P2708" t="n">
        <v>0.002197</v>
      </c>
      <c r="Q2708" t="n">
        <v>-30</v>
      </c>
      <c r="R2708" t="n">
        <v>0.04053</v>
      </c>
      <c r="S2708">
        <f>IMAGE("https://mitra.stanford.edu/kundaje/oak/projects/neuro-variants/variant_position/credible/roussos_2024/variant_figures/roussos_2024.childhood.GABA/rs9818755_count_position.png",4,220,900)</f>
        <v/>
      </c>
      <c r="T2708">
        <f>IMAGE("https://mitra.stanford.edu/kundaje/oak/projects/neuro-variants/variant_position/credible/roussos_2024/variant_figures/roussos_2024.childhood.GABA/rs9818755_profile_position.png",4,220,900)</f>
        <v/>
      </c>
    </row>
    <row r="2709">
      <c r="A2709" t="inlineStr">
        <is>
          <t>chr3</t>
        </is>
      </c>
      <c r="B2709" t="n">
        <v>108181114</v>
      </c>
      <c r="C2709" t="inlineStr">
        <is>
          <t>A</t>
        </is>
      </c>
      <c r="D2709" t="inlineStr">
        <is>
          <t>T</t>
        </is>
      </c>
      <c r="E2709" t="inlineStr">
        <is>
          <t>rs7647452</t>
        </is>
      </c>
      <c r="F2709" t="n">
        <v>-0.00976081002</v>
      </c>
      <c r="G2709" t="n">
        <v>0.6642266585180612</v>
      </c>
      <c r="H2709" t="n">
        <v>0.0133370293450417</v>
      </c>
      <c r="I2709" t="n">
        <v>0.325994180360532</v>
      </c>
      <c r="J2709" t="n">
        <v>0.0245481770015286</v>
      </c>
      <c r="K2709" t="n">
        <v>0.6135052019380934</v>
      </c>
      <c r="L2709" t="b">
        <v>0</v>
      </c>
      <c r="M2709" t="b">
        <v>0</v>
      </c>
      <c r="N2709" t="inlineStr">
        <is>
          <t>ref</t>
        </is>
      </c>
      <c r="O2709" t="n">
        <v>20</v>
      </c>
      <c r="P2709" t="n">
        <v>0.005566</v>
      </c>
      <c r="Q2709" t="n">
        <v>45</v>
      </c>
      <c r="R2709" t="n">
        <v>0.1093</v>
      </c>
      <c r="S2709">
        <f>IMAGE("https://mitra.stanford.edu/kundaje/oak/projects/neuro-variants/variant_position/credible/roussos_2024/variant_figures/roussos_2024.childhood.GABA/rs7647452_count_position.png",4,220,900)</f>
        <v/>
      </c>
      <c r="T2709">
        <f>IMAGE("https://mitra.stanford.edu/kundaje/oak/projects/neuro-variants/variant_position/credible/roussos_2024/variant_figures/roussos_2024.childhood.GABA/rs7647452_profile_position.png",4,220,900)</f>
        <v/>
      </c>
    </row>
    <row r="2710">
      <c r="A2710" t="inlineStr">
        <is>
          <t>chr3</t>
        </is>
      </c>
      <c r="B2710" t="n">
        <v>108182218</v>
      </c>
      <c r="C2710" t="inlineStr">
        <is>
          <t>G</t>
        </is>
      </c>
      <c r="D2710" t="inlineStr">
        <is>
          <t>A</t>
        </is>
      </c>
      <c r="E2710" t="inlineStr">
        <is>
          <t>rs17829536</t>
        </is>
      </c>
      <c r="F2710" t="n">
        <v>0.0451467854</v>
      </c>
      <c r="G2710" t="n">
        <v>0.1729652977511336</v>
      </c>
      <c r="H2710" t="n">
        <v>0.0237521794001585</v>
      </c>
      <c r="I2710" t="n">
        <v>0.0358354591020101</v>
      </c>
      <c r="J2710" t="n">
        <v>0.0366882368955623</v>
      </c>
      <c r="K2710" t="n">
        <v>0.5440427556263565</v>
      </c>
      <c r="L2710" t="b">
        <v>0</v>
      </c>
      <c r="M2710" t="b">
        <v>0</v>
      </c>
      <c r="N2710" t="inlineStr">
        <is>
          <t>alt</t>
        </is>
      </c>
      <c r="O2710" t="n">
        <v>75</v>
      </c>
      <c r="P2710" t="n">
        <v>0.0003738</v>
      </c>
      <c r="Q2710" t="n">
        <v>100</v>
      </c>
      <c r="R2710" t="n">
        <v>0.03412</v>
      </c>
      <c r="S2710">
        <f>IMAGE("https://mitra.stanford.edu/kundaje/oak/projects/neuro-variants/variant_position/credible/roussos_2024/variant_figures/roussos_2024.childhood.GABA/rs17829536_count_position.png",4,220,900)</f>
        <v/>
      </c>
      <c r="T2710">
        <f>IMAGE("https://mitra.stanford.edu/kundaje/oak/projects/neuro-variants/variant_position/credible/roussos_2024/variant_figures/roussos_2024.childhood.GABA/rs17829536_profile_position.png",4,220,900)</f>
        <v/>
      </c>
    </row>
    <row r="2711">
      <c r="A2711" t="inlineStr">
        <is>
          <t>chr3</t>
        </is>
      </c>
      <c r="B2711" t="n">
        <v>108184228</v>
      </c>
      <c r="C2711" t="inlineStr">
        <is>
          <t>A</t>
        </is>
      </c>
      <c r="D2711" t="inlineStr">
        <is>
          <t>C</t>
        </is>
      </c>
      <c r="E2711" t="inlineStr">
        <is>
          <t>rs10514752</t>
        </is>
      </c>
      <c r="F2711" t="n">
        <v>-0.139216174</v>
      </c>
      <c r="G2711" t="n">
        <v>0.0133351805491782</v>
      </c>
      <c r="H2711" t="n">
        <v>0.0281453664441307</v>
      </c>
      <c r="I2711" t="n">
        <v>0.0174774103019227</v>
      </c>
      <c r="J2711" t="n">
        <v>0.0083212917006973</v>
      </c>
      <c r="K2711" t="n">
        <v>0.7584778879606643</v>
      </c>
      <c r="L2711" t="b">
        <v>1</v>
      </c>
      <c r="M2711" t="b">
        <v>0</v>
      </c>
      <c r="N2711" t="inlineStr">
        <is>
          <t>ref</t>
        </is>
      </c>
      <c r="O2711" t="n">
        <v>85</v>
      </c>
      <c r="P2711" t="n">
        <v>0.03262</v>
      </c>
      <c r="Q2711" t="n">
        <v>-15</v>
      </c>
      <c r="R2711" t="n">
        <v>0.02502</v>
      </c>
      <c r="S2711">
        <f>IMAGE("https://mitra.stanford.edu/kundaje/oak/projects/neuro-variants/variant_position/credible/roussos_2024/variant_figures/roussos_2024.childhood.GABA/rs10514752_count_position.png",4,220,900)</f>
        <v/>
      </c>
      <c r="T2711">
        <f>IMAGE("https://mitra.stanford.edu/kundaje/oak/projects/neuro-variants/variant_position/credible/roussos_2024/variant_figures/roussos_2024.childhood.GABA/rs10514752_profile_position.png",4,220,900)</f>
        <v/>
      </c>
    </row>
    <row r="2712">
      <c r="A2712" t="inlineStr">
        <is>
          <t>chr3</t>
        </is>
      </c>
      <c r="B2712" t="n">
        <v>108185223</v>
      </c>
      <c r="C2712" t="inlineStr">
        <is>
          <t>A</t>
        </is>
      </c>
      <c r="D2712" t="inlineStr">
        <is>
          <t>G</t>
        </is>
      </c>
      <c r="E2712" t="inlineStr">
        <is>
          <t>rs72933710</t>
        </is>
      </c>
      <c r="F2712" t="n">
        <v>0.067185972</v>
      </c>
      <c r="G2712" t="n">
        <v>0.0806906674192811</v>
      </c>
      <c r="H2712" t="n">
        <v>0.011201425305522</v>
      </c>
      <c r="I2712" t="n">
        <v>0.5107089729574863</v>
      </c>
      <c r="J2712" t="n">
        <v>0.1119191221126258</v>
      </c>
      <c r="K2712" t="n">
        <v>0.3245797943008011</v>
      </c>
      <c r="L2712" t="b">
        <v>0</v>
      </c>
      <c r="M2712" t="b">
        <v>0</v>
      </c>
      <c r="N2712" t="inlineStr">
        <is>
          <t>alt</t>
        </is>
      </c>
      <c r="O2712" t="n">
        <v>-30</v>
      </c>
      <c r="P2712" t="n">
        <v>0.006218</v>
      </c>
      <c r="Q2712" t="n">
        <v>-75</v>
      </c>
      <c r="R2712" t="n">
        <v>0.05334</v>
      </c>
      <c r="S2712">
        <f>IMAGE("https://mitra.stanford.edu/kundaje/oak/projects/neuro-variants/variant_position/credible/roussos_2024/variant_figures/roussos_2024.childhood.GABA/rs72933710_count_position.png",4,220,900)</f>
        <v/>
      </c>
      <c r="T2712">
        <f>IMAGE("https://mitra.stanford.edu/kundaje/oak/projects/neuro-variants/variant_position/credible/roussos_2024/variant_figures/roussos_2024.childhood.GABA/rs72933710_profile_position.png",4,220,900)</f>
        <v/>
      </c>
    </row>
    <row r="2713">
      <c r="A2713" t="inlineStr">
        <is>
          <t>chr3</t>
        </is>
      </c>
      <c r="B2713" t="n">
        <v>108186492</v>
      </c>
      <c r="C2713" t="inlineStr">
        <is>
          <t>A</t>
        </is>
      </c>
      <c r="D2713" t="inlineStr">
        <is>
          <t>G</t>
        </is>
      </c>
      <c r="E2713" t="inlineStr">
        <is>
          <t>rs13433942</t>
        </is>
      </c>
      <c r="F2713" t="n">
        <v>0.0793557776</v>
      </c>
      <c r="G2713" t="n">
        <v>0.0541593906101601</v>
      </c>
      <c r="H2713" t="n">
        <v>0.0151408225113292</v>
      </c>
      <c r="I2713" t="n">
        <v>0.2204328377660638</v>
      </c>
      <c r="J2713" t="n">
        <v>0.0298548721492743</v>
      </c>
      <c r="K2713" t="n">
        <v>0.5908925160583274</v>
      </c>
      <c r="L2713" t="b">
        <v>0</v>
      </c>
      <c r="M2713" t="b">
        <v>0</v>
      </c>
      <c r="N2713" t="inlineStr">
        <is>
          <t>alt</t>
        </is>
      </c>
      <c r="O2713" t="n">
        <v>-90</v>
      </c>
      <c r="P2713" t="n">
        <v>0.02596</v>
      </c>
      <c r="Q2713" t="n">
        <v>55</v>
      </c>
      <c r="R2713" t="n">
        <v>0.059</v>
      </c>
      <c r="S2713">
        <f>IMAGE("https://mitra.stanford.edu/kundaje/oak/projects/neuro-variants/variant_position/credible/roussos_2024/variant_figures/roussos_2024.childhood.GABA/rs13433942_count_position.png",4,220,900)</f>
        <v/>
      </c>
      <c r="T2713">
        <f>IMAGE("https://mitra.stanford.edu/kundaje/oak/projects/neuro-variants/variant_position/credible/roussos_2024/variant_figures/roussos_2024.childhood.GABA/rs13433942_profile_position.png",4,220,900)</f>
        <v/>
      </c>
    </row>
    <row r="2714">
      <c r="A2714" t="inlineStr">
        <is>
          <t>chr3</t>
        </is>
      </c>
      <c r="B2714" t="n">
        <v>108189077</v>
      </c>
      <c r="C2714" t="inlineStr">
        <is>
          <t>C</t>
        </is>
      </c>
      <c r="D2714" t="inlineStr">
        <is>
          <t>T</t>
        </is>
      </c>
      <c r="E2714" t="inlineStr">
        <is>
          <t>rs9816413</t>
        </is>
      </c>
      <c r="F2714" t="n">
        <v>-0.00988923806</v>
      </c>
      <c r="G2714" t="n">
        <v>0.5759273973936376</v>
      </c>
      <c r="H2714" t="n">
        <v>0.0179333105091176</v>
      </c>
      <c r="I2714" t="n">
        <v>0.1170693619531543</v>
      </c>
      <c r="J2714" t="n">
        <v>0.0068878138677723</v>
      </c>
      <c r="K2714" t="n">
        <v>0.7832690142761422</v>
      </c>
      <c r="L2714" t="b">
        <v>0</v>
      </c>
      <c r="M2714" t="b">
        <v>0</v>
      </c>
      <c r="N2714" t="inlineStr">
        <is>
          <t>ref</t>
        </is>
      </c>
      <c r="O2714" t="n">
        <v>100</v>
      </c>
      <c r="P2714" t="n">
        <v>0.006775</v>
      </c>
      <c r="Q2714" t="n">
        <v>95</v>
      </c>
      <c r="R2714" t="n">
        <v>0.03192</v>
      </c>
      <c r="S2714">
        <f>IMAGE("https://mitra.stanford.edu/kundaje/oak/projects/neuro-variants/variant_position/credible/roussos_2024/variant_figures/roussos_2024.childhood.GABA/rs9816413_count_position.png",4,220,900)</f>
        <v/>
      </c>
      <c r="T2714">
        <f>IMAGE("https://mitra.stanford.edu/kundaje/oak/projects/neuro-variants/variant_position/credible/roussos_2024/variant_figures/roussos_2024.childhood.GABA/rs9816413_profile_position.png",4,220,900)</f>
        <v/>
      </c>
    </row>
    <row r="2715">
      <c r="A2715" t="inlineStr">
        <is>
          <t>chr3</t>
        </is>
      </c>
      <c r="B2715" t="n">
        <v>108189334</v>
      </c>
      <c r="C2715" t="inlineStr">
        <is>
          <t>C</t>
        </is>
      </c>
      <c r="D2715" t="inlineStr">
        <is>
          <t>T</t>
        </is>
      </c>
      <c r="E2715" t="inlineStr">
        <is>
          <t>rs17239988</t>
        </is>
      </c>
      <c r="F2715" t="n">
        <v>-0.089591795</v>
      </c>
      <c r="G2715" t="n">
        <v>0.0424814992767447</v>
      </c>
      <c r="H2715" t="n">
        <v>0.0116118956865981</v>
      </c>
      <c r="I2715" t="n">
        <v>0.4678591934693928</v>
      </c>
      <c r="J2715" t="n">
        <v>0.013031140709095</v>
      </c>
      <c r="K2715" t="n">
        <v>0.7106669196783683</v>
      </c>
      <c r="L2715" t="b">
        <v>0</v>
      </c>
      <c r="M2715" t="b">
        <v>0</v>
      </c>
      <c r="N2715" t="inlineStr">
        <is>
          <t>ref</t>
        </is>
      </c>
      <c r="O2715" t="n">
        <v>-100</v>
      </c>
      <c r="P2715" t="n">
        <v>0.019</v>
      </c>
      <c r="Q2715" t="n">
        <v>70</v>
      </c>
      <c r="R2715" t="n">
        <v>0.0834</v>
      </c>
      <c r="S2715">
        <f>IMAGE("https://mitra.stanford.edu/kundaje/oak/projects/neuro-variants/variant_position/credible/roussos_2024/variant_figures/roussos_2024.childhood.GABA/rs17239988_count_position.png",4,220,900)</f>
        <v/>
      </c>
      <c r="T2715">
        <f>IMAGE("https://mitra.stanford.edu/kundaje/oak/projects/neuro-variants/variant_position/credible/roussos_2024/variant_figures/roussos_2024.childhood.GABA/rs17239988_profile_position.png",4,220,900)</f>
        <v/>
      </c>
    </row>
    <row r="2716">
      <c r="A2716" t="inlineStr">
        <is>
          <t>chr3</t>
        </is>
      </c>
      <c r="B2716" t="n">
        <v>108190452</v>
      </c>
      <c r="C2716" t="inlineStr">
        <is>
          <t>A</t>
        </is>
      </c>
      <c r="D2716" t="inlineStr">
        <is>
          <t>G</t>
        </is>
      </c>
      <c r="E2716" t="inlineStr">
        <is>
          <t>rs9859939</t>
        </is>
      </c>
      <c r="F2716" t="n">
        <v>0.116861462</v>
      </c>
      <c r="G2716" t="n">
        <v>0.0212245558567513</v>
      </c>
      <c r="H2716" t="n">
        <v>0.0185511481400007</v>
      </c>
      <c r="I2716" t="n">
        <v>0.1211829439537505</v>
      </c>
      <c r="J2716" t="n">
        <v>0.0505057485707105</v>
      </c>
      <c r="K2716" t="n">
        <v>0.517769321137451</v>
      </c>
      <c r="L2716" t="b">
        <v>0</v>
      </c>
      <c r="M2716" t="b">
        <v>0</v>
      </c>
      <c r="N2716" t="inlineStr">
        <is>
          <t>alt</t>
        </is>
      </c>
      <c r="O2716" t="n">
        <v>85</v>
      </c>
      <c r="P2716" t="n">
        <v>0.002512</v>
      </c>
      <c r="Q2716" t="n">
        <v>-30</v>
      </c>
      <c r="R2716" t="n">
        <v>0.06604</v>
      </c>
      <c r="S2716">
        <f>IMAGE("https://mitra.stanford.edu/kundaje/oak/projects/neuro-variants/variant_position/credible/roussos_2024/variant_figures/roussos_2024.childhood.GABA/rs9859939_count_position.png",4,220,900)</f>
        <v/>
      </c>
      <c r="T2716">
        <f>IMAGE("https://mitra.stanford.edu/kundaje/oak/projects/neuro-variants/variant_position/credible/roussos_2024/variant_figures/roussos_2024.childhood.GABA/rs9859939_profile_position.png",4,220,900)</f>
        <v/>
      </c>
    </row>
    <row r="2717">
      <c r="A2717" t="inlineStr">
        <is>
          <t>chr3</t>
        </is>
      </c>
      <c r="B2717" t="n">
        <v>108193588</v>
      </c>
      <c r="C2717" t="inlineStr">
        <is>
          <t>T</t>
        </is>
      </c>
      <c r="D2717" t="inlineStr">
        <is>
          <t>C</t>
        </is>
      </c>
      <c r="E2717" t="inlineStr">
        <is>
          <t>rs13323116</t>
        </is>
      </c>
      <c r="F2717" t="n">
        <v>0.0219799596</v>
      </c>
      <c r="G2717" t="n">
        <v>0.3768035370360632</v>
      </c>
      <c r="H2717" t="n">
        <v>0.0116109512988299</v>
      </c>
      <c r="I2717" t="n">
        <v>0.470055457139962</v>
      </c>
      <c r="J2717" t="n">
        <v>0.0056344369751418</v>
      </c>
      <c r="K2717" t="n">
        <v>0.8017786191492996</v>
      </c>
      <c r="L2717" t="b">
        <v>0</v>
      </c>
      <c r="M2717" t="b">
        <v>0</v>
      </c>
      <c r="N2717" t="inlineStr">
        <is>
          <t>alt</t>
        </is>
      </c>
      <c r="O2717" t="n">
        <v>-95</v>
      </c>
      <c r="P2717" t="n">
        <v>0.002785</v>
      </c>
      <c r="Q2717" t="n">
        <v>100</v>
      </c>
      <c r="R2717" t="n">
        <v>0.06204</v>
      </c>
      <c r="S2717">
        <f>IMAGE("https://mitra.stanford.edu/kundaje/oak/projects/neuro-variants/variant_position/credible/roussos_2024/variant_figures/roussos_2024.childhood.GABA/rs13323116_count_position.png",4,220,900)</f>
        <v/>
      </c>
      <c r="T2717">
        <f>IMAGE("https://mitra.stanford.edu/kundaje/oak/projects/neuro-variants/variant_position/credible/roussos_2024/variant_figures/roussos_2024.childhood.GABA/rs13323116_profile_position.png",4,220,900)</f>
        <v/>
      </c>
    </row>
    <row r="2718">
      <c r="A2718" t="inlineStr">
        <is>
          <t>chr3</t>
        </is>
      </c>
      <c r="B2718" t="n">
        <v>108195394</v>
      </c>
      <c r="C2718" t="inlineStr">
        <is>
          <t>T</t>
        </is>
      </c>
      <c r="D2718" t="inlineStr">
        <is>
          <t>C</t>
        </is>
      </c>
      <c r="E2718" t="inlineStr">
        <is>
          <t>rs9868740</t>
        </is>
      </c>
      <c r="F2718" t="n">
        <v>-0.03577093332</v>
      </c>
      <c r="G2718" t="n">
        <v>0.26246506361371</v>
      </c>
      <c r="H2718" t="n">
        <v>0.0103941441239709</v>
      </c>
      <c r="I2718" t="n">
        <v>0.5827149698186332</v>
      </c>
      <c r="J2718" t="n">
        <v>0.0162698163389247</v>
      </c>
      <c r="K2718" t="n">
        <v>0.6888064572472966</v>
      </c>
      <c r="L2718" t="b">
        <v>0</v>
      </c>
      <c r="M2718" t="b">
        <v>0</v>
      </c>
      <c r="N2718" t="inlineStr">
        <is>
          <t>ref</t>
        </is>
      </c>
      <c r="O2718" t="n">
        <v>-95</v>
      </c>
      <c r="P2718" t="n">
        <v>0.007336</v>
      </c>
      <c r="Q2718" t="n">
        <v>35</v>
      </c>
      <c r="R2718" t="n">
        <v>0.10864</v>
      </c>
      <c r="S2718">
        <f>IMAGE("https://mitra.stanford.edu/kundaje/oak/projects/neuro-variants/variant_position/credible/roussos_2024/variant_figures/roussos_2024.childhood.GABA/rs9868740_count_position.png",4,220,900)</f>
        <v/>
      </c>
      <c r="T2718">
        <f>IMAGE("https://mitra.stanford.edu/kundaje/oak/projects/neuro-variants/variant_position/credible/roussos_2024/variant_figures/roussos_2024.childhood.GABA/rs9868740_profile_position.png",4,220,900)</f>
        <v/>
      </c>
    </row>
    <row r="2719">
      <c r="A2719" t="inlineStr">
        <is>
          <t>chr3</t>
        </is>
      </c>
      <c r="B2719" t="n">
        <v>108196350</v>
      </c>
      <c r="C2719" t="inlineStr">
        <is>
          <t>A</t>
        </is>
      </c>
      <c r="D2719" t="inlineStr">
        <is>
          <t>C</t>
        </is>
      </c>
      <c r="E2719" t="inlineStr">
        <is>
          <t>rs9863548</t>
        </is>
      </c>
      <c r="F2719" t="n">
        <v>0.00680954882</v>
      </c>
      <c r="G2719" t="n">
        <v>0.70588843369985</v>
      </c>
      <c r="H2719" t="n">
        <v>0.0102520286217208</v>
      </c>
      <c r="I2719" t="n">
        <v>0.6082145770073886</v>
      </c>
      <c r="J2719" t="n">
        <v>0.0070857154823982</v>
      </c>
      <c r="K2719" t="n">
        <v>0.7830358935705956</v>
      </c>
      <c r="L2719" t="b">
        <v>0</v>
      </c>
      <c r="M2719" t="b">
        <v>0</v>
      </c>
      <c r="N2719" t="inlineStr">
        <is>
          <t>alt</t>
        </is>
      </c>
      <c r="O2719" t="n">
        <v>-70</v>
      </c>
      <c r="P2719" t="n">
        <v>0.03577</v>
      </c>
      <c r="Q2719" t="n">
        <v>-30</v>
      </c>
      <c r="R2719" t="n">
        <v>0.02977</v>
      </c>
      <c r="S2719">
        <f>IMAGE("https://mitra.stanford.edu/kundaje/oak/projects/neuro-variants/variant_position/credible/roussos_2024/variant_figures/roussos_2024.childhood.GABA/rs9863548_count_position.png",4,220,900)</f>
        <v/>
      </c>
      <c r="T2719">
        <f>IMAGE("https://mitra.stanford.edu/kundaje/oak/projects/neuro-variants/variant_position/credible/roussos_2024/variant_figures/roussos_2024.childhood.GABA/rs9863548_profile_position.png",4,220,900)</f>
        <v/>
      </c>
    </row>
    <row r="2720">
      <c r="A2720" t="inlineStr">
        <is>
          <t>chr3</t>
        </is>
      </c>
      <c r="B2720" t="n">
        <v>108197419</v>
      </c>
      <c r="C2720" t="inlineStr">
        <is>
          <t>C</t>
        </is>
      </c>
      <c r="D2720" t="inlineStr">
        <is>
          <t>T</t>
        </is>
      </c>
      <c r="E2720" t="inlineStr">
        <is>
          <t>rs13318120</t>
        </is>
      </c>
      <c r="F2720" t="n">
        <v>-0.0189391178</v>
      </c>
      <c r="G2720" t="n">
        <v>0.4389540175374065</v>
      </c>
      <c r="H2720" t="n">
        <v>0.0117329055651508</v>
      </c>
      <c r="I2720" t="n">
        <v>0.4621227157372559</v>
      </c>
      <c r="J2720" t="n">
        <v>0.0015685535381457</v>
      </c>
      <c r="K2720" t="n">
        <v>0.892846475005289</v>
      </c>
      <c r="L2720" t="b">
        <v>0</v>
      </c>
      <c r="M2720" t="b">
        <v>0</v>
      </c>
      <c r="N2720" t="inlineStr">
        <is>
          <t>ref</t>
        </is>
      </c>
      <c r="O2720" t="n">
        <v>-25</v>
      </c>
      <c r="P2720" t="n">
        <v>0.000992</v>
      </c>
      <c r="Q2720" t="n">
        <v>-30</v>
      </c>
      <c r="R2720" t="n">
        <v>0.03793</v>
      </c>
      <c r="S2720">
        <f>IMAGE("https://mitra.stanford.edu/kundaje/oak/projects/neuro-variants/variant_position/credible/roussos_2024/variant_figures/roussos_2024.childhood.GABA/rs13318120_count_position.png",4,220,900)</f>
        <v/>
      </c>
      <c r="T2720">
        <f>IMAGE("https://mitra.stanford.edu/kundaje/oak/projects/neuro-variants/variant_position/credible/roussos_2024/variant_figures/roussos_2024.childhood.GABA/rs13318120_profile_position.png",4,220,900)</f>
        <v/>
      </c>
    </row>
    <row r="2721">
      <c r="A2721" t="inlineStr">
        <is>
          <t>chr3</t>
        </is>
      </c>
      <c r="B2721" t="n">
        <v>108199003</v>
      </c>
      <c r="C2721" t="inlineStr">
        <is>
          <t>A</t>
        </is>
      </c>
      <c r="D2721" t="inlineStr">
        <is>
          <t>G</t>
        </is>
      </c>
      <c r="E2721" t="inlineStr">
        <is>
          <t>rs9875102</t>
        </is>
      </c>
      <c r="F2721" t="n">
        <v>-0.00574461582</v>
      </c>
      <c r="G2721" t="n">
        <v>0.7396594651464833</v>
      </c>
      <c r="H2721" t="n">
        <v>0.0205450914347903</v>
      </c>
      <c r="I2721" t="n">
        <v>0.06808462891725239</v>
      </c>
      <c r="J2721" t="n">
        <v>0.0013999706812422</v>
      </c>
      <c r="K2721" t="n">
        <v>0.8977193627450626</v>
      </c>
      <c r="L2721" t="b">
        <v>0</v>
      </c>
      <c r="M2721" t="b">
        <v>0</v>
      </c>
      <c r="N2721" t="inlineStr">
        <is>
          <t>ref</t>
        </is>
      </c>
      <c r="O2721" t="n">
        <v>100</v>
      </c>
      <c r="P2721" t="n">
        <v>0.0483</v>
      </c>
      <c r="Q2721" t="n">
        <v>-45</v>
      </c>
      <c r="R2721" t="n">
        <v>0.04095</v>
      </c>
      <c r="S2721">
        <f>IMAGE("https://mitra.stanford.edu/kundaje/oak/projects/neuro-variants/variant_position/credible/roussos_2024/variant_figures/roussos_2024.childhood.GABA/rs9875102_count_position.png",4,220,900)</f>
        <v/>
      </c>
      <c r="T2721">
        <f>IMAGE("https://mitra.stanford.edu/kundaje/oak/projects/neuro-variants/variant_position/credible/roussos_2024/variant_figures/roussos_2024.childhood.GABA/rs9875102_profile_position.png",4,220,900)</f>
        <v/>
      </c>
    </row>
    <row r="2722">
      <c r="A2722" t="inlineStr">
        <is>
          <t>chr3</t>
        </is>
      </c>
      <c r="B2722" t="n">
        <v>108200293</v>
      </c>
      <c r="C2722" t="inlineStr">
        <is>
          <t>T</t>
        </is>
      </c>
      <c r="D2722" t="inlineStr">
        <is>
          <t>C</t>
        </is>
      </c>
      <c r="E2722" t="inlineStr">
        <is>
          <t>rs72933753</t>
        </is>
      </c>
      <c r="F2722" t="n">
        <v>0.250026678</v>
      </c>
      <c r="G2722" t="n">
        <v>0.0025282727566769</v>
      </c>
      <c r="H2722" t="n">
        <v>0.0405967206024367</v>
      </c>
      <c r="I2722" t="n">
        <v>0.0036311901996846</v>
      </c>
      <c r="J2722" t="n">
        <v>0.0391363531653786</v>
      </c>
      <c r="K2722" t="n">
        <v>0.5423092863222361</v>
      </c>
      <c r="L2722" t="b">
        <v>1</v>
      </c>
      <c r="M2722" t="b">
        <v>1</v>
      </c>
      <c r="N2722" t="inlineStr">
        <is>
          <t>alt</t>
        </is>
      </c>
      <c r="O2722" t="n">
        <v>-95</v>
      </c>
      <c r="P2722" t="n">
        <v>0.002258</v>
      </c>
      <c r="Q2722" t="n">
        <v>60</v>
      </c>
      <c r="R2722" t="n">
        <v>0.03955</v>
      </c>
      <c r="S2722">
        <f>IMAGE("https://mitra.stanford.edu/kundaje/oak/projects/neuro-variants/variant_position/credible/roussos_2024/variant_figures/roussos_2024.childhood.GABA/rs72933753_count_position.png",4,220,900)</f>
        <v/>
      </c>
      <c r="T2722">
        <f>IMAGE("https://mitra.stanford.edu/kundaje/oak/projects/neuro-variants/variant_position/credible/roussos_2024/variant_figures/roussos_2024.childhood.GABA/rs72933753_profile_position.png",4,220,900)</f>
        <v/>
      </c>
    </row>
    <row r="2723">
      <c r="A2723" t="inlineStr">
        <is>
          <t>chr3</t>
        </is>
      </c>
      <c r="B2723" t="n">
        <v>108200444</v>
      </c>
      <c r="C2723" t="inlineStr">
        <is>
          <t>G</t>
        </is>
      </c>
      <c r="D2723" t="inlineStr">
        <is>
          <t>A</t>
        </is>
      </c>
      <c r="E2723" t="inlineStr">
        <is>
          <t>rs921582</t>
        </is>
      </c>
      <c r="F2723" t="n">
        <v>0.0018514153399999</v>
      </c>
      <c r="G2723" t="n">
        <v>0.8167846616513176</v>
      </c>
      <c r="H2723" t="n">
        <v>0.008052454923336</v>
      </c>
      <c r="I2723" t="n">
        <v>0.8367135477048979</v>
      </c>
      <c r="J2723" t="n">
        <v>0.0254067977633975</v>
      </c>
      <c r="K2723" t="n">
        <v>0.624072441916846</v>
      </c>
      <c r="L2723" t="b">
        <v>0</v>
      </c>
      <c r="M2723" t="b">
        <v>0</v>
      </c>
      <c r="N2723" t="inlineStr">
        <is>
          <t>alt</t>
        </is>
      </c>
      <c r="O2723" t="n">
        <v>100</v>
      </c>
      <c r="P2723" t="n">
        <v>0.01047</v>
      </c>
      <c r="Q2723" t="n">
        <v>-95</v>
      </c>
      <c r="R2723" t="n">
        <v>0.06934</v>
      </c>
      <c r="S2723">
        <f>IMAGE("https://mitra.stanford.edu/kundaje/oak/projects/neuro-variants/variant_position/credible/roussos_2024/variant_figures/roussos_2024.childhood.GABA/rs921582_count_position.png",4,220,900)</f>
        <v/>
      </c>
      <c r="T2723">
        <f>IMAGE("https://mitra.stanford.edu/kundaje/oak/projects/neuro-variants/variant_position/credible/roussos_2024/variant_figures/roussos_2024.childhood.GABA/rs921582_profile_position.png",4,220,900)</f>
        <v/>
      </c>
    </row>
    <row r="2724">
      <c r="A2724" t="inlineStr">
        <is>
          <t>chr3</t>
        </is>
      </c>
      <c r="B2724" t="n">
        <v>108202233</v>
      </c>
      <c r="C2724" t="inlineStr">
        <is>
          <t>G</t>
        </is>
      </c>
      <c r="D2724" t="inlineStr">
        <is>
          <t>A</t>
        </is>
      </c>
      <c r="E2724" t="inlineStr">
        <is>
          <t>rs1377275</t>
        </is>
      </c>
      <c r="F2724" t="n">
        <v>0.0050586103199999</v>
      </c>
      <c r="G2724" t="n">
        <v>0.2986257202942957</v>
      </c>
      <c r="H2724" t="n">
        <v>0.0120982114765443</v>
      </c>
      <c r="I2724" t="n">
        <v>0.4197050397437388</v>
      </c>
      <c r="J2724" t="n">
        <v>0.3915038428514585</v>
      </c>
      <c r="K2724" t="n">
        <v>0.08836198178792209</v>
      </c>
      <c r="L2724" t="b">
        <v>0</v>
      </c>
      <c r="M2724" t="b">
        <v>0</v>
      </c>
      <c r="N2724" t="inlineStr">
        <is>
          <t>alt</t>
        </is>
      </c>
      <c r="O2724" t="n">
        <v>-65</v>
      </c>
      <c r="P2724" t="n">
        <v>0.005157</v>
      </c>
      <c r="Q2724" t="n">
        <v>-5</v>
      </c>
      <c r="R2724" t="n">
        <v>0.01855</v>
      </c>
      <c r="S2724">
        <f>IMAGE("https://mitra.stanford.edu/kundaje/oak/projects/neuro-variants/variant_position/credible/roussos_2024/variant_figures/roussos_2024.childhood.GABA/rs1377275_count_position.png",4,220,900)</f>
        <v/>
      </c>
      <c r="T2724">
        <f>IMAGE("https://mitra.stanford.edu/kundaje/oak/projects/neuro-variants/variant_position/credible/roussos_2024/variant_figures/roussos_2024.childhood.GABA/rs1377275_profile_position.png",4,220,900)</f>
        <v/>
      </c>
    </row>
    <row r="2725">
      <c r="A2725" t="inlineStr">
        <is>
          <t>chr3</t>
        </is>
      </c>
      <c r="B2725" t="n">
        <v>108208573</v>
      </c>
      <c r="C2725" t="inlineStr">
        <is>
          <t>T</t>
        </is>
      </c>
      <c r="D2725" t="inlineStr">
        <is>
          <t>C</t>
        </is>
      </c>
      <c r="E2725" t="inlineStr">
        <is>
          <t>rs59142860</t>
        </is>
      </c>
      <c r="F2725" t="n">
        <v>0.1348999428</v>
      </c>
      <c r="G2725" t="n">
        <v>0.0129393601669332</v>
      </c>
      <c r="H2725" t="n">
        <v>0.0161687399828501</v>
      </c>
      <c r="I2725" t="n">
        <v>0.1728612730158936</v>
      </c>
      <c r="J2725" t="n">
        <v>0.0069171326254946</v>
      </c>
      <c r="K2725" t="n">
        <v>0.7901148682804611</v>
      </c>
      <c r="L2725" t="b">
        <v>1</v>
      </c>
      <c r="M2725" t="b">
        <v>0</v>
      </c>
      <c r="N2725" t="inlineStr">
        <is>
          <t>alt</t>
        </is>
      </c>
      <c r="O2725" t="n">
        <v>70</v>
      </c>
      <c r="P2725" t="n">
        <v>0.003078</v>
      </c>
      <c r="Q2725" t="n">
        <v>-30</v>
      </c>
      <c r="R2725" t="n">
        <v>0.03818</v>
      </c>
      <c r="S2725">
        <f>IMAGE("https://mitra.stanford.edu/kundaje/oak/projects/neuro-variants/variant_position/credible/roussos_2024/variant_figures/roussos_2024.childhood.GABA/rs59142860_count_position.png",4,220,900)</f>
        <v/>
      </c>
      <c r="T2725">
        <f>IMAGE("https://mitra.stanford.edu/kundaje/oak/projects/neuro-variants/variant_position/credible/roussos_2024/variant_figures/roussos_2024.childhood.GABA/rs59142860_profile_position.png",4,220,900)</f>
        <v/>
      </c>
    </row>
    <row r="2726">
      <c r="A2726" t="inlineStr">
        <is>
          <t>chr3</t>
        </is>
      </c>
      <c r="B2726" t="n">
        <v>108210293</v>
      </c>
      <c r="C2726" t="inlineStr">
        <is>
          <t>C</t>
        </is>
      </c>
      <c r="D2726" t="inlineStr">
        <is>
          <t>T</t>
        </is>
      </c>
      <c r="E2726" t="inlineStr">
        <is>
          <t>rs72933787</t>
        </is>
      </c>
      <c r="F2726" t="n">
        <v>-0.0007073125539999</v>
      </c>
      <c r="G2726" t="n">
        <v>0.7937548716490254</v>
      </c>
      <c r="H2726" t="n">
        <v>0.0192435375230749</v>
      </c>
      <c r="I2726" t="n">
        <v>0.0890576752665708</v>
      </c>
      <c r="J2726" t="n">
        <v>0.0167148331972105</v>
      </c>
      <c r="K2726" t="n">
        <v>0.6830049827390204</v>
      </c>
      <c r="L2726" t="b">
        <v>0</v>
      </c>
      <c r="M2726" t="b">
        <v>0</v>
      </c>
      <c r="N2726" t="inlineStr">
        <is>
          <t>ref</t>
        </is>
      </c>
      <c r="O2726" t="n">
        <v>-70</v>
      </c>
      <c r="P2726" t="n">
        <v>0.004395</v>
      </c>
      <c r="Q2726" t="n">
        <v>-75</v>
      </c>
      <c r="R2726" t="n">
        <v>0.0001984</v>
      </c>
      <c r="S2726">
        <f>IMAGE("https://mitra.stanford.edu/kundaje/oak/projects/neuro-variants/variant_position/credible/roussos_2024/variant_figures/roussos_2024.childhood.GABA/rs72933787_count_position.png",4,220,900)</f>
        <v/>
      </c>
      <c r="T2726">
        <f>IMAGE("https://mitra.stanford.edu/kundaje/oak/projects/neuro-variants/variant_position/credible/roussos_2024/variant_figures/roussos_2024.childhood.GABA/rs72933787_profile_position.png",4,220,900)</f>
        <v/>
      </c>
    </row>
    <row r="2727">
      <c r="A2727" t="inlineStr">
        <is>
          <t>chr3</t>
        </is>
      </c>
      <c r="B2727" t="n">
        <v>108210974</v>
      </c>
      <c r="C2727" t="inlineStr">
        <is>
          <t>C</t>
        </is>
      </c>
      <c r="D2727" t="inlineStr">
        <is>
          <t>A</t>
        </is>
      </c>
      <c r="E2727" t="inlineStr">
        <is>
          <t>rs1289771</t>
        </is>
      </c>
      <c r="F2727" t="n">
        <v>0.0238724606</v>
      </c>
      <c r="G2727" t="n">
        <v>0.3495629240620172</v>
      </c>
      <c r="H2727" t="n">
        <v>0.0252615739021467</v>
      </c>
      <c r="I2727" t="n">
        <v>0.027097356400168</v>
      </c>
      <c r="J2727" t="n">
        <v>0.0050878515633179</v>
      </c>
      <c r="K2727" t="n">
        <v>0.8112151385493549</v>
      </c>
      <c r="L2727" t="b">
        <v>0</v>
      </c>
      <c r="M2727" t="b">
        <v>0</v>
      </c>
      <c r="N2727" t="inlineStr">
        <is>
          <t>alt</t>
        </is>
      </c>
      <c r="O2727" t="n">
        <v>-25</v>
      </c>
      <c r="P2727" t="n">
        <v>0.002293</v>
      </c>
      <c r="Q2727" t="n">
        <v>80</v>
      </c>
      <c r="R2727" t="n">
        <v>0.09950000000000001</v>
      </c>
      <c r="S2727">
        <f>IMAGE("https://mitra.stanford.edu/kundaje/oak/projects/neuro-variants/variant_position/credible/roussos_2024/variant_figures/roussos_2024.childhood.GABA/rs1289771_count_position.png",4,220,900)</f>
        <v/>
      </c>
      <c r="T2727">
        <f>IMAGE("https://mitra.stanford.edu/kundaje/oak/projects/neuro-variants/variant_position/credible/roussos_2024/variant_figures/roussos_2024.childhood.GABA/rs1289771_profile_position.png",4,220,900)</f>
        <v/>
      </c>
    </row>
    <row r="2728">
      <c r="A2728" t="inlineStr">
        <is>
          <t>chr3</t>
        </is>
      </c>
      <c r="B2728" t="n">
        <v>108211666</v>
      </c>
      <c r="C2728" t="inlineStr">
        <is>
          <t>C</t>
        </is>
      </c>
      <c r="D2728" t="inlineStr">
        <is>
          <t>T</t>
        </is>
      </c>
      <c r="E2728" t="inlineStr">
        <is>
          <t>rs1289769</t>
        </is>
      </c>
      <c r="F2728" t="n">
        <v>0.00563336198</v>
      </c>
      <c r="G2728" t="n">
        <v>0.7496648984391412</v>
      </c>
      <c r="H2728" t="n">
        <v>0.0170252383219829</v>
      </c>
      <c r="I2728" t="n">
        <v>0.1459004947522337</v>
      </c>
      <c r="J2728" t="n">
        <v>0.0011654206194634</v>
      </c>
      <c r="K2728" t="n">
        <v>0.9056348357902964</v>
      </c>
      <c r="L2728" t="b">
        <v>0</v>
      </c>
      <c r="M2728" t="b">
        <v>0</v>
      </c>
      <c r="N2728" t="inlineStr">
        <is>
          <t>alt</t>
        </is>
      </c>
      <c r="O2728" t="n">
        <v>100</v>
      </c>
      <c r="P2728" t="n">
        <v>0.005497</v>
      </c>
      <c r="Q2728" t="n">
        <v>-80</v>
      </c>
      <c r="R2728" t="n">
        <v>0.0441</v>
      </c>
      <c r="S2728">
        <f>IMAGE("https://mitra.stanford.edu/kundaje/oak/projects/neuro-variants/variant_position/credible/roussos_2024/variant_figures/roussos_2024.childhood.GABA/rs1289769_count_position.png",4,220,900)</f>
        <v/>
      </c>
      <c r="T2728">
        <f>IMAGE("https://mitra.stanford.edu/kundaje/oak/projects/neuro-variants/variant_position/credible/roussos_2024/variant_figures/roussos_2024.childhood.GABA/rs1289769_profile_position.png",4,220,900)</f>
        <v/>
      </c>
    </row>
    <row r="2729">
      <c r="A2729" t="inlineStr">
        <is>
          <t>chr3</t>
        </is>
      </c>
      <c r="B2729" t="n">
        <v>108216039</v>
      </c>
      <c r="C2729" t="inlineStr">
        <is>
          <t>T</t>
        </is>
      </c>
      <c r="D2729" t="inlineStr">
        <is>
          <t>C</t>
        </is>
      </c>
      <c r="E2729" t="inlineStr">
        <is>
          <t>rs62267923</t>
        </is>
      </c>
      <c r="F2729" t="n">
        <v>0.0254664834</v>
      </c>
      <c r="G2729" t="n">
        <v>0.331224673403579</v>
      </c>
      <c r="H2729" t="n">
        <v>0.0103139604833339</v>
      </c>
      <c r="I2729" t="n">
        <v>0.6075856766602614</v>
      </c>
      <c r="J2729" t="n">
        <v>0.0061171493790705</v>
      </c>
      <c r="K2729" t="n">
        <v>0.7959482352486854</v>
      </c>
      <c r="L2729" t="b">
        <v>0</v>
      </c>
      <c r="M2729" t="b">
        <v>0</v>
      </c>
      <c r="N2729" t="inlineStr">
        <is>
          <t>alt</t>
        </is>
      </c>
      <c r="O2729" t="n">
        <v>-75</v>
      </c>
      <c r="P2729" t="n">
        <v>0.00581</v>
      </c>
      <c r="Q2729" t="n">
        <v>-30</v>
      </c>
      <c r="R2729" t="n">
        <v>0.01874</v>
      </c>
      <c r="S2729">
        <f>IMAGE("https://mitra.stanford.edu/kundaje/oak/projects/neuro-variants/variant_position/credible/roussos_2024/variant_figures/roussos_2024.childhood.GABA/rs62267923_count_position.png",4,220,900)</f>
        <v/>
      </c>
      <c r="T2729">
        <f>IMAGE("https://mitra.stanford.edu/kundaje/oak/projects/neuro-variants/variant_position/credible/roussos_2024/variant_figures/roussos_2024.childhood.GABA/rs62267923_profile_position.png",4,220,900)</f>
        <v/>
      </c>
    </row>
    <row r="2730">
      <c r="A2730" t="inlineStr">
        <is>
          <t>chr3</t>
        </is>
      </c>
      <c r="B2730" t="n">
        <v>108218724</v>
      </c>
      <c r="C2730" t="inlineStr">
        <is>
          <t>G</t>
        </is>
      </c>
      <c r="D2730" t="inlineStr">
        <is>
          <t>A</t>
        </is>
      </c>
      <c r="E2730" t="inlineStr">
        <is>
          <t>rs1289759</t>
        </is>
      </c>
      <c r="F2730" t="n">
        <v>-0.00533352034</v>
      </c>
      <c r="G2730" t="n">
        <v>0.5918578131690416</v>
      </c>
      <c r="H2730" t="n">
        <v>0.0258152459108425</v>
      </c>
      <c r="I2730" t="n">
        <v>0.0246180739796388</v>
      </c>
      <c r="J2730" t="n">
        <v>0.015612238487152</v>
      </c>
      <c r="K2730" t="n">
        <v>0.695360903828482</v>
      </c>
      <c r="L2730" t="b">
        <v>0</v>
      </c>
      <c r="M2730" t="b">
        <v>0</v>
      </c>
      <c r="N2730" t="inlineStr">
        <is>
          <t>ref</t>
        </is>
      </c>
      <c r="O2730" t="n">
        <v>20</v>
      </c>
      <c r="P2730" t="n">
        <v>0.001725</v>
      </c>
      <c r="Q2730" t="n">
        <v>-40</v>
      </c>
      <c r="R2730" t="n">
        <v>0.05524</v>
      </c>
      <c r="S2730">
        <f>IMAGE("https://mitra.stanford.edu/kundaje/oak/projects/neuro-variants/variant_position/credible/roussos_2024/variant_figures/roussos_2024.childhood.GABA/rs1289759_count_position.png",4,220,900)</f>
        <v/>
      </c>
      <c r="T2730">
        <f>IMAGE("https://mitra.stanford.edu/kundaje/oak/projects/neuro-variants/variant_position/credible/roussos_2024/variant_figures/roussos_2024.childhood.GABA/rs1289759_profile_position.png",4,220,900)</f>
        <v/>
      </c>
    </row>
    <row r="2731">
      <c r="A2731" t="inlineStr">
        <is>
          <t>chr3</t>
        </is>
      </c>
      <c r="B2731" t="n">
        <v>117798492</v>
      </c>
      <c r="C2731" t="inlineStr">
        <is>
          <t>A</t>
        </is>
      </c>
      <c r="D2731" t="inlineStr">
        <is>
          <t>G</t>
        </is>
      </c>
      <c r="E2731" t="inlineStr">
        <is>
          <t>rs9842435</t>
        </is>
      </c>
      <c r="F2731" t="n">
        <v>0.0198701427</v>
      </c>
      <c r="G2731" t="n">
        <v>0.4092720446954105</v>
      </c>
      <c r="H2731" t="n">
        <v>0.0129826537209485</v>
      </c>
      <c r="I2731" t="n">
        <v>0.3457912256241592</v>
      </c>
      <c r="J2731" t="n">
        <v>0.2987068333647462</v>
      </c>
      <c r="K2731" t="n">
        <v>0.1386698133574846</v>
      </c>
      <c r="L2731" t="b">
        <v>0</v>
      </c>
      <c r="M2731" t="b">
        <v>0</v>
      </c>
      <c r="N2731" t="inlineStr">
        <is>
          <t>alt</t>
        </is>
      </c>
      <c r="O2731" t="n">
        <v>-70</v>
      </c>
      <c r="P2731" t="n">
        <v>0.003616</v>
      </c>
      <c r="Q2731" t="n">
        <v>95</v>
      </c>
      <c r="R2731" t="n">
        <v>0.04053</v>
      </c>
      <c r="S2731">
        <f>IMAGE("https://mitra.stanford.edu/kundaje/oak/projects/neuro-variants/variant_position/credible/roussos_2024/variant_figures/roussos_2024.childhood.GABA/rs9842435_count_position.png",4,220,900)</f>
        <v/>
      </c>
      <c r="T2731">
        <f>IMAGE("https://mitra.stanford.edu/kundaje/oak/projects/neuro-variants/variant_position/credible/roussos_2024/variant_figures/roussos_2024.childhood.GABA/rs9842435_profile_position.png",4,220,900)</f>
        <v/>
      </c>
    </row>
    <row r="2732">
      <c r="A2732" t="inlineStr">
        <is>
          <t>chr3</t>
        </is>
      </c>
      <c r="B2732" t="n">
        <v>117801450</v>
      </c>
      <c r="C2732" t="inlineStr">
        <is>
          <t>G</t>
        </is>
      </c>
      <c r="D2732" t="inlineStr">
        <is>
          <t>T</t>
        </is>
      </c>
      <c r="E2732" t="inlineStr">
        <is>
          <t>rs6799997</t>
        </is>
      </c>
      <c r="F2732" t="n">
        <v>0.01232059344</v>
      </c>
      <c r="G2732" t="n">
        <v>0.5489810368047231</v>
      </c>
      <c r="H2732" t="n">
        <v>0.0209036340256563</v>
      </c>
      <c r="I2732" t="n">
        <v>0.064144329129306</v>
      </c>
      <c r="J2732" t="n">
        <v>0.2686425415174551</v>
      </c>
      <c r="K2732" t="n">
        <v>0.1547268797596621</v>
      </c>
      <c r="L2732" t="b">
        <v>0</v>
      </c>
      <c r="M2732" t="b">
        <v>0</v>
      </c>
      <c r="N2732" t="inlineStr">
        <is>
          <t>alt</t>
        </is>
      </c>
      <c r="O2732" t="n">
        <v>60</v>
      </c>
      <c r="P2732" t="n">
        <v>0.0617</v>
      </c>
      <c r="Q2732" t="n">
        <v>55</v>
      </c>
      <c r="R2732" t="n">
        <v>0.05334</v>
      </c>
      <c r="S2732">
        <f>IMAGE("https://mitra.stanford.edu/kundaje/oak/projects/neuro-variants/variant_position/credible/roussos_2024/variant_figures/roussos_2024.childhood.GABA/rs6799997_count_position.png",4,220,900)</f>
        <v/>
      </c>
      <c r="T2732">
        <f>IMAGE("https://mitra.stanford.edu/kundaje/oak/projects/neuro-variants/variant_position/credible/roussos_2024/variant_figures/roussos_2024.childhood.GABA/rs6799997_profile_position.png",4,220,900)</f>
        <v/>
      </c>
    </row>
    <row r="2733">
      <c r="A2733" t="inlineStr">
        <is>
          <t>chr3</t>
        </is>
      </c>
      <c r="B2733" t="n">
        <v>117879459</v>
      </c>
      <c r="C2733" t="inlineStr">
        <is>
          <t>A</t>
        </is>
      </c>
      <c r="D2733" t="inlineStr">
        <is>
          <t>C</t>
        </is>
      </c>
      <c r="E2733" t="inlineStr">
        <is>
          <t>rs55979908</t>
        </is>
      </c>
      <c r="F2733" t="n">
        <v>0.01257839872</v>
      </c>
      <c r="G2733" t="n">
        <v>0.5377378977473992</v>
      </c>
      <c r="H2733" t="n">
        <v>0.0108051207538794</v>
      </c>
      <c r="I2733" t="n">
        <v>0.5576577553161238</v>
      </c>
      <c r="J2733" t="n">
        <v>0.0248968607987266</v>
      </c>
      <c r="K2733" t="n">
        <v>0.6201137589513881</v>
      </c>
      <c r="L2733" t="b">
        <v>0</v>
      </c>
      <c r="M2733" t="b">
        <v>0</v>
      </c>
      <c r="N2733" t="inlineStr">
        <is>
          <t>alt</t>
        </is>
      </c>
      <c r="O2733" t="n">
        <v>80</v>
      </c>
      <c r="P2733" t="n">
        <v>0.00547</v>
      </c>
      <c r="Q2733" t="n">
        <v>20</v>
      </c>
      <c r="R2733" t="n">
        <v>0.04965</v>
      </c>
      <c r="S2733">
        <f>IMAGE("https://mitra.stanford.edu/kundaje/oak/projects/neuro-variants/variant_position/credible/roussos_2024/variant_figures/roussos_2024.childhood.GABA/rs55979908_count_position.png",4,220,900)</f>
        <v/>
      </c>
      <c r="T2733">
        <f>IMAGE("https://mitra.stanford.edu/kundaje/oak/projects/neuro-variants/variant_position/credible/roussos_2024/variant_figures/roussos_2024.childhood.GABA/rs55979908_profile_position.png",4,220,900)</f>
        <v/>
      </c>
    </row>
    <row r="2734">
      <c r="A2734" t="inlineStr">
        <is>
          <t>chr3</t>
        </is>
      </c>
      <c r="B2734" t="n">
        <v>117886764</v>
      </c>
      <c r="C2734" t="inlineStr">
        <is>
          <t>C</t>
        </is>
      </c>
      <c r="D2734" t="inlineStr">
        <is>
          <t>T</t>
        </is>
      </c>
      <c r="E2734" t="inlineStr">
        <is>
          <t>rs62263082</t>
        </is>
      </c>
      <c r="F2734" t="n">
        <v>0.019445394</v>
      </c>
      <c r="G2734" t="n">
        <v>0.439100133645682</v>
      </c>
      <c r="H2734" t="n">
        <v>0.0229059398246091</v>
      </c>
      <c r="I2734" t="n">
        <v>0.0421149752606292</v>
      </c>
      <c r="J2734" t="n">
        <v>0.0666792318485476</v>
      </c>
      <c r="K2734" t="n">
        <v>0.4302356516044763</v>
      </c>
      <c r="L2734" t="b">
        <v>0</v>
      </c>
      <c r="M2734" t="b">
        <v>0</v>
      </c>
      <c r="N2734" t="inlineStr">
        <is>
          <t>alt</t>
        </is>
      </c>
      <c r="O2734" t="n">
        <v>-95</v>
      </c>
      <c r="P2734" t="n">
        <v>0.02472</v>
      </c>
      <c r="Q2734" t="n">
        <v>65</v>
      </c>
      <c r="R2734" t="n">
        <v>0.2031</v>
      </c>
      <c r="S2734">
        <f>IMAGE("https://mitra.stanford.edu/kundaje/oak/projects/neuro-variants/variant_position/credible/roussos_2024/variant_figures/roussos_2024.childhood.GABA/rs62263082_count_position.png",4,220,900)</f>
        <v/>
      </c>
      <c r="T2734">
        <f>IMAGE("https://mitra.stanford.edu/kundaje/oak/projects/neuro-variants/variant_position/credible/roussos_2024/variant_figures/roussos_2024.childhood.GABA/rs62263082_profile_position.png",4,220,900)</f>
        <v/>
      </c>
    </row>
    <row r="2735">
      <c r="A2735" t="inlineStr">
        <is>
          <t>chr3</t>
        </is>
      </c>
      <c r="B2735" t="n">
        <v>117897584</v>
      </c>
      <c r="C2735" t="inlineStr">
        <is>
          <t>C</t>
        </is>
      </c>
      <c r="D2735" t="inlineStr">
        <is>
          <t>T</t>
        </is>
      </c>
      <c r="E2735" t="inlineStr">
        <is>
          <t>rs55704727</t>
        </is>
      </c>
      <c r="F2735" t="n">
        <v>-0.0517499336</v>
      </c>
      <c r="G2735" t="n">
        <v>0.1533669354435714</v>
      </c>
      <c r="H2735" t="n">
        <v>0.0191752540258531</v>
      </c>
      <c r="I2735" t="n">
        <v>0.0890343372056477</v>
      </c>
      <c r="J2735" t="n">
        <v>0.1889059914975602</v>
      </c>
      <c r="K2735" t="n">
        <v>0.2203350696333841</v>
      </c>
      <c r="L2735" t="b">
        <v>0</v>
      </c>
      <c r="M2735" t="b">
        <v>0</v>
      </c>
      <c r="N2735" t="inlineStr">
        <is>
          <t>ref</t>
        </is>
      </c>
      <c r="O2735" t="n">
        <v>-45</v>
      </c>
      <c r="P2735" t="n">
        <v>0.02945</v>
      </c>
      <c r="Q2735" t="n">
        <v>-50</v>
      </c>
      <c r="R2735" t="n">
        <v>0.1404</v>
      </c>
      <c r="S2735">
        <f>IMAGE("https://mitra.stanford.edu/kundaje/oak/projects/neuro-variants/variant_position/credible/roussos_2024/variant_figures/roussos_2024.childhood.GABA/rs55704727_count_position.png",4,220,900)</f>
        <v/>
      </c>
      <c r="T2735">
        <f>IMAGE("https://mitra.stanford.edu/kundaje/oak/projects/neuro-variants/variant_position/credible/roussos_2024/variant_figures/roussos_2024.childhood.GABA/rs55704727_profile_position.png",4,220,900)</f>
        <v/>
      </c>
    </row>
    <row r="2736">
      <c r="A2736" t="inlineStr">
        <is>
          <t>chr3</t>
        </is>
      </c>
      <c r="B2736" t="n">
        <v>117905670</v>
      </c>
      <c r="C2736" t="inlineStr">
        <is>
          <t>C</t>
        </is>
      </c>
      <c r="D2736" t="inlineStr">
        <is>
          <t>T</t>
        </is>
      </c>
      <c r="E2736" t="inlineStr">
        <is>
          <t>rs6769144</t>
        </is>
      </c>
      <c r="F2736" t="n">
        <v>0.00515262246</v>
      </c>
      <c r="G2736" t="n">
        <v>0.7250487389748198</v>
      </c>
      <c r="H2736" t="n">
        <v>0.0162081155447685</v>
      </c>
      <c r="I2736" t="n">
        <v>0.1721592617901738</v>
      </c>
      <c r="J2736" t="n">
        <v>0.0011067831040187</v>
      </c>
      <c r="K2736" t="n">
        <v>0.9251682094485968</v>
      </c>
      <c r="L2736" t="b">
        <v>0</v>
      </c>
      <c r="M2736" t="b">
        <v>0</v>
      </c>
      <c r="N2736" t="inlineStr">
        <is>
          <t>alt</t>
        </is>
      </c>
      <c r="O2736" t="n">
        <v>40</v>
      </c>
      <c r="P2736" t="n">
        <v>0.005653</v>
      </c>
      <c r="Q2736" t="n">
        <v>-85</v>
      </c>
      <c r="R2736" t="n">
        <v>0.01367</v>
      </c>
      <c r="S2736">
        <f>IMAGE("https://mitra.stanford.edu/kundaje/oak/projects/neuro-variants/variant_position/credible/roussos_2024/variant_figures/roussos_2024.childhood.GABA/rs6769144_count_position.png",4,220,900)</f>
        <v/>
      </c>
      <c r="T2736">
        <f>IMAGE("https://mitra.stanford.edu/kundaje/oak/projects/neuro-variants/variant_position/credible/roussos_2024/variant_figures/roussos_2024.childhood.GABA/rs6769144_profile_position.png",4,220,900)</f>
        <v/>
      </c>
    </row>
    <row r="2737">
      <c r="A2737" t="inlineStr">
        <is>
          <t>chr3</t>
        </is>
      </c>
      <c r="B2737" t="n">
        <v>117911328</v>
      </c>
      <c r="C2737" t="inlineStr">
        <is>
          <t>T</t>
        </is>
      </c>
      <c r="D2737" t="inlineStr">
        <is>
          <t>G</t>
        </is>
      </c>
      <c r="E2737" t="inlineStr">
        <is>
          <t>rs62263119</t>
        </is>
      </c>
      <c r="F2737" t="n">
        <v>-0.014604860806</v>
      </c>
      <c r="G2737" t="n">
        <v>0.4520122968079541</v>
      </c>
      <c r="H2737" t="n">
        <v>0.0148399903386551</v>
      </c>
      <c r="I2737" t="n">
        <v>0.2375153225220447</v>
      </c>
      <c r="J2737" t="n">
        <v>0.0315564071956607</v>
      </c>
      <c r="K2737" t="n">
        <v>0.5823929927650229</v>
      </c>
      <c r="L2737" t="b">
        <v>0</v>
      </c>
      <c r="M2737" t="b">
        <v>0</v>
      </c>
      <c r="N2737" t="inlineStr">
        <is>
          <t>ref</t>
        </is>
      </c>
      <c r="O2737" t="n">
        <v>-55</v>
      </c>
      <c r="P2737" t="n">
        <v>0.007736</v>
      </c>
      <c r="Q2737" t="n">
        <v>15</v>
      </c>
      <c r="R2737" t="n">
        <v>0.03162</v>
      </c>
      <c r="S2737">
        <f>IMAGE("https://mitra.stanford.edu/kundaje/oak/projects/neuro-variants/variant_position/credible/roussos_2024/variant_figures/roussos_2024.childhood.GABA/rs62263119_count_position.png",4,220,900)</f>
        <v/>
      </c>
      <c r="T2737">
        <f>IMAGE("https://mitra.stanford.edu/kundaje/oak/projects/neuro-variants/variant_position/credible/roussos_2024/variant_figures/roussos_2024.childhood.GABA/rs62263119_profile_position.png",4,220,900)</f>
        <v/>
      </c>
    </row>
    <row r="2738">
      <c r="A2738" t="inlineStr">
        <is>
          <t>chr3</t>
        </is>
      </c>
      <c r="B2738" t="n">
        <v>117911406</v>
      </c>
      <c r="C2738" t="inlineStr">
        <is>
          <t>A</t>
        </is>
      </c>
      <c r="D2738" t="inlineStr">
        <is>
          <t>G</t>
        </is>
      </c>
      <c r="E2738" t="inlineStr">
        <is>
          <t>rs62263120</t>
        </is>
      </c>
      <c r="F2738" t="n">
        <v>0.009008877259999999</v>
      </c>
      <c r="G2738" t="n">
        <v>0.6326228257952351</v>
      </c>
      <c r="H2738" t="n">
        <v>0.0095365341104026</v>
      </c>
      <c r="I2738" t="n">
        <v>0.6852109343921153</v>
      </c>
      <c r="J2738" t="n">
        <v>0.0231838076689493</v>
      </c>
      <c r="K2738" t="n">
        <v>0.6313993514577099</v>
      </c>
      <c r="L2738" t="b">
        <v>0</v>
      </c>
      <c r="M2738" t="b">
        <v>0</v>
      </c>
      <c r="N2738" t="inlineStr">
        <is>
          <t>alt</t>
        </is>
      </c>
      <c r="O2738" t="n">
        <v>-100</v>
      </c>
      <c r="P2738" t="n">
        <v>0.00534</v>
      </c>
      <c r="Q2738" t="n">
        <v>-60</v>
      </c>
      <c r="R2738" t="n">
        <v>0.0604</v>
      </c>
      <c r="S2738">
        <f>IMAGE("https://mitra.stanford.edu/kundaje/oak/projects/neuro-variants/variant_position/credible/roussos_2024/variant_figures/roussos_2024.childhood.GABA/rs62263120_count_position.png",4,220,900)</f>
        <v/>
      </c>
      <c r="T2738">
        <f>IMAGE("https://mitra.stanford.edu/kundaje/oak/projects/neuro-variants/variant_position/credible/roussos_2024/variant_figures/roussos_2024.childhood.GABA/rs62263120_profile_position.png",4,220,900)</f>
        <v/>
      </c>
    </row>
    <row r="2739">
      <c r="A2739" t="inlineStr">
        <is>
          <t>chr3</t>
        </is>
      </c>
      <c r="B2739" t="n">
        <v>117918458</v>
      </c>
      <c r="C2739" t="inlineStr">
        <is>
          <t>G</t>
        </is>
      </c>
      <c r="D2739" t="inlineStr">
        <is>
          <t>A</t>
        </is>
      </c>
      <c r="E2739" t="inlineStr">
        <is>
          <t>rs62264763</t>
        </is>
      </c>
      <c r="F2739" t="n">
        <v>-0.0615468529379999</v>
      </c>
      <c r="G2739" t="n">
        <v>0.1038353660609025</v>
      </c>
      <c r="H2739" t="n">
        <v>0.0132629515220561</v>
      </c>
      <c r="I2739" t="n">
        <v>0.3190842050498269</v>
      </c>
      <c r="J2739" t="n">
        <v>0.0039109128604636</v>
      </c>
      <c r="K2739" t="n">
        <v>0.8505912504368897</v>
      </c>
      <c r="L2739" t="b">
        <v>0</v>
      </c>
      <c r="M2739" t="b">
        <v>0</v>
      </c>
      <c r="N2739" t="inlineStr">
        <is>
          <t>ref</t>
        </is>
      </c>
      <c r="O2739" t="n">
        <v>-30</v>
      </c>
      <c r="P2739" t="n">
        <v>0.00298</v>
      </c>
      <c r="Q2739" t="n">
        <v>-65</v>
      </c>
      <c r="R2739" t="n">
        <v>0.008359999999999999</v>
      </c>
      <c r="S2739">
        <f>IMAGE("https://mitra.stanford.edu/kundaje/oak/projects/neuro-variants/variant_position/credible/roussos_2024/variant_figures/roussos_2024.childhood.GABA/rs62264763_count_position.png",4,220,900)</f>
        <v/>
      </c>
      <c r="T2739">
        <f>IMAGE("https://mitra.stanford.edu/kundaje/oak/projects/neuro-variants/variant_position/credible/roussos_2024/variant_figures/roussos_2024.childhood.GABA/rs62264763_profile_position.png",4,220,900)</f>
        <v/>
      </c>
    </row>
    <row r="2740">
      <c r="A2740" t="inlineStr">
        <is>
          <t>chr3</t>
        </is>
      </c>
      <c r="B2740" t="n">
        <v>117920728</v>
      </c>
      <c r="C2740" t="inlineStr">
        <is>
          <t>G</t>
        </is>
      </c>
      <c r="D2740" t="inlineStr">
        <is>
          <t>A</t>
        </is>
      </c>
      <c r="E2740" t="inlineStr">
        <is>
          <t>rs62264764</t>
        </is>
      </c>
      <c r="F2740" t="n">
        <v>-0.1789496799999999</v>
      </c>
      <c r="G2740" t="n">
        <v>0.0066020619831752</v>
      </c>
      <c r="H2740" t="n">
        <v>0.0675348641529286</v>
      </c>
      <c r="I2740" t="n">
        <v>0.0007287946491067</v>
      </c>
      <c r="J2740" t="n">
        <v>0.0770287533245376</v>
      </c>
      <c r="K2740" t="n">
        <v>0.4053133323277872</v>
      </c>
      <c r="L2740" t="b">
        <v>1</v>
      </c>
      <c r="M2740" t="b">
        <v>1</v>
      </c>
      <c r="N2740" t="inlineStr">
        <is>
          <t>ref</t>
        </is>
      </c>
      <c r="O2740" t="n">
        <v>45</v>
      </c>
      <c r="P2740" t="n">
        <v>0.001587</v>
      </c>
      <c r="Q2740" t="n">
        <v>-90</v>
      </c>
      <c r="R2740" t="n">
        <v>0.2026</v>
      </c>
      <c r="S2740">
        <f>IMAGE("https://mitra.stanford.edu/kundaje/oak/projects/neuro-variants/variant_position/credible/roussos_2024/variant_figures/roussos_2024.childhood.GABA/rs62264764_count_position.png",4,220,900)</f>
        <v/>
      </c>
      <c r="T2740">
        <f>IMAGE("https://mitra.stanford.edu/kundaje/oak/projects/neuro-variants/variant_position/credible/roussos_2024/variant_figures/roussos_2024.childhood.GABA/rs62264764_profile_position.png",4,220,900)</f>
        <v/>
      </c>
    </row>
    <row r="2741">
      <c r="A2741" t="inlineStr">
        <is>
          <t>chr3</t>
        </is>
      </c>
      <c r="B2741" t="n">
        <v>117921320</v>
      </c>
      <c r="C2741" t="inlineStr">
        <is>
          <t>G</t>
        </is>
      </c>
      <c r="D2741" t="inlineStr">
        <is>
          <t>C</t>
        </is>
      </c>
      <c r="E2741" t="inlineStr">
        <is>
          <t>rs7649429</t>
        </is>
      </c>
      <c r="F2741" t="n">
        <v>-0.0419626126</v>
      </c>
      <c r="G2741" t="n">
        <v>0.1989666094438449</v>
      </c>
      <c r="H2741" t="n">
        <v>0.0135806595091668</v>
      </c>
      <c r="I2741" t="n">
        <v>0.312820115009025</v>
      </c>
      <c r="J2741" t="n">
        <v>0.0318778664321165</v>
      </c>
      <c r="K2741" t="n">
        <v>0.5728750331286634</v>
      </c>
      <c r="L2741" t="b">
        <v>0</v>
      </c>
      <c r="M2741" t="b">
        <v>0</v>
      </c>
      <c r="N2741" t="inlineStr">
        <is>
          <t>ref</t>
        </is>
      </c>
      <c r="O2741" t="n">
        <v>-80</v>
      </c>
      <c r="P2741" t="n">
        <v>0.0288</v>
      </c>
      <c r="Q2741" t="n">
        <v>40</v>
      </c>
      <c r="R2741" t="n">
        <v>0.0696</v>
      </c>
      <c r="S2741">
        <f>IMAGE("https://mitra.stanford.edu/kundaje/oak/projects/neuro-variants/variant_position/credible/roussos_2024/variant_figures/roussos_2024.childhood.GABA/rs7649429_count_position.png",4,220,900)</f>
        <v/>
      </c>
      <c r="T2741">
        <f>IMAGE("https://mitra.stanford.edu/kundaje/oak/projects/neuro-variants/variant_position/credible/roussos_2024/variant_figures/roussos_2024.childhood.GABA/rs7649429_profile_position.png",4,220,900)</f>
        <v/>
      </c>
    </row>
    <row r="2742">
      <c r="A2742" t="inlineStr">
        <is>
          <t>chr3</t>
        </is>
      </c>
      <c r="B2742" t="n">
        <v>117931269</v>
      </c>
      <c r="C2742" t="inlineStr">
        <is>
          <t>T</t>
        </is>
      </c>
      <c r="D2742" t="inlineStr">
        <is>
          <t>C</t>
        </is>
      </c>
      <c r="E2742" t="inlineStr">
        <is>
          <t>rs7631320</t>
        </is>
      </c>
      <c r="F2742" t="n">
        <v>0.038517955</v>
      </c>
      <c r="G2742" t="n">
        <v>0.2169358739629234</v>
      </c>
      <c r="H2742" t="n">
        <v>0.0211124476347301</v>
      </c>
      <c r="I2742" t="n">
        <v>0.0588109944665592</v>
      </c>
      <c r="J2742" t="n">
        <v>0.07358170509518119</v>
      </c>
      <c r="K2742" t="n">
        <v>0.4106477128062713</v>
      </c>
      <c r="L2742" t="b">
        <v>0</v>
      </c>
      <c r="M2742" t="b">
        <v>0</v>
      </c>
      <c r="N2742" t="inlineStr">
        <is>
          <t>alt</t>
        </is>
      </c>
      <c r="O2742" t="n">
        <v>-25</v>
      </c>
      <c r="P2742" t="n">
        <v>0.00255</v>
      </c>
      <c r="Q2742" t="n">
        <v>-85</v>
      </c>
      <c r="R2742" t="n">
        <v>0.05365</v>
      </c>
      <c r="S2742">
        <f>IMAGE("https://mitra.stanford.edu/kundaje/oak/projects/neuro-variants/variant_position/credible/roussos_2024/variant_figures/roussos_2024.childhood.GABA/rs7631320_count_position.png",4,220,900)</f>
        <v/>
      </c>
      <c r="T2742">
        <f>IMAGE("https://mitra.stanford.edu/kundaje/oak/projects/neuro-variants/variant_position/credible/roussos_2024/variant_figures/roussos_2024.childhood.GABA/rs7631320_profile_position.png",4,220,900)</f>
        <v/>
      </c>
    </row>
    <row r="2743">
      <c r="A2743" t="inlineStr">
        <is>
          <t>chr3</t>
        </is>
      </c>
      <c r="B2743" t="n">
        <v>117934780</v>
      </c>
      <c r="C2743" t="inlineStr">
        <is>
          <t>G</t>
        </is>
      </c>
      <c r="D2743" t="inlineStr">
        <is>
          <t>T</t>
        </is>
      </c>
      <c r="E2743" t="inlineStr">
        <is>
          <t>rs62264778</t>
        </is>
      </c>
      <c r="F2743" t="n">
        <v>-0.06286817460000001</v>
      </c>
      <c r="G2743" t="n">
        <v>0.1021407032853561</v>
      </c>
      <c r="H2743" t="n">
        <v>0.0125724403181932</v>
      </c>
      <c r="I2743" t="n">
        <v>0.3852413932817964</v>
      </c>
      <c r="J2743" t="n">
        <v>0.0324035098741387</v>
      </c>
      <c r="K2743" t="n">
        <v>0.5693181133015973</v>
      </c>
      <c r="L2743" t="b">
        <v>0</v>
      </c>
      <c r="M2743" t="b">
        <v>0</v>
      </c>
      <c r="N2743" t="inlineStr">
        <is>
          <t>ref</t>
        </is>
      </c>
      <c r="O2743" t="n">
        <v>85</v>
      </c>
      <c r="P2743" t="n">
        <v>0.01834</v>
      </c>
      <c r="Q2743" t="n">
        <v>5</v>
      </c>
      <c r="R2743" t="n">
        <v>0.001953</v>
      </c>
      <c r="S2743">
        <f>IMAGE("https://mitra.stanford.edu/kundaje/oak/projects/neuro-variants/variant_position/credible/roussos_2024/variant_figures/roussos_2024.childhood.GABA/rs62264778_count_position.png",4,220,900)</f>
        <v/>
      </c>
      <c r="T2743">
        <f>IMAGE("https://mitra.stanford.edu/kundaje/oak/projects/neuro-variants/variant_position/credible/roussos_2024/variant_figures/roussos_2024.childhood.GABA/rs62264778_profile_position.png",4,220,900)</f>
        <v/>
      </c>
    </row>
    <row r="2744">
      <c r="A2744" t="inlineStr">
        <is>
          <t>chr3</t>
        </is>
      </c>
      <c r="B2744" t="n">
        <v>117936022</v>
      </c>
      <c r="C2744" t="inlineStr">
        <is>
          <t>T</t>
        </is>
      </c>
      <c r="D2744" t="inlineStr">
        <is>
          <t>C</t>
        </is>
      </c>
      <c r="E2744" t="inlineStr">
        <is>
          <t>rs62264780</t>
        </is>
      </c>
      <c r="F2744" t="n">
        <v>0.05823757</v>
      </c>
      <c r="G2744" t="n">
        <v>0.1064938831804647</v>
      </c>
      <c r="H2744" t="n">
        <v>0.0168326248249923</v>
      </c>
      <c r="I2744" t="n">
        <v>0.1477342545252614</v>
      </c>
      <c r="J2744" t="n">
        <v>0.182855856421855</v>
      </c>
      <c r="K2744" t="n">
        <v>0.2303095794568531</v>
      </c>
      <c r="L2744" t="b">
        <v>0</v>
      </c>
      <c r="M2744" t="b">
        <v>0</v>
      </c>
      <c r="N2744" t="inlineStr">
        <is>
          <t>alt</t>
        </is>
      </c>
      <c r="O2744" t="n">
        <v>100</v>
      </c>
      <c r="P2744" t="n">
        <v>0.005127</v>
      </c>
      <c r="Q2744" t="n">
        <v>100</v>
      </c>
      <c r="R2744" t="n">
        <v>0.05444</v>
      </c>
      <c r="S2744">
        <f>IMAGE("https://mitra.stanford.edu/kundaje/oak/projects/neuro-variants/variant_position/credible/roussos_2024/variant_figures/roussos_2024.childhood.GABA/rs62264780_count_position.png",4,220,900)</f>
        <v/>
      </c>
      <c r="T2744">
        <f>IMAGE("https://mitra.stanford.edu/kundaje/oak/projects/neuro-variants/variant_position/credible/roussos_2024/variant_figures/roussos_2024.childhood.GABA/rs62264780_profile_position.png",4,220,900)</f>
        <v/>
      </c>
    </row>
    <row r="2745">
      <c r="A2745" t="inlineStr">
        <is>
          <t>chr3</t>
        </is>
      </c>
      <c r="B2745" t="n">
        <v>117938350</v>
      </c>
      <c r="C2745" t="inlineStr">
        <is>
          <t>C</t>
        </is>
      </c>
      <c r="D2745" t="inlineStr">
        <is>
          <t>T</t>
        </is>
      </c>
      <c r="E2745" t="inlineStr">
        <is>
          <t>rs73168397</t>
        </is>
      </c>
      <c r="F2745" t="n">
        <v>-0.006784915</v>
      </c>
      <c r="G2745" t="n">
        <v>0.7411429086729781</v>
      </c>
      <c r="H2745" t="n">
        <v>0.0067312341178207</v>
      </c>
      <c r="I2745" t="n">
        <v>0.9516759108148286</v>
      </c>
      <c r="J2745" t="n">
        <v>0.003829239178237</v>
      </c>
      <c r="K2745" t="n">
        <v>0.8403811929798481</v>
      </c>
      <c r="L2745" t="b">
        <v>0</v>
      </c>
      <c r="M2745" t="b">
        <v>0</v>
      </c>
      <c r="N2745" t="inlineStr">
        <is>
          <t>ref</t>
        </is>
      </c>
      <c r="O2745" t="n">
        <v>-100</v>
      </c>
      <c r="P2745" t="n">
        <v>0.004734</v>
      </c>
      <c r="Q2745" t="n">
        <v>55</v>
      </c>
      <c r="R2745" t="n">
        <v>0.08716</v>
      </c>
      <c r="S2745">
        <f>IMAGE("https://mitra.stanford.edu/kundaje/oak/projects/neuro-variants/variant_position/credible/roussos_2024/variant_figures/roussos_2024.childhood.GABA/rs73168397_count_position.png",4,220,900)</f>
        <v/>
      </c>
      <c r="T2745">
        <f>IMAGE("https://mitra.stanford.edu/kundaje/oak/projects/neuro-variants/variant_position/credible/roussos_2024/variant_figures/roussos_2024.childhood.GABA/rs73168397_profile_position.png",4,220,900)</f>
        <v/>
      </c>
    </row>
    <row r="2746">
      <c r="A2746" t="inlineStr">
        <is>
          <t>chr3</t>
        </is>
      </c>
      <c r="B2746" t="n">
        <v>117953094</v>
      </c>
      <c r="C2746" t="inlineStr">
        <is>
          <t>T</t>
        </is>
      </c>
      <c r="D2746" t="inlineStr">
        <is>
          <t>C</t>
        </is>
      </c>
      <c r="E2746" t="inlineStr">
        <is>
          <t>rs62264819</t>
        </is>
      </c>
      <c r="F2746" t="n">
        <v>0.0101018352</v>
      </c>
      <c r="G2746" t="n">
        <v>0.4945905201145719</v>
      </c>
      <c r="H2746" t="n">
        <v>0.0075746221590493</v>
      </c>
      <c r="I2746" t="n">
        <v>0.8912377850708054</v>
      </c>
      <c r="J2746" t="n">
        <v>0.0265554648070197</v>
      </c>
      <c r="K2746" t="n">
        <v>0.6157829854733058</v>
      </c>
      <c r="L2746" t="b">
        <v>0</v>
      </c>
      <c r="M2746" t="b">
        <v>0</v>
      </c>
      <c r="N2746" t="inlineStr">
        <is>
          <t>alt</t>
        </is>
      </c>
      <c r="O2746" t="n">
        <v>-95</v>
      </c>
      <c r="P2746" t="n">
        <v>0.001602</v>
      </c>
      <c r="Q2746" t="n">
        <v>-35</v>
      </c>
      <c r="R2746" t="n">
        <v>0.02747</v>
      </c>
      <c r="S2746">
        <f>IMAGE("https://mitra.stanford.edu/kundaje/oak/projects/neuro-variants/variant_position/credible/roussos_2024/variant_figures/roussos_2024.childhood.GABA/rs62264819_count_position.png",4,220,900)</f>
        <v/>
      </c>
      <c r="T2746">
        <f>IMAGE("https://mitra.stanford.edu/kundaje/oak/projects/neuro-variants/variant_position/credible/roussos_2024/variant_figures/roussos_2024.childhood.GABA/rs62264819_profile_position.png",4,220,900)</f>
        <v/>
      </c>
    </row>
    <row r="2747">
      <c r="A2747" t="inlineStr">
        <is>
          <t>chr3</t>
        </is>
      </c>
      <c r="B2747" t="n">
        <v>118000691</v>
      </c>
      <c r="C2747" t="inlineStr">
        <is>
          <t>A</t>
        </is>
      </c>
      <c r="D2747" t="inlineStr">
        <is>
          <t>C</t>
        </is>
      </c>
      <c r="E2747" t="inlineStr">
        <is>
          <t>rs1499972</t>
        </is>
      </c>
      <c r="F2747" t="n">
        <v>0.0602969748</v>
      </c>
      <c r="G2747" t="n">
        <v>0.0976497987171944</v>
      </c>
      <c r="H2747" t="n">
        <v>0.0189547933661536</v>
      </c>
      <c r="I2747" t="n">
        <v>0.0933332203961262</v>
      </c>
      <c r="J2747" t="n">
        <v>0.1073789030596217</v>
      </c>
      <c r="K2747" t="n">
        <v>0.3393871406993632</v>
      </c>
      <c r="L2747" t="b">
        <v>0</v>
      </c>
      <c r="M2747" t="b">
        <v>0</v>
      </c>
      <c r="N2747" t="inlineStr">
        <is>
          <t>alt</t>
        </is>
      </c>
      <c r="O2747" t="n">
        <v>-65</v>
      </c>
      <c r="P2747" t="n">
        <v>0.0223</v>
      </c>
      <c r="Q2747" t="n">
        <v>90</v>
      </c>
      <c r="R2747" t="n">
        <v>0.1506</v>
      </c>
      <c r="S2747">
        <f>IMAGE("https://mitra.stanford.edu/kundaje/oak/projects/neuro-variants/variant_position/credible/roussos_2024/variant_figures/roussos_2024.childhood.GABA/rs1499972_count_position.png",4,220,900)</f>
        <v/>
      </c>
      <c r="T2747">
        <f>IMAGE("https://mitra.stanford.edu/kundaje/oak/projects/neuro-variants/variant_position/credible/roussos_2024/variant_figures/roussos_2024.childhood.GABA/rs1499972_profile_position.png",4,220,900)</f>
        <v/>
      </c>
    </row>
    <row r="2748">
      <c r="A2748" t="inlineStr">
        <is>
          <t>chr3</t>
        </is>
      </c>
      <c r="B2748" t="n">
        <v>118001626</v>
      </c>
      <c r="C2748" t="inlineStr">
        <is>
          <t>C</t>
        </is>
      </c>
      <c r="D2748" t="inlineStr">
        <is>
          <t>T</t>
        </is>
      </c>
      <c r="E2748" t="inlineStr">
        <is>
          <t>rs2925312</t>
        </is>
      </c>
      <c r="F2748" t="n">
        <v>-0.228764236</v>
      </c>
      <c r="G2748" t="n">
        <v>0.0030341158816623</v>
      </c>
      <c r="H2748" t="n">
        <v>0.0264316326518731</v>
      </c>
      <c r="I2748" t="n">
        <v>0.0235618926437386</v>
      </c>
      <c r="J2748" t="n">
        <v>0.1848715210152666</v>
      </c>
      <c r="K2748" t="n">
        <v>0.2286923269696991</v>
      </c>
      <c r="L2748" t="b">
        <v>1</v>
      </c>
      <c r="M2748" t="b">
        <v>1</v>
      </c>
      <c r="N2748" t="inlineStr">
        <is>
          <t>ref</t>
        </is>
      </c>
      <c r="O2748" t="n">
        <v>100</v>
      </c>
      <c r="P2748" t="n">
        <v>0.00929</v>
      </c>
      <c r="Q2748" t="n">
        <v>-75</v>
      </c>
      <c r="R2748" t="n">
        <v>0.07335999999999999</v>
      </c>
      <c r="S2748">
        <f>IMAGE("https://mitra.stanford.edu/kundaje/oak/projects/neuro-variants/variant_position/credible/roussos_2024/variant_figures/roussos_2024.childhood.GABA/rs2925312_count_position.png",4,220,900)</f>
        <v/>
      </c>
      <c r="T2748">
        <f>IMAGE("https://mitra.stanford.edu/kundaje/oak/projects/neuro-variants/variant_position/credible/roussos_2024/variant_figures/roussos_2024.childhood.GABA/rs2925312_profile_position.png",4,220,900)</f>
        <v/>
      </c>
    </row>
    <row r="2749">
      <c r="A2749" t="inlineStr">
        <is>
          <t>chr3</t>
        </is>
      </c>
      <c r="B2749" t="n">
        <v>118002581</v>
      </c>
      <c r="C2749" t="inlineStr">
        <is>
          <t>A</t>
        </is>
      </c>
      <c r="D2749" t="inlineStr">
        <is>
          <t>G</t>
        </is>
      </c>
      <c r="E2749" t="inlineStr">
        <is>
          <t>rs843852</t>
        </is>
      </c>
      <c r="F2749" t="n">
        <v>0.0132496752</v>
      </c>
      <c r="G2749" t="n">
        <v>0.5300501037504083</v>
      </c>
      <c r="H2749" t="n">
        <v>0.008581484374076199</v>
      </c>
      <c r="I2749" t="n">
        <v>0.7930147411389042</v>
      </c>
      <c r="J2749" t="n">
        <v>0.0468785994010596</v>
      </c>
      <c r="K2749" t="n">
        <v>0.5025499695511566</v>
      </c>
      <c r="L2749" t="b">
        <v>0</v>
      </c>
      <c r="M2749" t="b">
        <v>0</v>
      </c>
      <c r="N2749" t="inlineStr">
        <is>
          <t>alt</t>
        </is>
      </c>
      <c r="O2749" t="n">
        <v>-100</v>
      </c>
      <c r="P2749" t="n">
        <v>0.004707</v>
      </c>
      <c r="Q2749" t="n">
        <v>50</v>
      </c>
      <c r="R2749" t="n">
        <v>0.0895</v>
      </c>
      <c r="S2749">
        <f>IMAGE("https://mitra.stanford.edu/kundaje/oak/projects/neuro-variants/variant_position/credible/roussos_2024/variant_figures/roussos_2024.childhood.GABA/rs843852_count_position.png",4,220,900)</f>
        <v/>
      </c>
      <c r="T2749">
        <f>IMAGE("https://mitra.stanford.edu/kundaje/oak/projects/neuro-variants/variant_position/credible/roussos_2024/variant_figures/roussos_2024.childhood.GABA/rs843852_profile_position.png",4,220,900)</f>
        <v/>
      </c>
    </row>
    <row r="2750">
      <c r="A2750" t="inlineStr">
        <is>
          <t>chr3</t>
        </is>
      </c>
      <c r="B2750" t="n">
        <v>118007409</v>
      </c>
      <c r="C2750" t="inlineStr">
        <is>
          <t>C</t>
        </is>
      </c>
      <c r="D2750" t="inlineStr">
        <is>
          <t>T</t>
        </is>
      </c>
      <c r="E2750" t="inlineStr">
        <is>
          <t>rs1093464</t>
        </is>
      </c>
      <c r="F2750" t="n">
        <v>-0.0753791011999999</v>
      </c>
      <c r="G2750" t="n">
        <v>0.0586046451464643</v>
      </c>
      <c r="H2750" t="n">
        <v>0.0116362461556429</v>
      </c>
      <c r="I2750" t="n">
        <v>0.4754673290030224</v>
      </c>
      <c r="J2750" t="n">
        <v>0.0123965990241041</v>
      </c>
      <c r="K2750" t="n">
        <v>0.7190590059296278</v>
      </c>
      <c r="L2750" t="b">
        <v>0</v>
      </c>
      <c r="M2750" t="b">
        <v>0</v>
      </c>
      <c r="N2750" t="inlineStr">
        <is>
          <t>ref</t>
        </is>
      </c>
      <c r="O2750" t="n">
        <v>-95</v>
      </c>
      <c r="P2750" t="n">
        <v>0.01214</v>
      </c>
      <c r="Q2750" t="n">
        <v>100</v>
      </c>
      <c r="R2750" t="n">
        <v>0.2435</v>
      </c>
      <c r="S2750">
        <f>IMAGE("https://mitra.stanford.edu/kundaje/oak/projects/neuro-variants/variant_position/credible/roussos_2024/variant_figures/roussos_2024.childhood.GABA/rs1093464_count_position.png",4,220,900)</f>
        <v/>
      </c>
      <c r="T2750">
        <f>IMAGE("https://mitra.stanford.edu/kundaje/oak/projects/neuro-variants/variant_position/credible/roussos_2024/variant_figures/roussos_2024.childhood.GABA/rs1093464_profile_position.png",4,220,900)</f>
        <v/>
      </c>
    </row>
    <row r="2751">
      <c r="A2751" t="inlineStr">
        <is>
          <t>chr3</t>
        </is>
      </c>
      <c r="B2751" t="n">
        <v>118031005</v>
      </c>
      <c r="C2751" t="inlineStr">
        <is>
          <t>C</t>
        </is>
      </c>
      <c r="D2751" t="inlineStr">
        <is>
          <t>T</t>
        </is>
      </c>
      <c r="E2751" t="inlineStr">
        <is>
          <t>rs846184</t>
        </is>
      </c>
      <c r="F2751" t="n">
        <v>-0.089035032</v>
      </c>
      <c r="G2751" t="n">
        <v>0.0444553021575038</v>
      </c>
      <c r="H2751" t="n">
        <v>0.0167573311273892</v>
      </c>
      <c r="I2751" t="n">
        <v>0.146332377796979</v>
      </c>
      <c r="J2751" t="n">
        <v>0.006834411844778</v>
      </c>
      <c r="K2751" t="n">
        <v>0.7861160878618446</v>
      </c>
      <c r="L2751" t="b">
        <v>0</v>
      </c>
      <c r="M2751" t="b">
        <v>0</v>
      </c>
      <c r="N2751" t="inlineStr">
        <is>
          <t>ref</t>
        </is>
      </c>
      <c r="O2751" t="n">
        <v>90</v>
      </c>
      <c r="P2751" t="n">
        <v>0.02254</v>
      </c>
      <c r="Q2751" t="n">
        <v>-55</v>
      </c>
      <c r="R2751" t="n">
        <v>0.06909999999999999</v>
      </c>
      <c r="S2751">
        <f>IMAGE("https://mitra.stanford.edu/kundaje/oak/projects/neuro-variants/variant_position/credible/roussos_2024/variant_figures/roussos_2024.childhood.GABA/rs846184_count_position.png",4,220,900)</f>
        <v/>
      </c>
      <c r="T2751">
        <f>IMAGE("https://mitra.stanford.edu/kundaje/oak/projects/neuro-variants/variant_position/credible/roussos_2024/variant_figures/roussos_2024.childhood.GABA/rs846184_profile_position.png",4,220,900)</f>
        <v/>
      </c>
    </row>
    <row r="2752">
      <c r="A2752" t="inlineStr">
        <is>
          <t>chr3</t>
        </is>
      </c>
      <c r="B2752" t="n">
        <v>118082483</v>
      </c>
      <c r="C2752" t="inlineStr">
        <is>
          <t>T</t>
        </is>
      </c>
      <c r="D2752" t="inlineStr">
        <is>
          <t>C</t>
        </is>
      </c>
      <c r="E2752" t="inlineStr">
        <is>
          <t>rs1499976</t>
        </is>
      </c>
      <c r="F2752" t="n">
        <v>0.0906718472</v>
      </c>
      <c r="G2752" t="n">
        <v>0.036201241290568</v>
      </c>
      <c r="H2752" t="n">
        <v>0.0122578883483939</v>
      </c>
      <c r="I2752" t="n">
        <v>0.4190989211665327</v>
      </c>
      <c r="J2752" t="n">
        <v>0.0359783041192854</v>
      </c>
      <c r="K2752" t="n">
        <v>0.5537965207970381</v>
      </c>
      <c r="L2752" t="b">
        <v>0</v>
      </c>
      <c r="M2752" t="b">
        <v>0</v>
      </c>
      <c r="N2752" t="inlineStr">
        <is>
          <t>alt</t>
        </is>
      </c>
      <c r="O2752" t="n">
        <v>100</v>
      </c>
      <c r="P2752" t="n">
        <v>0.005222</v>
      </c>
      <c r="Q2752" t="n">
        <v>-65</v>
      </c>
      <c r="R2752" t="n">
        <v>0.0547</v>
      </c>
      <c r="S2752">
        <f>IMAGE("https://mitra.stanford.edu/kundaje/oak/projects/neuro-variants/variant_position/credible/roussos_2024/variant_figures/roussos_2024.childhood.GABA/rs1499976_count_position.png",4,220,900)</f>
        <v/>
      </c>
      <c r="T2752">
        <f>IMAGE("https://mitra.stanford.edu/kundaje/oak/projects/neuro-variants/variant_position/credible/roussos_2024/variant_figures/roussos_2024.childhood.GABA/rs1499976_profile_position.png",4,220,900)</f>
        <v/>
      </c>
    </row>
    <row r="2753">
      <c r="A2753" t="inlineStr">
        <is>
          <t>chr3</t>
        </is>
      </c>
      <c r="B2753" t="n">
        <v>128072865</v>
      </c>
      <c r="C2753" t="inlineStr">
        <is>
          <t>T</t>
        </is>
      </c>
      <c r="D2753" t="inlineStr">
        <is>
          <t>C</t>
        </is>
      </c>
      <c r="E2753" t="inlineStr">
        <is>
          <t>rs7612065</t>
        </is>
      </c>
      <c r="F2753" t="n">
        <v>0.1150984528</v>
      </c>
      <c r="G2753" t="n">
        <v>0.022047108628382</v>
      </c>
      <c r="H2753" t="n">
        <v>0.0195402696830849</v>
      </c>
      <c r="I2753" t="n">
        <v>0.0851285973081848</v>
      </c>
      <c r="J2753" t="n">
        <v>0.4305323448723586</v>
      </c>
      <c r="K2753" t="n">
        <v>0.07372313408948999</v>
      </c>
      <c r="L2753" t="b">
        <v>0</v>
      </c>
      <c r="M2753" t="b">
        <v>0</v>
      </c>
      <c r="N2753" t="inlineStr">
        <is>
          <t>alt</t>
        </is>
      </c>
      <c r="O2753" t="n">
        <v>-95</v>
      </c>
      <c r="P2753" t="n">
        <v>0.006958</v>
      </c>
      <c r="Q2753" t="n">
        <v>-65</v>
      </c>
      <c r="R2753" t="n">
        <v>0.04126</v>
      </c>
      <c r="S2753">
        <f>IMAGE("https://mitra.stanford.edu/kundaje/oak/projects/neuro-variants/variant_position/credible/roussos_2024/variant_figures/roussos_2024.childhood.GABA/rs7612065_count_position.png",4,220,900)</f>
        <v/>
      </c>
      <c r="T2753">
        <f>IMAGE("https://mitra.stanford.edu/kundaje/oak/projects/neuro-variants/variant_position/credible/roussos_2024/variant_figures/roussos_2024.childhood.GABA/rs7612065_profile_position.png",4,220,900)</f>
        <v/>
      </c>
    </row>
    <row r="2754">
      <c r="A2754" t="inlineStr">
        <is>
          <t>chr3</t>
        </is>
      </c>
      <c r="B2754" t="n">
        <v>128088271</v>
      </c>
      <c r="C2754" t="inlineStr">
        <is>
          <t>G</t>
        </is>
      </c>
      <c r="D2754" t="inlineStr">
        <is>
          <t>A</t>
        </is>
      </c>
      <c r="E2754" t="inlineStr">
        <is>
          <t>rs6439112</t>
        </is>
      </c>
      <c r="F2754" t="n">
        <v>0.01245211598</v>
      </c>
      <c r="G2754" t="n">
        <v>0.5487129811103495</v>
      </c>
      <c r="H2754" t="n">
        <v>0.0410196680652367</v>
      </c>
      <c r="I2754" t="n">
        <v>0.0034680740976236</v>
      </c>
      <c r="J2754" t="n">
        <v>0.0329260120206906</v>
      </c>
      <c r="K2754" t="n">
        <v>0.5635304012090514</v>
      </c>
      <c r="L2754" t="b">
        <v>1</v>
      </c>
      <c r="M2754" t="b">
        <v>0</v>
      </c>
      <c r="N2754" t="inlineStr">
        <is>
          <t>alt</t>
        </is>
      </c>
      <c r="O2754" t="n">
        <v>-55</v>
      </c>
      <c r="P2754" t="n">
        <v>0.01349</v>
      </c>
      <c r="Q2754" t="n">
        <v>50</v>
      </c>
      <c r="R2754" t="n">
        <v>0.0547</v>
      </c>
      <c r="S2754">
        <f>IMAGE("https://mitra.stanford.edu/kundaje/oak/projects/neuro-variants/variant_position/credible/roussos_2024/variant_figures/roussos_2024.childhood.GABA/rs6439112_count_position.png",4,220,900)</f>
        <v/>
      </c>
      <c r="T2754">
        <f>IMAGE("https://mitra.stanford.edu/kundaje/oak/projects/neuro-variants/variant_position/credible/roussos_2024/variant_figures/roussos_2024.childhood.GABA/rs6439112_profile_position.png",4,220,900)</f>
        <v/>
      </c>
    </row>
    <row r="2755">
      <c r="A2755" t="inlineStr">
        <is>
          <t>chr3</t>
        </is>
      </c>
      <c r="B2755" t="n">
        <v>128100219</v>
      </c>
      <c r="C2755" t="inlineStr">
        <is>
          <t>G</t>
        </is>
      </c>
      <c r="D2755" t="inlineStr">
        <is>
          <t>C</t>
        </is>
      </c>
      <c r="E2755" t="inlineStr">
        <is>
          <t>rs4857866</t>
        </is>
      </c>
      <c r="F2755" t="n">
        <v>-0.0182695698999999</v>
      </c>
      <c r="G2755" t="n">
        <v>0.4875646130426307</v>
      </c>
      <c r="H2755" t="n">
        <v>0.0078191626682989</v>
      </c>
      <c r="I2755" t="n">
        <v>0.8822404577330059</v>
      </c>
      <c r="J2755" t="n">
        <v>0.0864641578186843</v>
      </c>
      <c r="K2755" t="n">
        <v>0.393758437478473</v>
      </c>
      <c r="L2755" t="b">
        <v>0</v>
      </c>
      <c r="M2755" t="b">
        <v>0</v>
      </c>
      <c r="N2755" t="inlineStr">
        <is>
          <t>ref</t>
        </is>
      </c>
      <c r="O2755" t="n">
        <v>-85</v>
      </c>
      <c r="P2755" t="n">
        <v>0.006073</v>
      </c>
      <c r="Q2755" t="n">
        <v>65</v>
      </c>
      <c r="R2755" t="n">
        <v>0.05658</v>
      </c>
      <c r="S2755">
        <f>IMAGE("https://mitra.stanford.edu/kundaje/oak/projects/neuro-variants/variant_position/credible/roussos_2024/variant_figures/roussos_2024.childhood.GABA/rs4857866_count_position.png",4,220,900)</f>
        <v/>
      </c>
      <c r="T2755">
        <f>IMAGE("https://mitra.stanford.edu/kundaje/oak/projects/neuro-variants/variant_position/credible/roussos_2024/variant_figures/roussos_2024.childhood.GABA/rs4857866_profile_position.png",4,220,900)</f>
        <v/>
      </c>
    </row>
    <row r="2756">
      <c r="A2756" t="inlineStr">
        <is>
          <t>chr3</t>
        </is>
      </c>
      <c r="B2756" t="n">
        <v>128173194</v>
      </c>
      <c r="C2756" t="inlineStr">
        <is>
          <t>T</t>
        </is>
      </c>
      <c r="D2756" t="inlineStr">
        <is>
          <t>C</t>
        </is>
      </c>
      <c r="E2756" t="inlineStr">
        <is>
          <t>rs2999052</t>
        </is>
      </c>
      <c r="F2756" t="n">
        <v>0.0470920936</v>
      </c>
      <c r="G2756" t="n">
        <v>0.1509440519751975</v>
      </c>
      <c r="H2756" t="n">
        <v>0.0104542023393072</v>
      </c>
      <c r="I2756" t="n">
        <v>0.5924000531850402</v>
      </c>
      <c r="J2756" t="n">
        <v>0.3715367217440472</v>
      </c>
      <c r="K2756" t="n">
        <v>0.098980763866501</v>
      </c>
      <c r="L2756" t="b">
        <v>0</v>
      </c>
      <c r="M2756" t="b">
        <v>0</v>
      </c>
      <c r="N2756" t="inlineStr">
        <is>
          <t>alt</t>
        </is>
      </c>
      <c r="O2756" t="n">
        <v>-5</v>
      </c>
      <c r="P2756" t="n">
        <v>0.0001678</v>
      </c>
      <c r="Q2756" t="n">
        <v>60</v>
      </c>
      <c r="R2756" t="n">
        <v>0.12103</v>
      </c>
      <c r="S2756">
        <f>IMAGE("https://mitra.stanford.edu/kundaje/oak/projects/neuro-variants/variant_position/credible/roussos_2024/variant_figures/roussos_2024.childhood.GABA/rs2999052_count_position.png",4,220,900)</f>
        <v/>
      </c>
      <c r="T2756">
        <f>IMAGE("https://mitra.stanford.edu/kundaje/oak/projects/neuro-variants/variant_position/credible/roussos_2024/variant_figures/roussos_2024.childhood.GABA/rs2999052_profile_position.png",4,220,900)</f>
        <v/>
      </c>
    </row>
    <row r="2757">
      <c r="A2757" t="inlineStr">
        <is>
          <t>chr3</t>
        </is>
      </c>
      <c r="B2757" t="n">
        <v>128176383</v>
      </c>
      <c r="C2757" t="inlineStr">
        <is>
          <t>A</t>
        </is>
      </c>
      <c r="D2757" t="inlineStr">
        <is>
          <t>G</t>
        </is>
      </c>
      <c r="E2757" t="inlineStr">
        <is>
          <t>rs2687729</t>
        </is>
      </c>
      <c r="F2757" t="n">
        <v>0.0552815344</v>
      </c>
      <c r="G2757" t="n">
        <v>0.1162602252001305</v>
      </c>
      <c r="H2757" t="n">
        <v>0.0107220020977777</v>
      </c>
      <c r="I2757" t="n">
        <v>0.5668215521584832</v>
      </c>
      <c r="J2757" t="n">
        <v>0.098167577642353</v>
      </c>
      <c r="K2757" t="n">
        <v>0.3603593302036669</v>
      </c>
      <c r="L2757" t="b">
        <v>0</v>
      </c>
      <c r="M2757" t="b">
        <v>0</v>
      </c>
      <c r="N2757" t="inlineStr">
        <is>
          <t>alt</t>
        </is>
      </c>
      <c r="O2757" t="n">
        <v>-100</v>
      </c>
      <c r="P2757" t="n">
        <v>0.02411</v>
      </c>
      <c r="Q2757" t="n">
        <v>65</v>
      </c>
      <c r="R2757" t="n">
        <v>0.02185</v>
      </c>
      <c r="S2757">
        <f>IMAGE("https://mitra.stanford.edu/kundaje/oak/projects/neuro-variants/variant_position/credible/roussos_2024/variant_figures/roussos_2024.childhood.GABA/rs2687729_count_position.png",4,220,900)</f>
        <v/>
      </c>
      <c r="T2757">
        <f>IMAGE("https://mitra.stanford.edu/kundaje/oak/projects/neuro-variants/variant_position/credible/roussos_2024/variant_figures/roussos_2024.childhood.GABA/rs2687729_profile_position.png",4,220,900)</f>
        <v/>
      </c>
    </row>
    <row r="2758">
      <c r="A2758" t="inlineStr">
        <is>
          <t>chr3</t>
        </is>
      </c>
      <c r="B2758" t="n">
        <v>128186805</v>
      </c>
      <c r="C2758" t="inlineStr">
        <is>
          <t>A</t>
        </is>
      </c>
      <c r="D2758" t="inlineStr">
        <is>
          <t>T</t>
        </is>
      </c>
      <c r="E2758" t="inlineStr">
        <is>
          <t>rs2999059</t>
        </is>
      </c>
      <c r="F2758" t="n">
        <v>-0.0069817523</v>
      </c>
      <c r="G2758" t="n">
        <v>0.6927554900268637</v>
      </c>
      <c r="H2758" t="n">
        <v>0.0221535594408234</v>
      </c>
      <c r="I2758" t="n">
        <v>0.0498555100237572</v>
      </c>
      <c r="J2758" t="n">
        <v>0.0227377437121735</v>
      </c>
      <c r="K2758" t="n">
        <v>0.6253146757275411</v>
      </c>
      <c r="L2758" t="b">
        <v>0</v>
      </c>
      <c r="M2758" t="b">
        <v>0</v>
      </c>
      <c r="N2758" t="inlineStr">
        <is>
          <t>ref</t>
        </is>
      </c>
      <c r="O2758" t="n">
        <v>85</v>
      </c>
      <c r="P2758" t="n">
        <v>0.006226</v>
      </c>
      <c r="Q2758" t="n">
        <v>100</v>
      </c>
      <c r="R2758" t="n">
        <v>0.05652</v>
      </c>
      <c r="S2758">
        <f>IMAGE("https://mitra.stanford.edu/kundaje/oak/projects/neuro-variants/variant_position/credible/roussos_2024/variant_figures/roussos_2024.childhood.GABA/rs2999059_count_position.png",4,220,900)</f>
        <v/>
      </c>
      <c r="T2758">
        <f>IMAGE("https://mitra.stanford.edu/kundaje/oak/projects/neuro-variants/variant_position/credible/roussos_2024/variant_figures/roussos_2024.childhood.GABA/rs2999059_profile_position.png",4,220,900)</f>
        <v/>
      </c>
    </row>
    <row r="2759">
      <c r="A2759" t="inlineStr">
        <is>
          <t>chr3</t>
        </is>
      </c>
      <c r="B2759" t="n">
        <v>128194985</v>
      </c>
      <c r="C2759" t="inlineStr">
        <is>
          <t>T</t>
        </is>
      </c>
      <c r="D2759" t="inlineStr">
        <is>
          <t>A</t>
        </is>
      </c>
      <c r="E2759" t="inlineStr">
        <is>
          <t>rs940062</t>
        </is>
      </c>
      <c r="F2759" t="n">
        <v>-0.0813005979999999</v>
      </c>
      <c r="G2759" t="n">
        <v>0.0497680114516266</v>
      </c>
      <c r="H2759" t="n">
        <v>0.0133440791897332</v>
      </c>
      <c r="I2759" t="n">
        <v>0.3243364118470175</v>
      </c>
      <c r="J2759" t="n">
        <v>0.3800904693095432</v>
      </c>
      <c r="K2759" t="n">
        <v>0.0937609952460403</v>
      </c>
      <c r="L2759" t="b">
        <v>0</v>
      </c>
      <c r="M2759" t="b">
        <v>0</v>
      </c>
      <c r="N2759" t="inlineStr">
        <is>
          <t>ref</t>
        </is>
      </c>
      <c r="O2759" t="n">
        <v>-100</v>
      </c>
      <c r="P2759" t="n">
        <v>0.01222</v>
      </c>
      <c r="Q2759" t="n">
        <v>100</v>
      </c>
      <c r="R2759" t="n">
        <v>0.02222</v>
      </c>
      <c r="S2759">
        <f>IMAGE("https://mitra.stanford.edu/kundaje/oak/projects/neuro-variants/variant_position/credible/roussos_2024/variant_figures/roussos_2024.childhood.GABA/rs940062_count_position.png",4,220,900)</f>
        <v/>
      </c>
      <c r="T2759">
        <f>IMAGE("https://mitra.stanford.edu/kundaje/oak/projects/neuro-variants/variant_position/credible/roussos_2024/variant_figures/roussos_2024.childhood.GABA/rs940062_profile_position.png",4,220,900)</f>
        <v/>
      </c>
    </row>
    <row r="2760">
      <c r="A2760" t="inlineStr">
        <is>
          <t>chr3</t>
        </is>
      </c>
      <c r="B2760" t="n">
        <v>128204967</v>
      </c>
      <c r="C2760" t="inlineStr">
        <is>
          <t>G</t>
        </is>
      </c>
      <c r="D2760" t="inlineStr">
        <is>
          <t>A</t>
        </is>
      </c>
      <c r="E2760" t="inlineStr">
        <is>
          <t>rs2999058</t>
        </is>
      </c>
      <c r="F2760" t="n">
        <v>0.00242766898</v>
      </c>
      <c r="G2760" t="n">
        <v>0.7615200042445065</v>
      </c>
      <c r="H2760" t="n">
        <v>0.0095963503933618</v>
      </c>
      <c r="I2760" t="n">
        <v>0.681646101217336</v>
      </c>
      <c r="J2760" t="n">
        <v>0.0432504031329186</v>
      </c>
      <c r="K2760" t="n">
        <v>0.5328556637770837</v>
      </c>
      <c r="L2760" t="b">
        <v>0</v>
      </c>
      <c r="M2760" t="b">
        <v>0</v>
      </c>
      <c r="N2760" t="inlineStr">
        <is>
          <t>alt</t>
        </is>
      </c>
      <c r="O2760" t="n">
        <v>-85</v>
      </c>
      <c r="P2760" t="n">
        <v>0.002712</v>
      </c>
      <c r="Q2760" t="n">
        <v>-100</v>
      </c>
      <c r="R2760" t="n">
        <v>0.1562</v>
      </c>
      <c r="S2760">
        <f>IMAGE("https://mitra.stanford.edu/kundaje/oak/projects/neuro-variants/variant_position/credible/roussos_2024/variant_figures/roussos_2024.childhood.GABA/rs2999058_count_position.png",4,220,900)</f>
        <v/>
      </c>
      <c r="T2760">
        <f>IMAGE("https://mitra.stanford.edu/kundaje/oak/projects/neuro-variants/variant_position/credible/roussos_2024/variant_figures/roussos_2024.childhood.GABA/rs2999058_profile_position.png",4,220,900)</f>
        <v/>
      </c>
    </row>
    <row r="2761">
      <c r="A2761" t="inlineStr">
        <is>
          <t>chr3</t>
        </is>
      </c>
      <c r="B2761" t="n">
        <v>128206349</v>
      </c>
      <c r="C2761" t="inlineStr">
        <is>
          <t>A</t>
        </is>
      </c>
      <c r="D2761" t="inlineStr">
        <is>
          <t>G</t>
        </is>
      </c>
      <c r="E2761" t="inlineStr">
        <is>
          <t>rs2955125</t>
        </is>
      </c>
      <c r="F2761" t="n">
        <v>0.07630511600000001</v>
      </c>
      <c r="G2761" t="n">
        <v>0.0642843703717205</v>
      </c>
      <c r="H2761" t="n">
        <v>0.0118412516234785</v>
      </c>
      <c r="I2761" t="n">
        <v>0.4296552999213945</v>
      </c>
      <c r="J2761" t="n">
        <v>0.1312695022093777</v>
      </c>
      <c r="K2761" t="n">
        <v>0.305987724397973</v>
      </c>
      <c r="L2761" t="b">
        <v>0</v>
      </c>
      <c r="M2761" t="b">
        <v>0</v>
      </c>
      <c r="N2761" t="inlineStr">
        <is>
          <t>alt</t>
        </is>
      </c>
      <c r="O2761" t="n">
        <v>65</v>
      </c>
      <c r="P2761" t="n">
        <v>0.002216</v>
      </c>
      <c r="Q2761" t="n">
        <v>100</v>
      </c>
      <c r="R2761" t="n">
        <v>0.02795</v>
      </c>
      <c r="S2761">
        <f>IMAGE("https://mitra.stanford.edu/kundaje/oak/projects/neuro-variants/variant_position/credible/roussos_2024/variant_figures/roussos_2024.childhood.GABA/rs2955125_count_position.png",4,220,900)</f>
        <v/>
      </c>
      <c r="T2761">
        <f>IMAGE("https://mitra.stanford.edu/kundaje/oak/projects/neuro-variants/variant_position/credible/roussos_2024/variant_figures/roussos_2024.childhood.GABA/rs2955125_profile_position.png",4,220,900)</f>
        <v/>
      </c>
    </row>
    <row r="2762">
      <c r="A2762" t="inlineStr">
        <is>
          <t>chr3</t>
        </is>
      </c>
      <c r="B2762" t="n">
        <v>128207673</v>
      </c>
      <c r="C2762" t="inlineStr">
        <is>
          <t>A</t>
        </is>
      </c>
      <c r="D2762" t="inlineStr">
        <is>
          <t>G</t>
        </is>
      </c>
      <c r="E2762" t="inlineStr">
        <is>
          <t>rs2955127</t>
        </is>
      </c>
      <c r="F2762" t="n">
        <v>0.0149923398399999</v>
      </c>
      <c r="G2762" t="n">
        <v>0.4979842535886788</v>
      </c>
      <c r="H2762" t="n">
        <v>0.0151851827049464</v>
      </c>
      <c r="I2762" t="n">
        <v>0.2150134722784005</v>
      </c>
      <c r="J2762" t="n">
        <v>0.2209503465896002</v>
      </c>
      <c r="K2762" t="n">
        <v>0.1978047068617504</v>
      </c>
      <c r="L2762" t="b">
        <v>0</v>
      </c>
      <c r="M2762" t="b">
        <v>0</v>
      </c>
      <c r="N2762" t="inlineStr">
        <is>
          <t>alt</t>
        </is>
      </c>
      <c r="O2762" t="n">
        <v>-55</v>
      </c>
      <c r="P2762" t="n">
        <v>0.001873</v>
      </c>
      <c r="Q2762" t="n">
        <v>15</v>
      </c>
      <c r="R2762" t="n">
        <v>0.006226</v>
      </c>
      <c r="S2762">
        <f>IMAGE("https://mitra.stanford.edu/kundaje/oak/projects/neuro-variants/variant_position/credible/roussos_2024/variant_figures/roussos_2024.childhood.GABA/rs2955127_count_position.png",4,220,900)</f>
        <v/>
      </c>
      <c r="T2762">
        <f>IMAGE("https://mitra.stanford.edu/kundaje/oak/projects/neuro-variants/variant_position/credible/roussos_2024/variant_figures/roussos_2024.childhood.GABA/rs2955127_profile_position.png",4,220,900)</f>
        <v/>
      </c>
    </row>
    <row r="2763">
      <c r="A2763" t="inlineStr">
        <is>
          <t>chr3</t>
        </is>
      </c>
      <c r="B2763" t="n">
        <v>128209434</v>
      </c>
      <c r="C2763" t="inlineStr">
        <is>
          <t>C</t>
        </is>
      </c>
      <c r="D2763" t="inlineStr">
        <is>
          <t>T</t>
        </is>
      </c>
      <c r="E2763" t="inlineStr">
        <is>
          <t>rs2955128</t>
        </is>
      </c>
      <c r="F2763" t="n">
        <v>0.0414569248</v>
      </c>
      <c r="G2763" t="n">
        <v>0.2017558876591141</v>
      </c>
      <c r="H2763" t="n">
        <v>0.0133155190671353</v>
      </c>
      <c r="I2763" t="n">
        <v>0.3191295460318074</v>
      </c>
      <c r="J2763" t="n">
        <v>0.0294538334275721</v>
      </c>
      <c r="K2763" t="n">
        <v>0.5950585088775554</v>
      </c>
      <c r="L2763" t="b">
        <v>0</v>
      </c>
      <c r="M2763" t="b">
        <v>0</v>
      </c>
      <c r="N2763" t="inlineStr">
        <is>
          <t>alt</t>
        </is>
      </c>
      <c r="O2763" t="n">
        <v>100</v>
      </c>
      <c r="P2763" t="n">
        <v>0.03815</v>
      </c>
      <c r="Q2763" t="n">
        <v>0</v>
      </c>
      <c r="R2763" t="n">
        <v>0</v>
      </c>
      <c r="S2763">
        <f>IMAGE("https://mitra.stanford.edu/kundaje/oak/projects/neuro-variants/variant_position/credible/roussos_2024/variant_figures/roussos_2024.childhood.GABA/rs2955128_count_position.png",4,220,900)</f>
        <v/>
      </c>
      <c r="T2763">
        <f>IMAGE("https://mitra.stanford.edu/kundaje/oak/projects/neuro-variants/variant_position/credible/roussos_2024/variant_figures/roussos_2024.childhood.GABA/rs2955128_profile_position.png",4,220,900)</f>
        <v/>
      </c>
    </row>
    <row r="2764">
      <c r="A2764" t="inlineStr">
        <is>
          <t>chr3</t>
        </is>
      </c>
      <c r="B2764" t="n">
        <v>128215931</v>
      </c>
      <c r="C2764" t="inlineStr">
        <is>
          <t>C</t>
        </is>
      </c>
      <c r="D2764" t="inlineStr">
        <is>
          <t>A</t>
        </is>
      </c>
      <c r="E2764" t="inlineStr">
        <is>
          <t>rs4384971</t>
        </is>
      </c>
      <c r="F2764" t="n">
        <v>-0.0300784718</v>
      </c>
      <c r="G2764" t="n">
        <v>0.3070311545099976</v>
      </c>
      <c r="H2764" t="n">
        <v>0.0130174337827958</v>
      </c>
      <c r="I2764" t="n">
        <v>0.3477745692123479</v>
      </c>
      <c r="J2764" t="n">
        <v>0.265125337689263</v>
      </c>
      <c r="K2764" t="n">
        <v>0.1618388212512498</v>
      </c>
      <c r="L2764" t="b">
        <v>0</v>
      </c>
      <c r="M2764" t="b">
        <v>0</v>
      </c>
      <c r="N2764" t="inlineStr">
        <is>
          <t>ref</t>
        </is>
      </c>
      <c r="O2764" t="n">
        <v>100</v>
      </c>
      <c r="P2764" t="n">
        <v>0.0467</v>
      </c>
      <c r="Q2764" t="n">
        <v>-5</v>
      </c>
      <c r="R2764" t="n">
        <v>0.02905</v>
      </c>
      <c r="S2764">
        <f>IMAGE("https://mitra.stanford.edu/kundaje/oak/projects/neuro-variants/variant_position/credible/roussos_2024/variant_figures/roussos_2024.childhood.GABA/rs4384971_count_position.png",4,220,900)</f>
        <v/>
      </c>
      <c r="T2764">
        <f>IMAGE("https://mitra.stanford.edu/kundaje/oak/projects/neuro-variants/variant_position/credible/roussos_2024/variant_figures/roussos_2024.childhood.GABA/rs4384971_profile_position.png",4,220,900)</f>
        <v/>
      </c>
    </row>
    <row r="2765">
      <c r="A2765" t="inlineStr">
        <is>
          <t>chr3</t>
        </is>
      </c>
      <c r="B2765" t="n">
        <v>128225634</v>
      </c>
      <c r="C2765" t="inlineStr">
        <is>
          <t>C</t>
        </is>
      </c>
      <c r="D2765" t="inlineStr">
        <is>
          <t>G</t>
        </is>
      </c>
      <c r="E2765" t="inlineStr">
        <is>
          <t>rs6775988</t>
        </is>
      </c>
      <c r="F2765" t="n">
        <v>0.00413559055</v>
      </c>
      <c r="G2765" t="n">
        <v>0.6538394522990283</v>
      </c>
      <c r="H2765" t="n">
        <v>0.009155657046239499</v>
      </c>
      <c r="I2765" t="n">
        <v>0.7366219514389972</v>
      </c>
      <c r="J2765" t="n">
        <v>0.2020135703964314</v>
      </c>
      <c r="K2765" t="n">
        <v>0.2138121450048501</v>
      </c>
      <c r="L2765" t="b">
        <v>0</v>
      </c>
      <c r="M2765" t="b">
        <v>0</v>
      </c>
      <c r="N2765" t="inlineStr">
        <is>
          <t>alt</t>
        </is>
      </c>
      <c r="O2765" t="n">
        <v>-100</v>
      </c>
      <c r="P2765" t="n">
        <v>0.00411</v>
      </c>
      <c r="Q2765" t="n">
        <v>20</v>
      </c>
      <c r="R2765" t="n">
        <v>0.03632</v>
      </c>
      <c r="S2765">
        <f>IMAGE("https://mitra.stanford.edu/kundaje/oak/projects/neuro-variants/variant_position/credible/roussos_2024/variant_figures/roussos_2024.childhood.GABA/rs6775988_count_position.png",4,220,900)</f>
        <v/>
      </c>
      <c r="T2765">
        <f>IMAGE("https://mitra.stanford.edu/kundaje/oak/projects/neuro-variants/variant_position/credible/roussos_2024/variant_figures/roussos_2024.childhood.GABA/rs6775988_profile_position.png",4,220,900)</f>
        <v/>
      </c>
    </row>
    <row r="2766">
      <c r="A2766" t="inlineStr">
        <is>
          <t>chr3</t>
        </is>
      </c>
      <c r="B2766" t="n">
        <v>128229217</v>
      </c>
      <c r="C2766" t="inlineStr">
        <is>
          <t>A</t>
        </is>
      </c>
      <c r="D2766" t="inlineStr">
        <is>
          <t>G</t>
        </is>
      </c>
      <c r="E2766" t="inlineStr">
        <is>
          <t>rs4857877</t>
        </is>
      </c>
      <c r="F2766" t="n">
        <v>0.0419906129999999</v>
      </c>
      <c r="G2766" t="n">
        <v>0.1933645538814278</v>
      </c>
      <c r="H2766" t="n">
        <v>0.0114739965310957</v>
      </c>
      <c r="I2766" t="n">
        <v>0.479280010449861</v>
      </c>
      <c r="J2766" t="n">
        <v>0.1528093652488952</v>
      </c>
      <c r="K2766" t="n">
        <v>0.2753958487925142</v>
      </c>
      <c r="L2766" t="b">
        <v>0</v>
      </c>
      <c r="M2766" t="b">
        <v>0</v>
      </c>
      <c r="N2766" t="inlineStr">
        <is>
          <t>alt</t>
        </is>
      </c>
      <c r="O2766" t="n">
        <v>-100</v>
      </c>
      <c r="P2766" t="n">
        <v>0.01039</v>
      </c>
      <c r="Q2766" t="n">
        <v>-50</v>
      </c>
      <c r="R2766" t="n">
        <v>0.0629</v>
      </c>
      <c r="S2766">
        <f>IMAGE("https://mitra.stanford.edu/kundaje/oak/projects/neuro-variants/variant_position/credible/roussos_2024/variant_figures/roussos_2024.childhood.GABA/rs4857877_count_position.png",4,220,900)</f>
        <v/>
      </c>
      <c r="T2766">
        <f>IMAGE("https://mitra.stanford.edu/kundaje/oak/projects/neuro-variants/variant_position/credible/roussos_2024/variant_figures/roussos_2024.childhood.GABA/rs4857877_profile_position.png",4,220,900)</f>
        <v/>
      </c>
    </row>
    <row r="2767">
      <c r="A2767" t="inlineStr">
        <is>
          <t>chr3</t>
        </is>
      </c>
      <c r="B2767" t="n">
        <v>128339774</v>
      </c>
      <c r="C2767" t="inlineStr">
        <is>
          <t>A</t>
        </is>
      </c>
      <c r="D2767" t="inlineStr">
        <is>
          <t>T</t>
        </is>
      </c>
      <c r="E2767" t="inlineStr">
        <is>
          <t>rs3849531</t>
        </is>
      </c>
      <c r="F2767" t="n">
        <v>-0.00175069126</v>
      </c>
      <c r="G2767" t="n">
        <v>0.9255813636117124</v>
      </c>
      <c r="H2767" t="n">
        <v>0.0212849853276863</v>
      </c>
      <c r="I2767" t="n">
        <v>0.0592629539390622</v>
      </c>
      <c r="J2767" t="n">
        <v>0.086647400054449</v>
      </c>
      <c r="K2767" t="n">
        <v>0.3930176955758453</v>
      </c>
      <c r="L2767" t="b">
        <v>0</v>
      </c>
      <c r="M2767" t="b">
        <v>0</v>
      </c>
      <c r="N2767" t="inlineStr">
        <is>
          <t>ref</t>
        </is>
      </c>
      <c r="O2767" t="n">
        <v>-100</v>
      </c>
      <c r="P2767" t="n">
        <v>0.004807</v>
      </c>
      <c r="Q2767" t="n">
        <v>-85</v>
      </c>
      <c r="R2767" t="n">
        <v>0.009950000000000001</v>
      </c>
      <c r="S2767">
        <f>IMAGE("https://mitra.stanford.edu/kundaje/oak/projects/neuro-variants/variant_position/credible/roussos_2024/variant_figures/roussos_2024.childhood.GABA/rs3849531_count_position.png",4,220,900)</f>
        <v/>
      </c>
      <c r="T2767">
        <f>IMAGE("https://mitra.stanford.edu/kundaje/oak/projects/neuro-variants/variant_position/credible/roussos_2024/variant_figures/roussos_2024.childhood.GABA/rs3849531_profile_position.png",4,220,900)</f>
        <v/>
      </c>
    </row>
    <row r="2768">
      <c r="A2768" t="inlineStr">
        <is>
          <t>chr3</t>
        </is>
      </c>
      <c r="B2768" t="n">
        <v>135959783</v>
      </c>
      <c r="C2768" t="inlineStr">
        <is>
          <t>A</t>
        </is>
      </c>
      <c r="D2768" t="inlineStr">
        <is>
          <t>G</t>
        </is>
      </c>
      <c r="E2768" t="inlineStr">
        <is>
          <t>rs1403770</t>
        </is>
      </c>
      <c r="F2768" t="n">
        <v>0.002022588054</v>
      </c>
      <c r="G2768" t="n">
        <v>0.8342183364461209</v>
      </c>
      <c r="H2768" t="n">
        <v>0.0262307139179484</v>
      </c>
      <c r="I2768" t="n">
        <v>0.0231279067088583</v>
      </c>
      <c r="J2768" t="n">
        <v>0.0246256622897949</v>
      </c>
      <c r="K2768" t="n">
        <v>0.6155727264799037</v>
      </c>
      <c r="L2768" t="b">
        <v>0</v>
      </c>
      <c r="M2768" t="b">
        <v>0</v>
      </c>
      <c r="N2768" t="inlineStr">
        <is>
          <t>alt</t>
        </is>
      </c>
      <c r="O2768" t="n">
        <v>-100</v>
      </c>
      <c r="P2768" t="n">
        <v>0.0094</v>
      </c>
      <c r="Q2768" t="n">
        <v>-75</v>
      </c>
      <c r="R2768" t="n">
        <v>0.293</v>
      </c>
      <c r="S2768">
        <f>IMAGE("https://mitra.stanford.edu/kundaje/oak/projects/neuro-variants/variant_position/credible/roussos_2024/variant_figures/roussos_2024.childhood.GABA/rs1403770_count_position.png",4,220,900)</f>
        <v/>
      </c>
      <c r="T2768">
        <f>IMAGE("https://mitra.stanford.edu/kundaje/oak/projects/neuro-variants/variant_position/credible/roussos_2024/variant_figures/roussos_2024.childhood.GABA/rs1403770_profile_position.png",4,220,900)</f>
        <v/>
      </c>
    </row>
    <row r="2769">
      <c r="A2769" t="inlineStr">
        <is>
          <t>chr3</t>
        </is>
      </c>
      <c r="B2769" t="n">
        <v>135965617</v>
      </c>
      <c r="C2769" t="inlineStr">
        <is>
          <t>G</t>
        </is>
      </c>
      <c r="D2769" t="inlineStr">
        <is>
          <t>T</t>
        </is>
      </c>
      <c r="E2769" t="inlineStr">
        <is>
          <t>rs184442184</t>
        </is>
      </c>
      <c r="F2769" t="n">
        <v>0.0381182574</v>
      </c>
      <c r="G2769" t="n">
        <v>0.1897400740294518</v>
      </c>
      <c r="H2769" t="n">
        <v>0.0269475680401766</v>
      </c>
      <c r="I2769" t="n">
        <v>0.0206566784363796</v>
      </c>
      <c r="J2769" t="n">
        <v>0.9413918033130196</v>
      </c>
      <c r="K2769" t="n">
        <v>0.0004279697998266</v>
      </c>
      <c r="L2769" t="b">
        <v>0</v>
      </c>
      <c r="M2769" t="b">
        <v>0</v>
      </c>
      <c r="N2769" t="inlineStr">
        <is>
          <t>alt</t>
        </is>
      </c>
      <c r="O2769" t="n">
        <v>35</v>
      </c>
      <c r="P2769" t="n">
        <v>0.005127</v>
      </c>
      <c r="Q2769" t="n">
        <v>90</v>
      </c>
      <c r="R2769" t="n">
        <v>0.08790000000000001</v>
      </c>
      <c r="S2769">
        <f>IMAGE("https://mitra.stanford.edu/kundaje/oak/projects/neuro-variants/variant_position/credible/roussos_2024/variant_figures/roussos_2024.childhood.GABA/rs184442184_count_position.png",4,220,900)</f>
        <v/>
      </c>
      <c r="T2769">
        <f>IMAGE("https://mitra.stanford.edu/kundaje/oak/projects/neuro-variants/variant_position/credible/roussos_2024/variant_figures/roussos_2024.childhood.GABA/rs184442184_profile_position.png",4,220,900)</f>
        <v/>
      </c>
    </row>
    <row r="2770">
      <c r="A2770" t="inlineStr">
        <is>
          <t>chr3</t>
        </is>
      </c>
      <c r="B2770" t="n">
        <v>135968499</v>
      </c>
      <c r="C2770" t="inlineStr">
        <is>
          <t>G</t>
        </is>
      </c>
      <c r="D2770" t="inlineStr">
        <is>
          <t>A</t>
        </is>
      </c>
      <c r="E2770" t="inlineStr">
        <is>
          <t>rs9862763</t>
        </is>
      </c>
      <c r="F2770" t="n">
        <v>-0.0910429308</v>
      </c>
      <c r="G2770" t="n">
        <v>0.0385089737628571</v>
      </c>
      <c r="H2770" t="n">
        <v>0.0130014885516751</v>
      </c>
      <c r="I2770" t="n">
        <v>0.3561574881742531</v>
      </c>
      <c r="J2770" t="n">
        <v>0.1865280308265794</v>
      </c>
      <c r="K2770" t="n">
        <v>0.2304807254407163</v>
      </c>
      <c r="L2770" t="b">
        <v>0</v>
      </c>
      <c r="M2770" t="b">
        <v>0</v>
      </c>
      <c r="N2770" t="inlineStr">
        <is>
          <t>ref</t>
        </is>
      </c>
      <c r="O2770" t="n">
        <v>90</v>
      </c>
      <c r="P2770" t="n">
        <v>0.00699</v>
      </c>
      <c r="Q2770" t="n">
        <v>65</v>
      </c>
      <c r="R2770" t="n">
        <v>0.1871</v>
      </c>
      <c r="S2770">
        <f>IMAGE("https://mitra.stanford.edu/kundaje/oak/projects/neuro-variants/variant_position/credible/roussos_2024/variant_figures/roussos_2024.childhood.GABA/rs9862763_count_position.png",4,220,900)</f>
        <v/>
      </c>
      <c r="T2770">
        <f>IMAGE("https://mitra.stanford.edu/kundaje/oak/projects/neuro-variants/variant_position/credible/roussos_2024/variant_figures/roussos_2024.childhood.GABA/rs9862763_profile_position.png",4,220,900)</f>
        <v/>
      </c>
    </row>
    <row r="2771">
      <c r="A2771" t="inlineStr">
        <is>
          <t>chr3</t>
        </is>
      </c>
      <c r="B2771" t="n">
        <v>135989606</v>
      </c>
      <c r="C2771" t="inlineStr">
        <is>
          <t>T</t>
        </is>
      </c>
      <c r="D2771" t="inlineStr">
        <is>
          <t>C</t>
        </is>
      </c>
      <c r="E2771" t="inlineStr">
        <is>
          <t>rs9836374</t>
        </is>
      </c>
      <c r="F2771" t="n">
        <v>-0.002764958</v>
      </c>
      <c r="G2771" t="n">
        <v>0.5017271354839014</v>
      </c>
      <c r="H2771" t="n">
        <v>0.0111051564320731</v>
      </c>
      <c r="I2771" t="n">
        <v>0.5154486798439744</v>
      </c>
      <c r="J2771" t="n">
        <v>0.1321679127138698</v>
      </c>
      <c r="K2771" t="n">
        <v>0.2927989566699364</v>
      </c>
      <c r="L2771" t="b">
        <v>0</v>
      </c>
      <c r="M2771" t="b">
        <v>0</v>
      </c>
      <c r="N2771" t="inlineStr">
        <is>
          <t>ref</t>
        </is>
      </c>
      <c r="O2771" t="n">
        <v>-100</v>
      </c>
      <c r="P2771" t="n">
        <v>0.01166</v>
      </c>
      <c r="Q2771" t="n">
        <v>-85</v>
      </c>
      <c r="R2771" t="n">
        <v>0.169</v>
      </c>
      <c r="S2771">
        <f>IMAGE("https://mitra.stanford.edu/kundaje/oak/projects/neuro-variants/variant_position/credible/roussos_2024/variant_figures/roussos_2024.childhood.GABA/rs9836374_count_position.png",4,220,900)</f>
        <v/>
      </c>
      <c r="T2771">
        <f>IMAGE("https://mitra.stanford.edu/kundaje/oak/projects/neuro-variants/variant_position/credible/roussos_2024/variant_figures/roussos_2024.childhood.GABA/rs9836374_profile_position.png",4,220,900)</f>
        <v/>
      </c>
    </row>
    <row r="2772">
      <c r="A2772" t="inlineStr">
        <is>
          <t>chr3</t>
        </is>
      </c>
      <c r="B2772" t="n">
        <v>135990140</v>
      </c>
      <c r="C2772" t="inlineStr">
        <is>
          <t>G</t>
        </is>
      </c>
      <c r="D2772" t="inlineStr">
        <is>
          <t>A</t>
        </is>
      </c>
      <c r="E2772" t="inlineStr">
        <is>
          <t>rs34311570</t>
        </is>
      </c>
      <c r="F2772" t="n">
        <v>-0.08362892199999999</v>
      </c>
      <c r="G2772" t="n">
        <v>0.045215225846977</v>
      </c>
      <c r="H2772" t="n">
        <v>0.0123389372681969</v>
      </c>
      <c r="I2772" t="n">
        <v>0.4095548262274253</v>
      </c>
      <c r="J2772" t="n">
        <v>0.0231010868882326</v>
      </c>
      <c r="K2772" t="n">
        <v>0.6325100189441832</v>
      </c>
      <c r="L2772" t="b">
        <v>0</v>
      </c>
      <c r="M2772" t="b">
        <v>0</v>
      </c>
      <c r="N2772" t="inlineStr">
        <is>
          <t>ref</t>
        </is>
      </c>
      <c r="O2772" t="n">
        <v>30</v>
      </c>
      <c r="P2772" t="n">
        <v>0.002686</v>
      </c>
      <c r="Q2772" t="n">
        <v>80</v>
      </c>
      <c r="R2772" t="n">
        <v>0.0631</v>
      </c>
      <c r="S2772">
        <f>IMAGE("https://mitra.stanford.edu/kundaje/oak/projects/neuro-variants/variant_position/credible/roussos_2024/variant_figures/roussos_2024.childhood.GABA/rs34311570_count_position.png",4,220,900)</f>
        <v/>
      </c>
      <c r="T2772">
        <f>IMAGE("https://mitra.stanford.edu/kundaje/oak/projects/neuro-variants/variant_position/credible/roussos_2024/variant_figures/roussos_2024.childhood.GABA/rs34311570_profile_position.png",4,220,900)</f>
        <v/>
      </c>
    </row>
    <row r="2773">
      <c r="A2773" t="inlineStr">
        <is>
          <t>chr3</t>
        </is>
      </c>
      <c r="B2773" t="n">
        <v>136012398</v>
      </c>
      <c r="C2773" t="inlineStr">
        <is>
          <t>T</t>
        </is>
      </c>
      <c r="D2773" t="inlineStr">
        <is>
          <t>C</t>
        </is>
      </c>
      <c r="E2773" t="inlineStr">
        <is>
          <t>rs6809006</t>
        </is>
      </c>
      <c r="F2773" t="n">
        <v>-0.07488677019999999</v>
      </c>
      <c r="G2773" t="n">
        <v>0.0700134154643859</v>
      </c>
      <c r="H2773" t="n">
        <v>0.0231811242057031</v>
      </c>
      <c r="I2773" t="n">
        <v>0.0422601717589009</v>
      </c>
      <c r="J2773" t="n">
        <v>0.0661326464367238</v>
      </c>
      <c r="K2773" t="n">
        <v>0.4291539584873202</v>
      </c>
      <c r="L2773" t="b">
        <v>0</v>
      </c>
      <c r="M2773" t="b">
        <v>0</v>
      </c>
      <c r="N2773" t="inlineStr">
        <is>
          <t>ref</t>
        </is>
      </c>
      <c r="O2773" t="n">
        <v>-100</v>
      </c>
      <c r="P2773" t="n">
        <v>0.01463</v>
      </c>
      <c r="Q2773" t="n">
        <v>5</v>
      </c>
      <c r="R2773" t="n">
        <v>0.00525</v>
      </c>
      <c r="S2773">
        <f>IMAGE("https://mitra.stanford.edu/kundaje/oak/projects/neuro-variants/variant_position/credible/roussos_2024/variant_figures/roussos_2024.childhood.GABA/rs6809006_count_position.png",4,220,900)</f>
        <v/>
      </c>
      <c r="T2773">
        <f>IMAGE("https://mitra.stanford.edu/kundaje/oak/projects/neuro-variants/variant_position/credible/roussos_2024/variant_figures/roussos_2024.childhood.GABA/rs6809006_profile_position.png",4,220,900)</f>
        <v/>
      </c>
    </row>
    <row r="2774">
      <c r="A2774" t="inlineStr">
        <is>
          <t>chr3</t>
        </is>
      </c>
      <c r="B2774" t="n">
        <v>136021627</v>
      </c>
      <c r="C2774" t="inlineStr">
        <is>
          <t>G</t>
        </is>
      </c>
      <c r="D2774" t="inlineStr">
        <is>
          <t>A</t>
        </is>
      </c>
      <c r="E2774" t="inlineStr">
        <is>
          <t>rs4073308</t>
        </is>
      </c>
      <c r="F2774" t="n">
        <v>-0.01237495274</v>
      </c>
      <c r="G2774" t="n">
        <v>0.6120611291405669</v>
      </c>
      <c r="H2774" t="n">
        <v>0.0177022453238758</v>
      </c>
      <c r="I2774" t="n">
        <v>0.1225075363038448</v>
      </c>
      <c r="J2774" t="n">
        <v>0.0050239785554229</v>
      </c>
      <c r="K2774" t="n">
        <v>0.8174855524974922</v>
      </c>
      <c r="L2774" t="b">
        <v>0</v>
      </c>
      <c r="M2774" t="b">
        <v>0</v>
      </c>
      <c r="N2774" t="inlineStr">
        <is>
          <t>ref</t>
        </is>
      </c>
      <c r="O2774" t="n">
        <v>10</v>
      </c>
      <c r="P2774" t="n">
        <v>0.00322</v>
      </c>
      <c r="Q2774" t="n">
        <v>100</v>
      </c>
      <c r="R2774" t="n">
        <v>0.02332</v>
      </c>
      <c r="S2774">
        <f>IMAGE("https://mitra.stanford.edu/kundaje/oak/projects/neuro-variants/variant_position/credible/roussos_2024/variant_figures/roussos_2024.childhood.GABA/rs4073308_count_position.png",4,220,900)</f>
        <v/>
      </c>
      <c r="T2774">
        <f>IMAGE("https://mitra.stanford.edu/kundaje/oak/projects/neuro-variants/variant_position/credible/roussos_2024/variant_figures/roussos_2024.childhood.GABA/rs4073308_profile_position.png",4,220,900)</f>
        <v/>
      </c>
    </row>
    <row r="2775">
      <c r="A2775" t="inlineStr">
        <is>
          <t>chr3</t>
        </is>
      </c>
      <c r="B2775" t="n">
        <v>136032494</v>
      </c>
      <c r="C2775" t="inlineStr">
        <is>
          <t>T</t>
        </is>
      </c>
      <c r="D2775" t="inlineStr">
        <is>
          <t>C</t>
        </is>
      </c>
      <c r="E2775" t="inlineStr">
        <is>
          <t>rs9877082</t>
        </is>
      </c>
      <c r="F2775" t="n">
        <v>0.00576136524</v>
      </c>
      <c r="G2775" t="n">
        <v>0.6242321968320893</v>
      </c>
      <c r="H2775" t="n">
        <v>0.0136562855537647</v>
      </c>
      <c r="I2775" t="n">
        <v>0.3073165864878262</v>
      </c>
      <c r="J2775" t="n">
        <v>0.0273460241670331</v>
      </c>
      <c r="K2775" t="n">
        <v>0.6026769480641999</v>
      </c>
      <c r="L2775" t="b">
        <v>0</v>
      </c>
      <c r="M2775" t="b">
        <v>0</v>
      </c>
      <c r="N2775" t="inlineStr">
        <is>
          <t>alt</t>
        </is>
      </c>
      <c r="O2775" t="n">
        <v>100</v>
      </c>
      <c r="P2775" t="n">
        <v>0.007934999999999999</v>
      </c>
      <c r="Q2775" t="n">
        <v>0</v>
      </c>
      <c r="R2775" t="n">
        <v>0</v>
      </c>
      <c r="S2775">
        <f>IMAGE("https://mitra.stanford.edu/kundaje/oak/projects/neuro-variants/variant_position/credible/roussos_2024/variant_figures/roussos_2024.childhood.GABA/rs9877082_count_position.png",4,220,900)</f>
        <v/>
      </c>
      <c r="T2775">
        <f>IMAGE("https://mitra.stanford.edu/kundaje/oak/projects/neuro-variants/variant_position/credible/roussos_2024/variant_figures/roussos_2024.childhood.GABA/rs9877082_profile_position.png",4,220,900)</f>
        <v/>
      </c>
    </row>
    <row r="2776">
      <c r="A2776" t="inlineStr">
        <is>
          <t>chr3</t>
        </is>
      </c>
      <c r="B2776" t="n">
        <v>136043056</v>
      </c>
      <c r="C2776" t="inlineStr">
        <is>
          <t>G</t>
        </is>
      </c>
      <c r="D2776" t="inlineStr">
        <is>
          <t>T</t>
        </is>
      </c>
      <c r="E2776" t="inlineStr">
        <is>
          <t>rs7643661</t>
        </is>
      </c>
      <c r="F2776" t="n">
        <v>-0.0044352177</v>
      </c>
      <c r="G2776" t="n">
        <v>0.7209922826428429</v>
      </c>
      <c r="H2776" t="n">
        <v>0.020329230719084</v>
      </c>
      <c r="I2776" t="n">
        <v>0.0711285427358176</v>
      </c>
      <c r="J2776" t="n">
        <v>0.4386976188980336</v>
      </c>
      <c r="K2776" t="n">
        <v>0.07128305177557601</v>
      </c>
      <c r="L2776" t="b">
        <v>0</v>
      </c>
      <c r="M2776" t="b">
        <v>0</v>
      </c>
      <c r="N2776" t="inlineStr">
        <is>
          <t>ref</t>
        </is>
      </c>
      <c r="O2776" t="n">
        <v>-100</v>
      </c>
      <c r="P2776" t="n">
        <v>0.02972</v>
      </c>
      <c r="Q2776" t="n">
        <v>-100</v>
      </c>
      <c r="R2776" t="n">
        <v>0.1608</v>
      </c>
      <c r="S2776">
        <f>IMAGE("https://mitra.stanford.edu/kundaje/oak/projects/neuro-variants/variant_position/credible/roussos_2024/variant_figures/roussos_2024.childhood.GABA/rs7643661_count_position.png",4,220,900)</f>
        <v/>
      </c>
      <c r="T2776">
        <f>IMAGE("https://mitra.stanford.edu/kundaje/oak/projects/neuro-variants/variant_position/credible/roussos_2024/variant_figures/roussos_2024.childhood.GABA/rs7643661_profile_position.png",4,220,900)</f>
        <v/>
      </c>
    </row>
    <row r="2777">
      <c r="A2777" t="inlineStr">
        <is>
          <t>chr3</t>
        </is>
      </c>
      <c r="B2777" t="n">
        <v>136046467</v>
      </c>
      <c r="C2777" t="inlineStr">
        <is>
          <t>A</t>
        </is>
      </c>
      <c r="D2777" t="inlineStr">
        <is>
          <t>G</t>
        </is>
      </c>
      <c r="E2777" t="inlineStr">
        <is>
          <t>rs9837355</t>
        </is>
      </c>
      <c r="F2777" t="n">
        <v>0.00143057532</v>
      </c>
      <c r="G2777" t="n">
        <v>0.6500292050098738</v>
      </c>
      <c r="H2777" t="n">
        <v>0.0248427078084534</v>
      </c>
      <c r="I2777" t="n">
        <v>0.0295546283054205</v>
      </c>
      <c r="J2777" t="n">
        <v>0.0405520303239722</v>
      </c>
      <c r="K2777" t="n">
        <v>0.5351638969394714</v>
      </c>
      <c r="L2777" t="b">
        <v>0</v>
      </c>
      <c r="M2777" t="b">
        <v>0</v>
      </c>
      <c r="N2777" t="inlineStr">
        <is>
          <t>alt</t>
        </is>
      </c>
      <c r="O2777" t="n">
        <v>-100</v>
      </c>
      <c r="P2777" t="n">
        <v>0.01373</v>
      </c>
      <c r="Q2777" t="n">
        <v>-25</v>
      </c>
      <c r="R2777" t="n">
        <v>0.013336</v>
      </c>
      <c r="S2777">
        <f>IMAGE("https://mitra.stanford.edu/kundaje/oak/projects/neuro-variants/variant_position/credible/roussos_2024/variant_figures/roussos_2024.childhood.GABA/rs9837355_count_position.png",4,220,900)</f>
        <v/>
      </c>
      <c r="T2777">
        <f>IMAGE("https://mitra.stanford.edu/kundaje/oak/projects/neuro-variants/variant_position/credible/roussos_2024/variant_figures/roussos_2024.childhood.GABA/rs9837355_profile_position.png",4,220,900)</f>
        <v/>
      </c>
    </row>
    <row r="2778">
      <c r="A2778" t="inlineStr">
        <is>
          <t>chr3</t>
        </is>
      </c>
      <c r="B2778" t="n">
        <v>136047322</v>
      </c>
      <c r="C2778" t="inlineStr">
        <is>
          <t>G</t>
        </is>
      </c>
      <c r="D2778" t="inlineStr">
        <is>
          <t>A</t>
        </is>
      </c>
      <c r="E2778" t="inlineStr">
        <is>
          <t>rs9880721</t>
        </is>
      </c>
      <c r="F2778" t="n">
        <v>-0.031045433</v>
      </c>
      <c r="G2778" t="n">
        <v>0.2918089171846743</v>
      </c>
      <c r="H2778" t="n">
        <v>0.0104883467946087</v>
      </c>
      <c r="I2778" t="n">
        <v>0.5814866291943179</v>
      </c>
      <c r="J2778" t="n">
        <v>0.0416378714581893</v>
      </c>
      <c r="K2778" t="n">
        <v>0.5441159285324295</v>
      </c>
      <c r="L2778" t="b">
        <v>0</v>
      </c>
      <c r="M2778" t="b">
        <v>0</v>
      </c>
      <c r="N2778" t="inlineStr">
        <is>
          <t>ref</t>
        </is>
      </c>
      <c r="O2778" t="n">
        <v>5</v>
      </c>
      <c r="P2778" t="n">
        <v>0.0004654</v>
      </c>
      <c r="Q2778" t="n">
        <v>-80</v>
      </c>
      <c r="R2778" t="n">
        <v>0.1797</v>
      </c>
      <c r="S2778">
        <f>IMAGE("https://mitra.stanford.edu/kundaje/oak/projects/neuro-variants/variant_position/credible/roussos_2024/variant_figures/roussos_2024.childhood.GABA/rs9880721_count_position.png",4,220,900)</f>
        <v/>
      </c>
      <c r="T2778">
        <f>IMAGE("https://mitra.stanford.edu/kundaje/oak/projects/neuro-variants/variant_position/credible/roussos_2024/variant_figures/roussos_2024.childhood.GABA/rs9880721_profile_position.png",4,220,900)</f>
        <v/>
      </c>
    </row>
    <row r="2779">
      <c r="A2779" t="inlineStr">
        <is>
          <t>chr3</t>
        </is>
      </c>
      <c r="B2779" t="n">
        <v>136104082</v>
      </c>
      <c r="C2779" t="inlineStr">
        <is>
          <t>C</t>
        </is>
      </c>
      <c r="D2779" t="inlineStr">
        <is>
          <t>T</t>
        </is>
      </c>
      <c r="E2779" t="inlineStr">
        <is>
          <t>rs34864445</t>
        </is>
      </c>
      <c r="F2779" t="n">
        <v>-0.01304598502</v>
      </c>
      <c r="G2779" t="n">
        <v>0.564704503267816</v>
      </c>
      <c r="H2779" t="n">
        <v>0.0073557381881141</v>
      </c>
      <c r="I2779" t="n">
        <v>0.9099238054576352</v>
      </c>
      <c r="J2779" t="n">
        <v>0.0402305710875164</v>
      </c>
      <c r="K2779" t="n">
        <v>0.5288455167316024</v>
      </c>
      <c r="L2779" t="b">
        <v>0</v>
      </c>
      <c r="M2779" t="b">
        <v>0</v>
      </c>
      <c r="N2779" t="inlineStr">
        <is>
          <t>ref</t>
        </is>
      </c>
      <c r="O2779" t="n">
        <v>100</v>
      </c>
      <c r="P2779" t="n">
        <v>0.00248</v>
      </c>
      <c r="Q2779" t="n">
        <v>-100</v>
      </c>
      <c r="R2779" t="n">
        <v>0.04285</v>
      </c>
      <c r="S2779">
        <f>IMAGE("https://mitra.stanford.edu/kundaje/oak/projects/neuro-variants/variant_position/credible/roussos_2024/variant_figures/roussos_2024.childhood.GABA/rs34864445_count_position.png",4,220,900)</f>
        <v/>
      </c>
      <c r="T2779">
        <f>IMAGE("https://mitra.stanford.edu/kundaje/oak/projects/neuro-variants/variant_position/credible/roussos_2024/variant_figures/roussos_2024.childhood.GABA/rs34864445_profile_position.png",4,220,900)</f>
        <v/>
      </c>
    </row>
    <row r="2780">
      <c r="A2780" t="inlineStr">
        <is>
          <t>chr3</t>
        </is>
      </c>
      <c r="B2780" t="n">
        <v>136142824</v>
      </c>
      <c r="C2780" t="inlineStr">
        <is>
          <t>G</t>
        </is>
      </c>
      <c r="D2780" t="inlineStr">
        <is>
          <t>T</t>
        </is>
      </c>
      <c r="E2780" t="inlineStr">
        <is>
          <t>rs9881400</t>
        </is>
      </c>
      <c r="F2780" t="n">
        <v>-0.0586257722</v>
      </c>
      <c r="G2780" t="n">
        <v>0.1210880181097528</v>
      </c>
      <c r="H2780" t="n">
        <v>0.0121678535276929</v>
      </c>
      <c r="I2780" t="n">
        <v>0.4253178616963977</v>
      </c>
      <c r="J2780" t="n">
        <v>0.1782161630122929</v>
      </c>
      <c r="K2780" t="n">
        <v>0.2393834185355818</v>
      </c>
      <c r="L2780" t="b">
        <v>0</v>
      </c>
      <c r="M2780" t="b">
        <v>0</v>
      </c>
      <c r="N2780" t="inlineStr">
        <is>
          <t>ref</t>
        </is>
      </c>
      <c r="O2780" t="n">
        <v>-15</v>
      </c>
      <c r="P2780" t="n">
        <v>0.000473</v>
      </c>
      <c r="Q2780" t="n">
        <v>-15</v>
      </c>
      <c r="R2780" t="n">
        <v>0.01855</v>
      </c>
      <c r="S2780">
        <f>IMAGE("https://mitra.stanford.edu/kundaje/oak/projects/neuro-variants/variant_position/credible/roussos_2024/variant_figures/roussos_2024.childhood.GABA/rs9881400_count_position.png",4,220,900)</f>
        <v/>
      </c>
      <c r="T2780">
        <f>IMAGE("https://mitra.stanford.edu/kundaje/oak/projects/neuro-variants/variant_position/credible/roussos_2024/variant_figures/roussos_2024.childhood.GABA/rs9881400_profile_position.png",4,220,900)</f>
        <v/>
      </c>
    </row>
    <row r="2781">
      <c r="A2781" t="inlineStr">
        <is>
          <t>chr3</t>
        </is>
      </c>
      <c r="B2781" t="n">
        <v>136189336</v>
      </c>
      <c r="C2781" t="inlineStr">
        <is>
          <t>G</t>
        </is>
      </c>
      <c r="D2781" t="inlineStr">
        <is>
          <t>A</t>
        </is>
      </c>
      <c r="E2781" t="inlineStr">
        <is>
          <t>rs6769762</t>
        </is>
      </c>
      <c r="F2781" t="n">
        <v>-0.01804884972</v>
      </c>
      <c r="G2781" t="n">
        <v>0.4816600097721845</v>
      </c>
      <c r="H2781" t="n">
        <v>0.0180906730648891</v>
      </c>
      <c r="I2781" t="n">
        <v>0.1138773219265181</v>
      </c>
      <c r="J2781" t="n">
        <v>0.0905782077862243</v>
      </c>
      <c r="K2781" t="n">
        <v>0.3861471465930499</v>
      </c>
      <c r="L2781" t="b">
        <v>0</v>
      </c>
      <c r="M2781" t="b">
        <v>0</v>
      </c>
      <c r="N2781" t="inlineStr">
        <is>
          <t>ref</t>
        </is>
      </c>
      <c r="O2781" t="n">
        <v>-100</v>
      </c>
      <c r="P2781" t="n">
        <v>0.11896</v>
      </c>
      <c r="Q2781" t="n">
        <v>-100</v>
      </c>
      <c r="R2781" t="n">
        <v>0.12103</v>
      </c>
      <c r="S2781">
        <f>IMAGE("https://mitra.stanford.edu/kundaje/oak/projects/neuro-variants/variant_position/credible/roussos_2024/variant_figures/roussos_2024.childhood.GABA/rs6769762_count_position.png",4,220,900)</f>
        <v/>
      </c>
      <c r="T2781">
        <f>IMAGE("https://mitra.stanford.edu/kundaje/oak/projects/neuro-variants/variant_position/credible/roussos_2024/variant_figures/roussos_2024.childhood.GABA/rs6769762_profile_position.png",4,220,900)</f>
        <v/>
      </c>
    </row>
    <row r="2782">
      <c r="A2782" t="inlineStr">
        <is>
          <t>chr3</t>
        </is>
      </c>
      <c r="B2782" t="n">
        <v>136215869</v>
      </c>
      <c r="C2782" t="inlineStr">
        <is>
          <t>G</t>
        </is>
      </c>
      <c r="D2782" t="inlineStr">
        <is>
          <t>A</t>
        </is>
      </c>
      <c r="E2782" t="inlineStr">
        <is>
          <t>rs28631273</t>
        </is>
      </c>
      <c r="F2782" t="n">
        <v>0.0316514193599999</v>
      </c>
      <c r="G2782" t="n">
        <v>0.2481206757645832</v>
      </c>
      <c r="H2782" t="n">
        <v>0.0110538592955879</v>
      </c>
      <c r="I2782" t="n">
        <v>0.5078539696700041</v>
      </c>
      <c r="J2782" t="n">
        <v>0.0231094636761533</v>
      </c>
      <c r="K2782" t="n">
        <v>0.6385447998437473</v>
      </c>
      <c r="L2782" t="b">
        <v>0</v>
      </c>
      <c r="M2782" t="b">
        <v>0</v>
      </c>
      <c r="N2782" t="inlineStr">
        <is>
          <t>alt</t>
        </is>
      </c>
      <c r="O2782" t="n">
        <v>45</v>
      </c>
      <c r="P2782" t="n">
        <v>0.0002441</v>
      </c>
      <c r="Q2782" t="n">
        <v>80</v>
      </c>
      <c r="R2782" t="n">
        <v>0.077</v>
      </c>
      <c r="S2782">
        <f>IMAGE("https://mitra.stanford.edu/kundaje/oak/projects/neuro-variants/variant_position/credible/roussos_2024/variant_figures/roussos_2024.childhood.GABA/rs28631273_count_position.png",4,220,900)</f>
        <v/>
      </c>
      <c r="T2782">
        <f>IMAGE("https://mitra.stanford.edu/kundaje/oak/projects/neuro-variants/variant_position/credible/roussos_2024/variant_figures/roussos_2024.childhood.GABA/rs28631273_profile_position.png",4,220,900)</f>
        <v/>
      </c>
    </row>
    <row r="2783">
      <c r="A2783" t="inlineStr">
        <is>
          <t>chr3</t>
        </is>
      </c>
      <c r="B2783" t="n">
        <v>136234378</v>
      </c>
      <c r="C2783" t="inlineStr">
        <is>
          <t>A</t>
        </is>
      </c>
      <c r="D2783" t="inlineStr">
        <is>
          <t>G</t>
        </is>
      </c>
      <c r="E2783" t="inlineStr">
        <is>
          <t>rs9826454</t>
        </is>
      </c>
      <c r="F2783" t="n">
        <v>0.07311989839999999</v>
      </c>
      <c r="G2783" t="n">
        <v>0.066432552868218</v>
      </c>
      <c r="H2783" t="n">
        <v>0.024521557662054</v>
      </c>
      <c r="I2783" t="n">
        <v>0.0328933953841716</v>
      </c>
      <c r="J2783" t="n">
        <v>0.165150468053025</v>
      </c>
      <c r="K2783" t="n">
        <v>0.2690818419243856</v>
      </c>
      <c r="L2783" t="b">
        <v>0</v>
      </c>
      <c r="M2783" t="b">
        <v>0</v>
      </c>
      <c r="N2783" t="inlineStr">
        <is>
          <t>alt</t>
        </is>
      </c>
      <c r="O2783" t="n">
        <v>75</v>
      </c>
      <c r="P2783" t="n">
        <v>0.007496</v>
      </c>
      <c r="Q2783" t="n">
        <v>-70</v>
      </c>
      <c r="R2783" t="n">
        <v>0.02194</v>
      </c>
      <c r="S2783">
        <f>IMAGE("https://mitra.stanford.edu/kundaje/oak/projects/neuro-variants/variant_position/credible/roussos_2024/variant_figures/roussos_2024.childhood.GABA/rs9826454_count_position.png",4,220,900)</f>
        <v/>
      </c>
      <c r="T2783">
        <f>IMAGE("https://mitra.stanford.edu/kundaje/oak/projects/neuro-variants/variant_position/credible/roussos_2024/variant_figures/roussos_2024.childhood.GABA/rs9826454_profile_position.png",4,220,900)</f>
        <v/>
      </c>
    </row>
    <row r="2784">
      <c r="A2784" t="inlineStr">
        <is>
          <t>chr3</t>
        </is>
      </c>
      <c r="B2784" t="n">
        <v>136234634</v>
      </c>
      <c r="C2784" t="inlineStr">
        <is>
          <t>C</t>
        </is>
      </c>
      <c r="D2784" t="inlineStr">
        <is>
          <t>T</t>
        </is>
      </c>
      <c r="E2784" t="inlineStr">
        <is>
          <t>rs661739</t>
        </is>
      </c>
      <c r="F2784" t="n">
        <v>-0.035297336</v>
      </c>
      <c r="G2784" t="n">
        <v>0.2286102717473684</v>
      </c>
      <c r="H2784" t="n">
        <v>0.0130753583877648</v>
      </c>
      <c r="I2784" t="n">
        <v>0.3487349458732621</v>
      </c>
      <c r="J2784" t="n">
        <v>0.1158457414504407</v>
      </c>
      <c r="K2784" t="n">
        <v>0.3469069135187462</v>
      </c>
      <c r="L2784" t="b">
        <v>0</v>
      </c>
      <c r="M2784" t="b">
        <v>0</v>
      </c>
      <c r="N2784" t="inlineStr">
        <is>
          <t>ref</t>
        </is>
      </c>
      <c r="O2784" t="n">
        <v>-65</v>
      </c>
      <c r="P2784" t="n">
        <v>0.001011</v>
      </c>
      <c r="Q2784" t="n">
        <v>70</v>
      </c>
      <c r="R2784" t="n">
        <v>0.042</v>
      </c>
      <c r="S2784">
        <f>IMAGE("https://mitra.stanford.edu/kundaje/oak/projects/neuro-variants/variant_position/credible/roussos_2024/variant_figures/roussos_2024.childhood.GABA/rs661739_count_position.png",4,220,900)</f>
        <v/>
      </c>
      <c r="T2784">
        <f>IMAGE("https://mitra.stanford.edu/kundaje/oak/projects/neuro-variants/variant_position/credible/roussos_2024/variant_figures/roussos_2024.childhood.GABA/rs661739_profile_position.png",4,220,900)</f>
        <v/>
      </c>
    </row>
    <row r="2785">
      <c r="A2785" t="inlineStr">
        <is>
          <t>chr3</t>
        </is>
      </c>
      <c r="B2785" t="n">
        <v>136286083</v>
      </c>
      <c r="C2785" t="inlineStr">
        <is>
          <t>C</t>
        </is>
      </c>
      <c r="D2785" t="inlineStr">
        <is>
          <t>T</t>
        </is>
      </c>
      <c r="E2785" t="inlineStr">
        <is>
          <t>rs1153877</t>
        </is>
      </c>
      <c r="F2785" t="n">
        <v>-0.0071767854</v>
      </c>
      <c r="G2785" t="n">
        <v>0.7202406803277263</v>
      </c>
      <c r="H2785" t="n">
        <v>0.0170025551180756</v>
      </c>
      <c r="I2785" t="n">
        <v>0.1431196151519704</v>
      </c>
      <c r="J2785" t="n">
        <v>0.007794601160185</v>
      </c>
      <c r="K2785" t="n">
        <v>0.7748528591562259</v>
      </c>
      <c r="L2785" t="b">
        <v>0</v>
      </c>
      <c r="M2785" t="b">
        <v>0</v>
      </c>
      <c r="N2785" t="inlineStr">
        <is>
          <t>ref</t>
        </is>
      </c>
      <c r="O2785" t="n">
        <v>75</v>
      </c>
      <c r="P2785" t="n">
        <v>0.00281</v>
      </c>
      <c r="Q2785" t="n">
        <v>-90</v>
      </c>
      <c r="R2785" t="n">
        <v>0.03625</v>
      </c>
      <c r="S2785">
        <f>IMAGE("https://mitra.stanford.edu/kundaje/oak/projects/neuro-variants/variant_position/credible/roussos_2024/variant_figures/roussos_2024.childhood.GABA/rs1153877_count_position.png",4,220,900)</f>
        <v/>
      </c>
      <c r="T2785">
        <f>IMAGE("https://mitra.stanford.edu/kundaje/oak/projects/neuro-variants/variant_position/credible/roussos_2024/variant_figures/roussos_2024.childhood.GABA/rs1153877_profile_position.png",4,220,900)</f>
        <v/>
      </c>
    </row>
    <row r="2786">
      <c r="A2786" t="inlineStr">
        <is>
          <t>chr3</t>
        </is>
      </c>
      <c r="B2786" t="n">
        <v>136302583</v>
      </c>
      <c r="C2786" t="inlineStr">
        <is>
          <t>C</t>
        </is>
      </c>
      <c r="D2786" t="inlineStr">
        <is>
          <t>T</t>
        </is>
      </c>
      <c r="E2786" t="inlineStr">
        <is>
          <t>rs146516051</t>
        </is>
      </c>
      <c r="F2786" t="n">
        <v>0.00511143022</v>
      </c>
      <c r="G2786" t="n">
        <v>0.7609181633944821</v>
      </c>
      <c r="H2786" t="n">
        <v>0.0291102077231327</v>
      </c>
      <c r="I2786" t="n">
        <v>0.0144893802264112</v>
      </c>
      <c r="J2786" t="n">
        <v>0.2175085338526941</v>
      </c>
      <c r="K2786" t="n">
        <v>0.1978601473749953</v>
      </c>
      <c r="L2786" t="b">
        <v>1</v>
      </c>
      <c r="M2786" t="b">
        <v>0</v>
      </c>
      <c r="N2786" t="inlineStr">
        <is>
          <t>alt</t>
        </is>
      </c>
      <c r="O2786" t="n">
        <v>-100</v>
      </c>
      <c r="P2786" t="n">
        <v>0.006897</v>
      </c>
      <c r="Q2786" t="n">
        <v>100</v>
      </c>
      <c r="R2786" t="n">
        <v>0.12085</v>
      </c>
      <c r="S2786">
        <f>IMAGE("https://mitra.stanford.edu/kundaje/oak/projects/neuro-variants/variant_position/credible/roussos_2024/variant_figures/roussos_2024.childhood.GABA/rs146516051_count_position.png",4,220,900)</f>
        <v/>
      </c>
      <c r="T2786">
        <f>IMAGE("https://mitra.stanford.edu/kundaje/oak/projects/neuro-variants/variant_position/credible/roussos_2024/variant_figures/roussos_2024.childhood.GABA/rs146516051_profile_position.png",4,220,900)</f>
        <v/>
      </c>
    </row>
    <row r="2787">
      <c r="A2787" t="inlineStr">
        <is>
          <t>chr3</t>
        </is>
      </c>
      <c r="B2787" t="n">
        <v>136349853</v>
      </c>
      <c r="C2787" t="inlineStr">
        <is>
          <t>A</t>
        </is>
      </c>
      <c r="D2787" t="inlineStr">
        <is>
          <t>T</t>
        </is>
      </c>
      <c r="E2787" t="inlineStr">
        <is>
          <t>rs480162</t>
        </is>
      </c>
      <c r="F2787" t="n">
        <v>-0.00123824788</v>
      </c>
      <c r="G2787" t="n">
        <v>0.7787781988984629</v>
      </c>
      <c r="H2787" t="n">
        <v>0.0185284349046056</v>
      </c>
      <c r="I2787" t="n">
        <v>0.1021611717866817</v>
      </c>
      <c r="J2787" t="n">
        <v>0.02693451446043</v>
      </c>
      <c r="K2787" t="n">
        <v>0.6078491650133832</v>
      </c>
      <c r="L2787" t="b">
        <v>0</v>
      </c>
      <c r="M2787" t="b">
        <v>0</v>
      </c>
      <c r="N2787" t="inlineStr">
        <is>
          <t>ref</t>
        </is>
      </c>
      <c r="O2787" t="n">
        <v>-85</v>
      </c>
      <c r="P2787" t="n">
        <v>0.00477</v>
      </c>
      <c r="Q2787" t="n">
        <v>100</v>
      </c>
      <c r="R2787" t="n">
        <v>0.0303</v>
      </c>
      <c r="S2787">
        <f>IMAGE("https://mitra.stanford.edu/kundaje/oak/projects/neuro-variants/variant_position/credible/roussos_2024/variant_figures/roussos_2024.childhood.GABA/rs480162_count_position.png",4,220,900)</f>
        <v/>
      </c>
      <c r="T2787">
        <f>IMAGE("https://mitra.stanford.edu/kundaje/oak/projects/neuro-variants/variant_position/credible/roussos_2024/variant_figures/roussos_2024.childhood.GABA/rs480162_profile_position.png",4,220,900)</f>
        <v/>
      </c>
    </row>
    <row r="2788">
      <c r="A2788" t="inlineStr">
        <is>
          <t>chr3</t>
        </is>
      </c>
      <c r="B2788" t="n">
        <v>136443779</v>
      </c>
      <c r="C2788" t="inlineStr">
        <is>
          <t>A</t>
        </is>
      </c>
      <c r="D2788" t="inlineStr">
        <is>
          <t>C</t>
        </is>
      </c>
      <c r="E2788" t="inlineStr">
        <is>
          <t>rs35418151</t>
        </is>
      </c>
      <c r="F2788" t="n">
        <v>0.008713258979999999</v>
      </c>
      <c r="G2788" t="n">
        <v>0.6524926534169908</v>
      </c>
      <c r="H2788" t="n">
        <v>0.0164344653651076</v>
      </c>
      <c r="I2788" t="n">
        <v>0.1676418747118387</v>
      </c>
      <c r="J2788" t="n">
        <v>0.0031842265083453</v>
      </c>
      <c r="K2788" t="n">
        <v>0.850461007172212</v>
      </c>
      <c r="L2788" t="b">
        <v>0</v>
      </c>
      <c r="M2788" t="b">
        <v>0</v>
      </c>
      <c r="N2788" t="inlineStr">
        <is>
          <t>alt</t>
        </is>
      </c>
      <c r="O2788" t="n">
        <v>100</v>
      </c>
      <c r="P2788" t="n">
        <v>0.003395</v>
      </c>
      <c r="Q2788" t="n">
        <v>-5</v>
      </c>
      <c r="R2788" t="n">
        <v>0.011154</v>
      </c>
      <c r="S2788">
        <f>IMAGE("https://mitra.stanford.edu/kundaje/oak/projects/neuro-variants/variant_position/credible/roussos_2024/variant_figures/roussos_2024.childhood.GABA/rs35418151_count_position.png",4,220,900)</f>
        <v/>
      </c>
      <c r="T2788">
        <f>IMAGE("https://mitra.stanford.edu/kundaje/oak/projects/neuro-variants/variant_position/credible/roussos_2024/variant_figures/roussos_2024.childhood.GABA/rs35418151_profile_position.png",4,220,900)</f>
        <v/>
      </c>
    </row>
    <row r="2789">
      <c r="A2789" t="inlineStr">
        <is>
          <t>chr3</t>
        </is>
      </c>
      <c r="B2789" t="n">
        <v>136446853</v>
      </c>
      <c r="C2789" t="inlineStr">
        <is>
          <t>G</t>
        </is>
      </c>
      <c r="D2789" t="inlineStr">
        <is>
          <t>A</t>
        </is>
      </c>
      <c r="E2789" t="inlineStr">
        <is>
          <t>rs10804640</t>
        </is>
      </c>
      <c r="F2789" t="n">
        <v>0.02003510614</v>
      </c>
      <c r="G2789" t="n">
        <v>0.4148396830617593</v>
      </c>
      <c r="H2789" t="n">
        <v>0.008439408760558801</v>
      </c>
      <c r="I2789" t="n">
        <v>0.7713292464398348</v>
      </c>
      <c r="J2789" t="n">
        <v>0.0524711524365981</v>
      </c>
      <c r="K2789" t="n">
        <v>0.49458110186357</v>
      </c>
      <c r="L2789" t="b">
        <v>0</v>
      </c>
      <c r="M2789" t="b">
        <v>0</v>
      </c>
      <c r="N2789" t="inlineStr">
        <is>
          <t>alt</t>
        </is>
      </c>
      <c r="O2789" t="n">
        <v>20</v>
      </c>
      <c r="P2789" t="n">
        <v>0.000641</v>
      </c>
      <c r="Q2789" t="n">
        <v>-20</v>
      </c>
      <c r="R2789" t="n">
        <v>0.09569999999999999</v>
      </c>
      <c r="S2789">
        <f>IMAGE("https://mitra.stanford.edu/kundaje/oak/projects/neuro-variants/variant_position/credible/roussos_2024/variant_figures/roussos_2024.childhood.GABA/rs10804640_count_position.png",4,220,900)</f>
        <v/>
      </c>
      <c r="T2789">
        <f>IMAGE("https://mitra.stanford.edu/kundaje/oak/projects/neuro-variants/variant_position/credible/roussos_2024/variant_figures/roussos_2024.childhood.GABA/rs10804640_profile_position.png",4,220,900)</f>
        <v/>
      </c>
    </row>
    <row r="2790">
      <c r="A2790" t="inlineStr">
        <is>
          <t>chr3</t>
        </is>
      </c>
      <c r="B2790" t="n">
        <v>136476946</v>
      </c>
      <c r="C2790" t="inlineStr">
        <is>
          <t>A</t>
        </is>
      </c>
      <c r="D2790" t="inlineStr">
        <is>
          <t>T</t>
        </is>
      </c>
      <c r="E2790" t="inlineStr">
        <is>
          <t>rs1394094</t>
        </is>
      </c>
      <c r="F2790" t="n">
        <v>0.003301697072</v>
      </c>
      <c r="G2790" t="n">
        <v>0.8499212588321404</v>
      </c>
      <c r="H2790" t="n">
        <v>0.018845699432348</v>
      </c>
      <c r="I2790" t="n">
        <v>0.0992616373672293</v>
      </c>
      <c r="J2790" t="n">
        <v>0.015612238487152</v>
      </c>
      <c r="K2790" t="n">
        <v>0.6810578881684956</v>
      </c>
      <c r="L2790" t="b">
        <v>0</v>
      </c>
      <c r="M2790" t="b">
        <v>0</v>
      </c>
      <c r="N2790" t="inlineStr">
        <is>
          <t>alt</t>
        </is>
      </c>
      <c r="O2790" t="n">
        <v>100</v>
      </c>
      <c r="P2790" t="n">
        <v>0.01746</v>
      </c>
      <c r="Q2790" t="n">
        <v>-80</v>
      </c>
      <c r="R2790" t="n">
        <v>0.08790000000000001</v>
      </c>
      <c r="S2790">
        <f>IMAGE("https://mitra.stanford.edu/kundaje/oak/projects/neuro-variants/variant_position/credible/roussos_2024/variant_figures/roussos_2024.childhood.GABA/rs1394094_count_position.png",4,220,900)</f>
        <v/>
      </c>
      <c r="T2790">
        <f>IMAGE("https://mitra.stanford.edu/kundaje/oak/projects/neuro-variants/variant_position/credible/roussos_2024/variant_figures/roussos_2024.childhood.GABA/rs1394094_profile_position.png",4,220,900)</f>
        <v/>
      </c>
    </row>
    <row r="2791">
      <c r="A2791" t="inlineStr">
        <is>
          <t>chr3</t>
        </is>
      </c>
      <c r="B2791" t="n">
        <v>136494468</v>
      </c>
      <c r="C2791" t="inlineStr">
        <is>
          <t>T</t>
        </is>
      </c>
      <c r="D2791" t="inlineStr">
        <is>
          <t>C</t>
        </is>
      </c>
      <c r="E2791" t="inlineStr">
        <is>
          <t>rs73226190</t>
        </is>
      </c>
      <c r="F2791" t="n">
        <v>0.0754466506</v>
      </c>
      <c r="G2791" t="n">
        <v>0.0565871498453824</v>
      </c>
      <c r="H2791" t="n">
        <v>0.0112375817732043</v>
      </c>
      <c r="I2791" t="n">
        <v>0.5154427577877443</v>
      </c>
      <c r="J2791" t="n">
        <v>0.001933990911185</v>
      </c>
      <c r="K2791" t="n">
        <v>0.8824924032546166</v>
      </c>
      <c r="L2791" t="b">
        <v>0</v>
      </c>
      <c r="M2791" t="b">
        <v>0</v>
      </c>
      <c r="N2791" t="inlineStr">
        <is>
          <t>alt</t>
        </is>
      </c>
      <c r="O2791" t="n">
        <v>-60</v>
      </c>
      <c r="P2791" t="n">
        <v>0.04932</v>
      </c>
      <c r="Q2791" t="n">
        <v>20</v>
      </c>
      <c r="R2791" t="n">
        <v>0.01105</v>
      </c>
      <c r="S2791">
        <f>IMAGE("https://mitra.stanford.edu/kundaje/oak/projects/neuro-variants/variant_position/credible/roussos_2024/variant_figures/roussos_2024.childhood.GABA/rs73226190_count_position.png",4,220,900)</f>
        <v/>
      </c>
      <c r="T2791">
        <f>IMAGE("https://mitra.stanford.edu/kundaje/oak/projects/neuro-variants/variant_position/credible/roussos_2024/variant_figures/roussos_2024.childhood.GABA/rs73226190_profile_position.png",4,220,900)</f>
        <v/>
      </c>
    </row>
    <row r="2792">
      <c r="A2792" t="inlineStr">
        <is>
          <t>chr3</t>
        </is>
      </c>
      <c r="B2792" t="n">
        <v>136526973</v>
      </c>
      <c r="C2792" t="inlineStr">
        <is>
          <t>G</t>
        </is>
      </c>
      <c r="D2792" t="inlineStr">
        <is>
          <t>A</t>
        </is>
      </c>
      <c r="E2792" t="inlineStr">
        <is>
          <t>rs1070228</t>
        </is>
      </c>
      <c r="F2792" t="n">
        <v>-0.01080696742</v>
      </c>
      <c r="G2792" t="n">
        <v>0.6264537000085264</v>
      </c>
      <c r="H2792" t="n">
        <v>0.0083802828425422</v>
      </c>
      <c r="I2792" t="n">
        <v>0.8212755987677689</v>
      </c>
      <c r="J2792" t="n">
        <v>0.009421792213775501</v>
      </c>
      <c r="K2792" t="n">
        <v>0.7544963658897635</v>
      </c>
      <c r="L2792" t="b">
        <v>0</v>
      </c>
      <c r="M2792" t="b">
        <v>0</v>
      </c>
      <c r="N2792" t="inlineStr">
        <is>
          <t>ref</t>
        </is>
      </c>
      <c r="O2792" t="n">
        <v>-50</v>
      </c>
      <c r="P2792" t="n">
        <v>0.003098</v>
      </c>
      <c r="Q2792" t="n">
        <v>-90</v>
      </c>
      <c r="R2792" t="n">
        <v>0.0445</v>
      </c>
      <c r="S2792">
        <f>IMAGE("https://mitra.stanford.edu/kundaje/oak/projects/neuro-variants/variant_position/credible/roussos_2024/variant_figures/roussos_2024.childhood.GABA/rs1070228_count_position.png",4,220,900)</f>
        <v/>
      </c>
      <c r="T2792">
        <f>IMAGE("https://mitra.stanford.edu/kundaje/oak/projects/neuro-variants/variant_position/credible/roussos_2024/variant_figures/roussos_2024.childhood.GABA/rs1070228_profile_position.png",4,220,900)</f>
        <v/>
      </c>
    </row>
    <row r="2793">
      <c r="A2793" t="inlineStr">
        <is>
          <t>chr3</t>
        </is>
      </c>
      <c r="B2793" t="n">
        <v>136789166</v>
      </c>
      <c r="C2793" t="inlineStr">
        <is>
          <t>C</t>
        </is>
      </c>
      <c r="D2793" t="inlineStr">
        <is>
          <t>A</t>
        </is>
      </c>
      <c r="E2793" t="inlineStr">
        <is>
          <t>rs1280622</t>
        </is>
      </c>
      <c r="F2793" t="n">
        <v>-0.0439895414</v>
      </c>
      <c r="G2793" t="n">
        <v>0.1866783085322757</v>
      </c>
      <c r="H2793" t="n">
        <v>0.0124491623847749</v>
      </c>
      <c r="I2793" t="n">
        <v>0.4036690711644719</v>
      </c>
      <c r="J2793" t="n">
        <v>0.0350579045465016</v>
      </c>
      <c r="K2793" t="n">
        <v>0.5703804597616139</v>
      </c>
      <c r="L2793" t="b">
        <v>0</v>
      </c>
      <c r="M2793" t="b">
        <v>0</v>
      </c>
      <c r="N2793" t="inlineStr">
        <is>
          <t>ref</t>
        </is>
      </c>
      <c r="O2793" t="n">
        <v>-75</v>
      </c>
      <c r="P2793" t="n">
        <v>0.014275</v>
      </c>
      <c r="Q2793" t="n">
        <v>-10</v>
      </c>
      <c r="R2793" t="n">
        <v>0.012726</v>
      </c>
      <c r="S2793">
        <f>IMAGE("https://mitra.stanford.edu/kundaje/oak/projects/neuro-variants/variant_position/credible/roussos_2024/variant_figures/roussos_2024.childhood.GABA/rs1280622_count_position.png",4,220,900)</f>
        <v/>
      </c>
      <c r="T2793">
        <f>IMAGE("https://mitra.stanford.edu/kundaje/oak/projects/neuro-variants/variant_position/credible/roussos_2024/variant_figures/roussos_2024.childhood.GABA/rs1280622_profile_position.png",4,220,900)</f>
        <v/>
      </c>
    </row>
    <row r="2794">
      <c r="A2794" t="inlineStr">
        <is>
          <t>chr3</t>
        </is>
      </c>
      <c r="B2794" t="n">
        <v>136791759</v>
      </c>
      <c r="C2794" t="inlineStr">
        <is>
          <t>G</t>
        </is>
      </c>
      <c r="D2794" t="inlineStr">
        <is>
          <t>T</t>
        </is>
      </c>
      <c r="E2794" t="inlineStr">
        <is>
          <t>rs56695781</t>
        </is>
      </c>
      <c r="F2794" t="n">
        <v>-0.1046825988</v>
      </c>
      <c r="G2794" t="n">
        <v>0.0284337231530557</v>
      </c>
      <c r="H2794" t="n">
        <v>0.0220598850157277</v>
      </c>
      <c r="I2794" t="n">
        <v>0.0506718459165043</v>
      </c>
      <c r="J2794" t="n">
        <v>0.1457686750015706</v>
      </c>
      <c r="K2794" t="n">
        <v>0.2933465079939627</v>
      </c>
      <c r="L2794" t="b">
        <v>0</v>
      </c>
      <c r="M2794" t="b">
        <v>0</v>
      </c>
      <c r="N2794" t="inlineStr">
        <is>
          <t>ref</t>
        </is>
      </c>
      <c r="O2794" t="n">
        <v>100</v>
      </c>
      <c r="P2794" t="n">
        <v>0.02722</v>
      </c>
      <c r="Q2794" t="n">
        <v>-70</v>
      </c>
      <c r="R2794" t="n">
        <v>0.1704</v>
      </c>
      <c r="S2794">
        <f>IMAGE("https://mitra.stanford.edu/kundaje/oak/projects/neuro-variants/variant_position/credible/roussos_2024/variant_figures/roussos_2024.childhood.GABA/rs56695781_count_position.png",4,220,900)</f>
        <v/>
      </c>
      <c r="T2794">
        <f>IMAGE("https://mitra.stanford.edu/kundaje/oak/projects/neuro-variants/variant_position/credible/roussos_2024/variant_figures/roussos_2024.childhood.GABA/rs56695781_profile_position.png",4,220,900)</f>
        <v/>
      </c>
    </row>
    <row r="2795">
      <c r="A2795" t="inlineStr">
        <is>
          <t>chr3</t>
        </is>
      </c>
      <c r="B2795" t="n">
        <v>136794440</v>
      </c>
      <c r="C2795" t="inlineStr">
        <is>
          <t>T</t>
        </is>
      </c>
      <c r="D2795" t="inlineStr">
        <is>
          <t>C</t>
        </is>
      </c>
      <c r="E2795" t="inlineStr">
        <is>
          <t>rs4420814</t>
        </is>
      </c>
      <c r="F2795" t="n">
        <v>0.01017116194</v>
      </c>
      <c r="G2795" t="n">
        <v>0.4934798925517129</v>
      </c>
      <c r="H2795" t="n">
        <v>0.0122519296557272</v>
      </c>
      <c r="I2795" t="n">
        <v>0.4107026405575424</v>
      </c>
      <c r="J2795" t="n">
        <v>0.0789512261523318</v>
      </c>
      <c r="K2795" t="n">
        <v>0.3956399737320034</v>
      </c>
      <c r="L2795" t="b">
        <v>0</v>
      </c>
      <c r="M2795" t="b">
        <v>0</v>
      </c>
      <c r="N2795" t="inlineStr">
        <is>
          <t>alt</t>
        </is>
      </c>
      <c r="O2795" t="n">
        <v>0</v>
      </c>
      <c r="P2795" t="n">
        <v>0</v>
      </c>
      <c r="Q2795" t="n">
        <v>75</v>
      </c>
      <c r="R2795" t="n">
        <v>0.0718</v>
      </c>
      <c r="S2795">
        <f>IMAGE("https://mitra.stanford.edu/kundaje/oak/projects/neuro-variants/variant_position/credible/roussos_2024/variant_figures/roussos_2024.childhood.GABA/rs4420814_count_position.png",4,220,900)</f>
        <v/>
      </c>
      <c r="T2795">
        <f>IMAGE("https://mitra.stanford.edu/kundaje/oak/projects/neuro-variants/variant_position/credible/roussos_2024/variant_figures/roussos_2024.childhood.GABA/rs4420814_profile_position.png",4,220,900)</f>
        <v/>
      </c>
    </row>
    <row r="2796">
      <c r="A2796" t="inlineStr">
        <is>
          <t>chr3</t>
        </is>
      </c>
      <c r="B2796" t="n">
        <v>142964032</v>
      </c>
      <c r="C2796" t="inlineStr">
        <is>
          <t>G</t>
        </is>
      </c>
      <c r="D2796" t="inlineStr">
        <is>
          <t>T</t>
        </is>
      </c>
      <c r="E2796" t="inlineStr">
        <is>
          <t>rs149346914</t>
        </is>
      </c>
      <c r="F2796" t="n">
        <v>-0.089699839</v>
      </c>
      <c r="G2796" t="n">
        <v>0.0398100580501168</v>
      </c>
      <c r="H2796" t="n">
        <v>0.0347218818684589</v>
      </c>
      <c r="I2796" t="n">
        <v>0.0071440347597619</v>
      </c>
      <c r="J2796" t="n">
        <v>0.8997392724759692</v>
      </c>
      <c r="K2796" t="n">
        <v>0.0017363206694588</v>
      </c>
      <c r="L2796" t="b">
        <v>1</v>
      </c>
      <c r="M2796" t="b">
        <v>1</v>
      </c>
      <c r="N2796" t="inlineStr">
        <is>
          <t>ref</t>
        </is>
      </c>
      <c r="O2796" t="n">
        <v>-50</v>
      </c>
      <c r="P2796" t="n">
        <v>0.00809</v>
      </c>
      <c r="Q2796" t="n">
        <v>-25</v>
      </c>
      <c r="R2796" t="n">
        <v>0.02295</v>
      </c>
      <c r="S2796">
        <f>IMAGE("https://mitra.stanford.edu/kundaje/oak/projects/neuro-variants/variant_position/credible/roussos_2024/variant_figures/roussos_2024.childhood.GABA/rs149346914_count_position.png",4,220,900)</f>
        <v/>
      </c>
      <c r="T2796">
        <f>IMAGE("https://mitra.stanford.edu/kundaje/oak/projects/neuro-variants/variant_position/credible/roussos_2024/variant_figures/roussos_2024.childhood.GABA/rs149346914_profile_position.png",4,220,900)</f>
        <v/>
      </c>
    </row>
    <row r="2797">
      <c r="A2797" t="inlineStr">
        <is>
          <t>chr3</t>
        </is>
      </c>
      <c r="B2797" t="n">
        <v>143003051</v>
      </c>
      <c r="C2797" t="inlineStr">
        <is>
          <t>G</t>
        </is>
      </c>
      <c r="D2797" t="inlineStr">
        <is>
          <t>T</t>
        </is>
      </c>
      <c r="E2797" t="inlineStr">
        <is>
          <t>rs4683442</t>
        </is>
      </c>
      <c r="F2797" t="n">
        <v>0.00798011536</v>
      </c>
      <c r="G2797" t="n">
        <v>0.6669063434082309</v>
      </c>
      <c r="H2797" t="n">
        <v>0.0298967886143491</v>
      </c>
      <c r="I2797" t="n">
        <v>0.0125966575522018</v>
      </c>
      <c r="J2797" t="n">
        <v>0.1485152143410608</v>
      </c>
      <c r="K2797" t="n">
        <v>0.2735662903382453</v>
      </c>
      <c r="L2797" t="b">
        <v>1</v>
      </c>
      <c r="M2797" t="b">
        <v>0</v>
      </c>
      <c r="N2797" t="inlineStr">
        <is>
          <t>alt</t>
        </is>
      </c>
      <c r="O2797" t="n">
        <v>30</v>
      </c>
      <c r="P2797" t="n">
        <v>0.002163</v>
      </c>
      <c r="Q2797" t="n">
        <v>-100</v>
      </c>
      <c r="R2797" t="n">
        <v>0.07000000000000001</v>
      </c>
      <c r="S2797">
        <f>IMAGE("https://mitra.stanford.edu/kundaje/oak/projects/neuro-variants/variant_position/credible/roussos_2024/variant_figures/roussos_2024.childhood.GABA/rs4683442_count_position.png",4,220,900)</f>
        <v/>
      </c>
      <c r="T2797">
        <f>IMAGE("https://mitra.stanford.edu/kundaje/oak/projects/neuro-variants/variant_position/credible/roussos_2024/variant_figures/roussos_2024.childhood.GABA/rs4683442_profile_position.png",4,220,900)</f>
        <v/>
      </c>
    </row>
    <row r="2798">
      <c r="A2798" t="inlineStr">
        <is>
          <t>chr3</t>
        </is>
      </c>
      <c r="B2798" t="n">
        <v>143030201</v>
      </c>
      <c r="C2798" t="inlineStr">
        <is>
          <t>G</t>
        </is>
      </c>
      <c r="D2798" t="inlineStr">
        <is>
          <t>A</t>
        </is>
      </c>
      <c r="E2798" t="inlineStr">
        <is>
          <t>rs3886152</t>
        </is>
      </c>
      <c r="F2798" t="n">
        <v>-0.0264436864</v>
      </c>
      <c r="G2798" t="n">
        <v>0.3412686053441293</v>
      </c>
      <c r="H2798" t="n">
        <v>0.0111033041821011</v>
      </c>
      <c r="I2798" t="n">
        <v>0.5266237983510117</v>
      </c>
      <c r="J2798" t="n">
        <v>0.0440797051370651</v>
      </c>
      <c r="K2798" t="n">
        <v>0.5163773403044667</v>
      </c>
      <c r="L2798" t="b">
        <v>0</v>
      </c>
      <c r="M2798" t="b">
        <v>0</v>
      </c>
      <c r="N2798" t="inlineStr">
        <is>
          <t>ref</t>
        </is>
      </c>
      <c r="O2798" t="n">
        <v>95</v>
      </c>
      <c r="P2798" t="n">
        <v>0.03049</v>
      </c>
      <c r="Q2798" t="n">
        <v>95</v>
      </c>
      <c r="R2798" t="n">
        <v>0.4</v>
      </c>
      <c r="S2798">
        <f>IMAGE("https://mitra.stanford.edu/kundaje/oak/projects/neuro-variants/variant_position/credible/roussos_2024/variant_figures/roussos_2024.childhood.GABA/rs3886152_count_position.png",4,220,900)</f>
        <v/>
      </c>
      <c r="T2798">
        <f>IMAGE("https://mitra.stanford.edu/kundaje/oak/projects/neuro-variants/variant_position/credible/roussos_2024/variant_figures/roussos_2024.childhood.GABA/rs3886152_profile_position.png",4,220,900)</f>
        <v/>
      </c>
    </row>
    <row r="2799">
      <c r="A2799" t="inlineStr">
        <is>
          <t>chr3</t>
        </is>
      </c>
      <c r="B2799" t="n">
        <v>143073506</v>
      </c>
      <c r="C2799" t="inlineStr">
        <is>
          <t>T</t>
        </is>
      </c>
      <c r="D2799" t="inlineStr">
        <is>
          <t>C</t>
        </is>
      </c>
      <c r="E2799" t="inlineStr">
        <is>
          <t>rs4683725</t>
        </is>
      </c>
      <c r="F2799" t="n">
        <v>0.172180924</v>
      </c>
      <c r="G2799" t="n">
        <v>0.008614262949069701</v>
      </c>
      <c r="H2799" t="n">
        <v>0.0251916039213612</v>
      </c>
      <c r="I2799" t="n">
        <v>0.0318120195232764</v>
      </c>
      <c r="J2799" t="n">
        <v>0.3853814579799376</v>
      </c>
      <c r="K2799" t="n">
        <v>0.0916319116316215</v>
      </c>
      <c r="L2799" t="b">
        <v>1</v>
      </c>
      <c r="M2799" t="b">
        <v>1</v>
      </c>
      <c r="N2799" t="inlineStr">
        <is>
          <t>alt</t>
        </is>
      </c>
      <c r="O2799" t="n">
        <v>-50</v>
      </c>
      <c r="P2799" t="n">
        <v>0.00479</v>
      </c>
      <c r="Q2799" t="n">
        <v>10</v>
      </c>
      <c r="R2799" t="n">
        <v>0.013916</v>
      </c>
      <c r="S2799">
        <f>IMAGE("https://mitra.stanford.edu/kundaje/oak/projects/neuro-variants/variant_position/credible/roussos_2024/variant_figures/roussos_2024.childhood.GABA/rs4683725_count_position.png",4,220,900)</f>
        <v/>
      </c>
      <c r="T2799">
        <f>IMAGE("https://mitra.stanford.edu/kundaje/oak/projects/neuro-variants/variant_position/credible/roussos_2024/variant_figures/roussos_2024.childhood.GABA/rs4683725_profile_position.png",4,220,900)</f>
        <v/>
      </c>
    </row>
    <row r="2800">
      <c r="A2800" t="inlineStr">
        <is>
          <t>chr3</t>
        </is>
      </c>
      <c r="B2800" t="n">
        <v>143073800</v>
      </c>
      <c r="C2800" t="inlineStr">
        <is>
          <t>A</t>
        </is>
      </c>
      <c r="D2800" t="inlineStr">
        <is>
          <t>G</t>
        </is>
      </c>
      <c r="E2800" t="inlineStr">
        <is>
          <t>rs9289654</t>
        </is>
      </c>
      <c r="F2800" t="n">
        <v>0.0427094276</v>
      </c>
      <c r="G2800" t="n">
        <v>0.1870715160560624</v>
      </c>
      <c r="H2800" t="n">
        <v>0.0175227577327682</v>
      </c>
      <c r="I2800" t="n">
        <v>0.1485741115800747</v>
      </c>
      <c r="J2800" t="n">
        <v>0.3299323574375405</v>
      </c>
      <c r="K2800" t="n">
        <v>0.1200375440787024</v>
      </c>
      <c r="L2800" t="b">
        <v>0</v>
      </c>
      <c r="M2800" t="b">
        <v>0</v>
      </c>
      <c r="N2800" t="inlineStr">
        <is>
          <t>alt</t>
        </is>
      </c>
      <c r="O2800" t="n">
        <v>0</v>
      </c>
      <c r="P2800" t="n">
        <v>0</v>
      </c>
      <c r="Q2800" t="n">
        <v>-100</v>
      </c>
      <c r="R2800" t="n">
        <v>0.02637</v>
      </c>
      <c r="S2800">
        <f>IMAGE("https://mitra.stanford.edu/kundaje/oak/projects/neuro-variants/variant_position/credible/roussos_2024/variant_figures/roussos_2024.childhood.GABA/rs9289654_count_position.png",4,220,900)</f>
        <v/>
      </c>
      <c r="T2800">
        <f>IMAGE("https://mitra.stanford.edu/kundaje/oak/projects/neuro-variants/variant_position/credible/roussos_2024/variant_figures/roussos_2024.childhood.GABA/rs9289654_profile_position.png",4,220,900)</f>
        <v/>
      </c>
    </row>
    <row r="2801">
      <c r="A2801" t="inlineStr">
        <is>
          <t>chr3</t>
        </is>
      </c>
      <c r="B2801" t="n">
        <v>143081405</v>
      </c>
      <c r="C2801" t="inlineStr">
        <is>
          <t>G</t>
        </is>
      </c>
      <c r="D2801" t="inlineStr">
        <is>
          <t>C</t>
        </is>
      </c>
      <c r="E2801" t="inlineStr">
        <is>
          <t>rs750869</t>
        </is>
      </c>
      <c r="F2801" t="n">
        <v>0.0286007935999999</v>
      </c>
      <c r="G2801" t="n">
        <v>0.3014285753906861</v>
      </c>
      <c r="H2801" t="n">
        <v>0.0108750953971098</v>
      </c>
      <c r="I2801" t="n">
        <v>0.5346115162656864</v>
      </c>
      <c r="J2801" t="n">
        <v>0.0822443509036459</v>
      </c>
      <c r="K2801" t="n">
        <v>0.3887700832186234</v>
      </c>
      <c r="L2801" t="b">
        <v>0</v>
      </c>
      <c r="M2801" t="b">
        <v>0</v>
      </c>
      <c r="N2801" t="inlineStr">
        <is>
          <t>alt</t>
        </is>
      </c>
      <c r="O2801" t="n">
        <v>50</v>
      </c>
      <c r="P2801" t="n">
        <v>0.006325</v>
      </c>
      <c r="Q2801" t="n">
        <v>100</v>
      </c>
      <c r="R2801" t="n">
        <v>0.1633</v>
      </c>
      <c r="S2801">
        <f>IMAGE("https://mitra.stanford.edu/kundaje/oak/projects/neuro-variants/variant_position/credible/roussos_2024/variant_figures/roussos_2024.childhood.GABA/rs750869_count_position.png",4,220,900)</f>
        <v/>
      </c>
      <c r="T2801">
        <f>IMAGE("https://mitra.stanford.edu/kundaje/oak/projects/neuro-variants/variant_position/credible/roussos_2024/variant_figures/roussos_2024.childhood.GABA/rs750869_profile_position.png",4,220,900)</f>
        <v/>
      </c>
    </row>
    <row r="2802">
      <c r="A2802" t="inlineStr">
        <is>
          <t>chr3</t>
        </is>
      </c>
      <c r="B2802" t="n">
        <v>143081550</v>
      </c>
      <c r="C2802" t="inlineStr">
        <is>
          <t>A</t>
        </is>
      </c>
      <c r="D2802" t="inlineStr">
        <is>
          <t>G</t>
        </is>
      </c>
      <c r="E2802" t="inlineStr">
        <is>
          <t>rs10804685</t>
        </is>
      </c>
      <c r="F2802" t="n">
        <v>0.129625095</v>
      </c>
      <c r="G2802" t="n">
        <v>0.0148903786217345</v>
      </c>
      <c r="H2802" t="n">
        <v>0.0227110825093693</v>
      </c>
      <c r="I2802" t="n">
        <v>0.0446118497007011</v>
      </c>
      <c r="J2802" t="n">
        <v>0.1806590437896588</v>
      </c>
      <c r="K2802" t="n">
        <v>0.2312406275546911</v>
      </c>
      <c r="L2802" t="b">
        <v>1</v>
      </c>
      <c r="M2802" t="b">
        <v>0</v>
      </c>
      <c r="N2802" t="inlineStr">
        <is>
          <t>alt</t>
        </is>
      </c>
      <c r="O2802" t="n">
        <v>100</v>
      </c>
      <c r="P2802" t="n">
        <v>0.01466</v>
      </c>
      <c r="Q2802" t="n">
        <v>-35</v>
      </c>
      <c r="R2802" t="n">
        <v>0.01721</v>
      </c>
      <c r="S2802">
        <f>IMAGE("https://mitra.stanford.edu/kundaje/oak/projects/neuro-variants/variant_position/credible/roussos_2024/variant_figures/roussos_2024.childhood.GABA/rs10804685_count_position.png",4,220,900)</f>
        <v/>
      </c>
      <c r="T2802">
        <f>IMAGE("https://mitra.stanford.edu/kundaje/oak/projects/neuro-variants/variant_position/credible/roussos_2024/variant_figures/roussos_2024.childhood.GABA/rs10804685_profile_position.png",4,220,900)</f>
        <v/>
      </c>
    </row>
    <row r="2803">
      <c r="A2803" t="inlineStr">
        <is>
          <t>chr3</t>
        </is>
      </c>
      <c r="B2803" t="n">
        <v>143097702</v>
      </c>
      <c r="C2803" t="inlineStr">
        <is>
          <t>G</t>
        </is>
      </c>
      <c r="D2803" t="inlineStr">
        <is>
          <t>C</t>
        </is>
      </c>
      <c r="E2803" t="inlineStr">
        <is>
          <t>rs8179934</t>
        </is>
      </c>
      <c r="F2803" t="n">
        <v>-0.06384988059999989</v>
      </c>
      <c r="G2803" t="n">
        <v>0.1009833776802776</v>
      </c>
      <c r="H2803" t="n">
        <v>0.0157360336605187</v>
      </c>
      <c r="I2803" t="n">
        <v>0.2054543699544379</v>
      </c>
      <c r="J2803" t="n">
        <v>0.0363426943938346</v>
      </c>
      <c r="K2803" t="n">
        <v>0.5549824113072246</v>
      </c>
      <c r="L2803" t="b">
        <v>0</v>
      </c>
      <c r="M2803" t="b">
        <v>0</v>
      </c>
      <c r="N2803" t="inlineStr">
        <is>
          <t>ref</t>
        </is>
      </c>
      <c r="O2803" t="n">
        <v>75</v>
      </c>
      <c r="P2803" t="n">
        <v>0.00699</v>
      </c>
      <c r="Q2803" t="n">
        <v>-90</v>
      </c>
      <c r="R2803" t="n">
        <v>0.2163</v>
      </c>
      <c r="S2803">
        <f>IMAGE("https://mitra.stanford.edu/kundaje/oak/projects/neuro-variants/variant_position/credible/roussos_2024/variant_figures/roussos_2024.childhood.GABA/rs8179934_count_position.png",4,220,900)</f>
        <v/>
      </c>
      <c r="T2803">
        <f>IMAGE("https://mitra.stanford.edu/kundaje/oak/projects/neuro-variants/variant_position/credible/roussos_2024/variant_figures/roussos_2024.childhood.GABA/rs8179934_profile_position.png",4,220,900)</f>
        <v/>
      </c>
    </row>
    <row r="2804">
      <c r="A2804" t="inlineStr">
        <is>
          <t>chr3</t>
        </is>
      </c>
      <c r="B2804" t="n">
        <v>161757749</v>
      </c>
      <c r="C2804" t="inlineStr">
        <is>
          <t>C</t>
        </is>
      </c>
      <c r="D2804" t="inlineStr">
        <is>
          <t>A</t>
        </is>
      </c>
      <c r="E2804" t="inlineStr">
        <is>
          <t>rs9832859</t>
        </is>
      </c>
      <c r="F2804" t="n">
        <v>0.0307116016</v>
      </c>
      <c r="G2804" t="n">
        <v>0.2868043377754822</v>
      </c>
      <c r="H2804" t="n">
        <v>0.0234178443483658</v>
      </c>
      <c r="I2804" t="n">
        <v>0.038310224623612</v>
      </c>
      <c r="J2804" t="n">
        <v>0.0315302297334086</v>
      </c>
      <c r="K2804" t="n">
        <v>0.5796206301584488</v>
      </c>
      <c r="L2804" t="b">
        <v>0</v>
      </c>
      <c r="M2804" t="b">
        <v>0</v>
      </c>
      <c r="N2804" t="inlineStr">
        <is>
          <t>alt</t>
        </is>
      </c>
      <c r="O2804" t="n">
        <v>40</v>
      </c>
      <c r="P2804" t="n">
        <v>0.022</v>
      </c>
      <c r="Q2804" t="n">
        <v>-5</v>
      </c>
      <c r="R2804" t="n">
        <v>0.006226</v>
      </c>
      <c r="S2804">
        <f>IMAGE("https://mitra.stanford.edu/kundaje/oak/projects/neuro-variants/variant_position/credible/roussos_2024/variant_figures/roussos_2024.childhood.GABA/rs9832859_count_position.png",4,220,900)</f>
        <v/>
      </c>
      <c r="T2804">
        <f>IMAGE("https://mitra.stanford.edu/kundaje/oak/projects/neuro-variants/variant_position/credible/roussos_2024/variant_figures/roussos_2024.childhood.GABA/rs9832859_profile_position.png",4,220,900)</f>
        <v/>
      </c>
    </row>
    <row r="2805">
      <c r="A2805" t="inlineStr">
        <is>
          <t>chr3</t>
        </is>
      </c>
      <c r="B2805" t="n">
        <v>161760357</v>
      </c>
      <c r="C2805" t="inlineStr">
        <is>
          <t>G</t>
        </is>
      </c>
      <c r="D2805" t="inlineStr">
        <is>
          <t>A</t>
        </is>
      </c>
      <c r="E2805" t="inlineStr">
        <is>
          <t>rs514816</t>
        </is>
      </c>
      <c r="F2805" t="n">
        <v>-0.082520437</v>
      </c>
      <c r="G2805" t="n">
        <v>0.0543355680101921</v>
      </c>
      <c r="H2805" t="n">
        <v>0.0175320845718058</v>
      </c>
      <c r="I2805" t="n">
        <v>0.1274140584949333</v>
      </c>
      <c r="J2805" t="n">
        <v>0.016883416054114</v>
      </c>
      <c r="K2805" t="n">
        <v>0.6817874623611456</v>
      </c>
      <c r="L2805" t="b">
        <v>0</v>
      </c>
      <c r="M2805" t="b">
        <v>0</v>
      </c>
      <c r="N2805" t="inlineStr">
        <is>
          <t>ref</t>
        </is>
      </c>
      <c r="O2805" t="n">
        <v>-55</v>
      </c>
      <c r="P2805" t="n">
        <v>0.003468</v>
      </c>
      <c r="Q2805" t="n">
        <v>-70</v>
      </c>
      <c r="R2805" t="n">
        <v>0.079</v>
      </c>
      <c r="S2805">
        <f>IMAGE("https://mitra.stanford.edu/kundaje/oak/projects/neuro-variants/variant_position/credible/roussos_2024/variant_figures/roussos_2024.childhood.GABA/rs514816_count_position.png",4,220,900)</f>
        <v/>
      </c>
      <c r="T2805">
        <f>IMAGE("https://mitra.stanford.edu/kundaje/oak/projects/neuro-variants/variant_position/credible/roussos_2024/variant_figures/roussos_2024.childhood.GABA/rs514816_profile_position.png",4,220,900)</f>
        <v/>
      </c>
    </row>
    <row r="2806">
      <c r="A2806" t="inlineStr">
        <is>
          <t>chr3</t>
        </is>
      </c>
      <c r="B2806" t="n">
        <v>161767619</v>
      </c>
      <c r="C2806" t="inlineStr">
        <is>
          <t>G</t>
        </is>
      </c>
      <c r="D2806" t="inlineStr">
        <is>
          <t>A</t>
        </is>
      </c>
      <c r="E2806" t="inlineStr">
        <is>
          <t>rs308693</t>
        </is>
      </c>
      <c r="F2806" t="n">
        <v>-0.08244973999999999</v>
      </c>
      <c r="G2806" t="n">
        <v>0.0469915470351421</v>
      </c>
      <c r="H2806" t="n">
        <v>0.0154379330684707</v>
      </c>
      <c r="I2806" t="n">
        <v>0.2031916030277633</v>
      </c>
      <c r="J2806" t="n">
        <v>0.0163692906954828</v>
      </c>
      <c r="K2806" t="n">
        <v>0.682104608090612</v>
      </c>
      <c r="L2806" t="b">
        <v>0</v>
      </c>
      <c r="M2806" t="b">
        <v>0</v>
      </c>
      <c r="N2806" t="inlineStr">
        <is>
          <t>ref</t>
        </is>
      </c>
      <c r="O2806" t="n">
        <v>45</v>
      </c>
      <c r="P2806" t="n">
        <v>0.0615</v>
      </c>
      <c r="Q2806" t="n">
        <v>-50</v>
      </c>
      <c r="R2806" t="n">
        <v>0.11206</v>
      </c>
      <c r="S2806">
        <f>IMAGE("https://mitra.stanford.edu/kundaje/oak/projects/neuro-variants/variant_position/credible/roussos_2024/variant_figures/roussos_2024.childhood.GABA/rs308693_count_position.png",4,220,900)</f>
        <v/>
      </c>
      <c r="T2806">
        <f>IMAGE("https://mitra.stanford.edu/kundaje/oak/projects/neuro-variants/variant_position/credible/roussos_2024/variant_figures/roussos_2024.childhood.GABA/rs308693_profile_position.png",4,220,900)</f>
        <v/>
      </c>
    </row>
    <row r="2807">
      <c r="A2807" t="inlineStr">
        <is>
          <t>chr3</t>
        </is>
      </c>
      <c r="B2807" t="n">
        <v>161770560</v>
      </c>
      <c r="C2807" t="inlineStr">
        <is>
          <t>A</t>
        </is>
      </c>
      <c r="D2807" t="inlineStr">
        <is>
          <t>T</t>
        </is>
      </c>
      <c r="E2807" t="inlineStr">
        <is>
          <t>rs308698</t>
        </is>
      </c>
      <c r="F2807" t="n">
        <v>0.02739191394</v>
      </c>
      <c r="G2807" t="n">
        <v>0.3259850009448761</v>
      </c>
      <c r="H2807" t="n">
        <v>0.0197768480797464</v>
      </c>
      <c r="I2807" t="n">
        <v>0.0851825707657671</v>
      </c>
      <c r="J2807" t="n">
        <v>0.0648499507863709</v>
      </c>
      <c r="K2807" t="n">
        <v>0.4580896598104987</v>
      </c>
      <c r="L2807" t="b">
        <v>0</v>
      </c>
      <c r="M2807" t="b">
        <v>0</v>
      </c>
      <c r="N2807" t="inlineStr">
        <is>
          <t>alt</t>
        </is>
      </c>
      <c r="O2807" t="n">
        <v>-50</v>
      </c>
      <c r="P2807" t="n">
        <v>0.001915</v>
      </c>
      <c r="Q2807" t="n">
        <v>65</v>
      </c>
      <c r="R2807" t="n">
        <v>0.004425</v>
      </c>
      <c r="S2807">
        <f>IMAGE("https://mitra.stanford.edu/kundaje/oak/projects/neuro-variants/variant_position/credible/roussos_2024/variant_figures/roussos_2024.childhood.GABA/rs308698_count_position.png",4,220,900)</f>
        <v/>
      </c>
      <c r="T2807">
        <f>IMAGE("https://mitra.stanford.edu/kundaje/oak/projects/neuro-variants/variant_position/credible/roussos_2024/variant_figures/roussos_2024.childhood.GABA/rs308698_profile_position.png",4,220,900)</f>
        <v/>
      </c>
    </row>
    <row r="2808">
      <c r="A2808" t="inlineStr">
        <is>
          <t>chr3</t>
        </is>
      </c>
      <c r="B2808" t="n">
        <v>161770581</v>
      </c>
      <c r="C2808" t="inlineStr">
        <is>
          <t>G</t>
        </is>
      </c>
      <c r="D2808" t="inlineStr">
        <is>
          <t>A</t>
        </is>
      </c>
      <c r="E2808" t="inlineStr">
        <is>
          <t>rs308699</t>
        </is>
      </c>
      <c r="F2808" t="n">
        <v>0.0606649071</v>
      </c>
      <c r="G2808" t="n">
        <v>0.0965900881284756</v>
      </c>
      <c r="H2808" t="n">
        <v>0.0165928257399231</v>
      </c>
      <c r="I2808" t="n">
        <v>0.1574428854993184</v>
      </c>
      <c r="J2808" t="n">
        <v>0.069789114364097</v>
      </c>
      <c r="K2808" t="n">
        <v>0.4477599303985471</v>
      </c>
      <c r="L2808" t="b">
        <v>0</v>
      </c>
      <c r="M2808" t="b">
        <v>0</v>
      </c>
      <c r="N2808" t="inlineStr">
        <is>
          <t>alt</t>
        </is>
      </c>
      <c r="O2808" t="n">
        <v>-75</v>
      </c>
      <c r="P2808" t="n">
        <v>0.008410000000000001</v>
      </c>
      <c r="Q2808" t="n">
        <v>-20</v>
      </c>
      <c r="R2808" t="n">
        <v>0.02441</v>
      </c>
      <c r="S2808">
        <f>IMAGE("https://mitra.stanford.edu/kundaje/oak/projects/neuro-variants/variant_position/credible/roussos_2024/variant_figures/roussos_2024.childhood.GABA/rs308699_count_position.png",4,220,900)</f>
        <v/>
      </c>
      <c r="T2808">
        <f>IMAGE("https://mitra.stanford.edu/kundaje/oak/projects/neuro-variants/variant_position/credible/roussos_2024/variant_figures/roussos_2024.childhood.GABA/rs308699_profile_position.png",4,220,900)</f>
        <v/>
      </c>
    </row>
    <row r="2809">
      <c r="A2809" t="inlineStr">
        <is>
          <t>chr3</t>
        </is>
      </c>
      <c r="B2809" t="n">
        <v>161964926</v>
      </c>
      <c r="C2809" t="inlineStr">
        <is>
          <t>A</t>
        </is>
      </c>
      <c r="D2809" t="inlineStr">
        <is>
          <t>G</t>
        </is>
      </c>
      <c r="E2809" t="inlineStr">
        <is>
          <t>rs9865618</t>
        </is>
      </c>
      <c r="F2809" t="n">
        <v>-0.161631376</v>
      </c>
      <c r="G2809" t="n">
        <v>0.0094817343104602</v>
      </c>
      <c r="H2809" t="n">
        <v>0.0375900597632431</v>
      </c>
      <c r="I2809" t="n">
        <v>0.0055133648828902</v>
      </c>
      <c r="J2809" t="n">
        <v>0.008952692090217901</v>
      </c>
      <c r="K2809" t="n">
        <v>0.76547717675755</v>
      </c>
      <c r="L2809" t="b">
        <v>1</v>
      </c>
      <c r="M2809" t="b">
        <v>1</v>
      </c>
      <c r="N2809" t="inlineStr">
        <is>
          <t>ref</t>
        </is>
      </c>
      <c r="O2809" t="n">
        <v>-20</v>
      </c>
      <c r="P2809" t="n">
        <v>0.0003662</v>
      </c>
      <c r="Q2809" t="n">
        <v>15</v>
      </c>
      <c r="R2809" t="n">
        <v>0.00818</v>
      </c>
      <c r="S2809">
        <f>IMAGE("https://mitra.stanford.edu/kundaje/oak/projects/neuro-variants/variant_position/credible/roussos_2024/variant_figures/roussos_2024.childhood.GABA/rs9865618_count_position.png",4,220,900)</f>
        <v/>
      </c>
      <c r="T2809">
        <f>IMAGE("https://mitra.stanford.edu/kundaje/oak/projects/neuro-variants/variant_position/credible/roussos_2024/variant_figures/roussos_2024.childhood.GABA/rs9865618_profile_position.png",4,220,900)</f>
        <v/>
      </c>
    </row>
    <row r="2810">
      <c r="A2810" t="inlineStr">
        <is>
          <t>chr3</t>
        </is>
      </c>
      <c r="B2810" t="n">
        <v>161988675</v>
      </c>
      <c r="C2810" t="inlineStr">
        <is>
          <t>C</t>
        </is>
      </c>
      <c r="D2810" t="inlineStr">
        <is>
          <t>A</t>
        </is>
      </c>
      <c r="E2810" t="inlineStr">
        <is>
          <t>rs4586823</t>
        </is>
      </c>
      <c r="F2810" t="n">
        <v>0.008387696159999999</v>
      </c>
      <c r="G2810" t="n">
        <v>0.664617399156615</v>
      </c>
      <c r="H2810" t="n">
        <v>0.0113910888581405</v>
      </c>
      <c r="I2810" t="n">
        <v>0.4884169522327971</v>
      </c>
      <c r="J2810" t="n">
        <v>0.0123316789177189</v>
      </c>
      <c r="K2810" t="n">
        <v>0.7239739103859558</v>
      </c>
      <c r="L2810" t="b">
        <v>0</v>
      </c>
      <c r="M2810" t="b">
        <v>0</v>
      </c>
      <c r="N2810" t="inlineStr">
        <is>
          <t>alt</t>
        </is>
      </c>
      <c r="O2810" t="n">
        <v>-95</v>
      </c>
      <c r="P2810" t="n">
        <v>0.01697</v>
      </c>
      <c r="Q2810" t="n">
        <v>80</v>
      </c>
      <c r="R2810" t="n">
        <v>0.0503</v>
      </c>
      <c r="S2810">
        <f>IMAGE("https://mitra.stanford.edu/kundaje/oak/projects/neuro-variants/variant_position/credible/roussos_2024/variant_figures/roussos_2024.childhood.GABA/rs4586823_count_position.png",4,220,900)</f>
        <v/>
      </c>
      <c r="T2810">
        <f>IMAGE("https://mitra.stanford.edu/kundaje/oak/projects/neuro-variants/variant_position/credible/roussos_2024/variant_figures/roussos_2024.childhood.GABA/rs4586823_profile_position.png",4,220,900)</f>
        <v/>
      </c>
    </row>
    <row r="2811">
      <c r="A2811" t="inlineStr">
        <is>
          <t>chr3</t>
        </is>
      </c>
      <c r="B2811" t="n">
        <v>162001353</v>
      </c>
      <c r="C2811" t="inlineStr">
        <is>
          <t>G</t>
        </is>
      </c>
      <c r="D2811" t="inlineStr">
        <is>
          <t>A</t>
        </is>
      </c>
      <c r="E2811" t="inlineStr">
        <is>
          <t>rs7615033</t>
        </is>
      </c>
      <c r="F2811" t="n">
        <v>-0.0579788124</v>
      </c>
      <c r="G2811" t="n">
        <v>0.1072703328906214</v>
      </c>
      <c r="H2811" t="n">
        <v>0.0130451784888081</v>
      </c>
      <c r="I2811" t="n">
        <v>0.3503358610229883</v>
      </c>
      <c r="J2811" t="n">
        <v>0.0126479026617243</v>
      </c>
      <c r="K2811" t="n">
        <v>0.714997283212473</v>
      </c>
      <c r="L2811" t="b">
        <v>0</v>
      </c>
      <c r="M2811" t="b">
        <v>0</v>
      </c>
      <c r="N2811" t="inlineStr">
        <is>
          <t>ref</t>
        </is>
      </c>
      <c r="O2811" t="n">
        <v>100</v>
      </c>
      <c r="P2811" t="n">
        <v>0.00873</v>
      </c>
      <c r="Q2811" t="n">
        <v>-100</v>
      </c>
      <c r="R2811" t="n">
        <v>0.05002</v>
      </c>
      <c r="S2811">
        <f>IMAGE("https://mitra.stanford.edu/kundaje/oak/projects/neuro-variants/variant_position/credible/roussos_2024/variant_figures/roussos_2024.childhood.GABA/rs7615033_count_position.png",4,220,900)</f>
        <v/>
      </c>
      <c r="T2811">
        <f>IMAGE("https://mitra.stanford.edu/kundaje/oak/projects/neuro-variants/variant_position/credible/roussos_2024/variant_figures/roussos_2024.childhood.GABA/rs7615033_profile_position.png",4,220,900)</f>
        <v/>
      </c>
    </row>
    <row r="2812">
      <c r="A2812" t="inlineStr">
        <is>
          <t>chr3</t>
        </is>
      </c>
      <c r="B2812" t="n">
        <v>162001354</v>
      </c>
      <c r="C2812" t="inlineStr">
        <is>
          <t>T</t>
        </is>
      </c>
      <c r="D2812" t="inlineStr">
        <is>
          <t>A</t>
        </is>
      </c>
      <c r="E2812" t="inlineStr">
        <is>
          <t>rs7626556</t>
        </is>
      </c>
      <c r="F2812" t="n">
        <v>0.0310916544</v>
      </c>
      <c r="G2812" t="n">
        <v>0.2797801027502127</v>
      </c>
      <c r="H2812" t="n">
        <v>0.0130897069584337</v>
      </c>
      <c r="I2812" t="n">
        <v>0.349881451773303</v>
      </c>
      <c r="J2812" t="n">
        <v>0.014789219073946</v>
      </c>
      <c r="K2812" t="n">
        <v>0.6945463614462617</v>
      </c>
      <c r="L2812" t="b">
        <v>0</v>
      </c>
      <c r="M2812" t="b">
        <v>0</v>
      </c>
      <c r="N2812" t="inlineStr">
        <is>
          <t>alt</t>
        </is>
      </c>
      <c r="O2812" t="n">
        <v>100</v>
      </c>
      <c r="P2812" t="n">
        <v>0.008750000000000001</v>
      </c>
      <c r="Q2812" t="n">
        <v>-30</v>
      </c>
      <c r="R2812" t="n">
        <v>0.03238</v>
      </c>
      <c r="S2812">
        <f>IMAGE("https://mitra.stanford.edu/kundaje/oak/projects/neuro-variants/variant_position/credible/roussos_2024/variant_figures/roussos_2024.childhood.GABA/rs7626556_count_position.png",4,220,900)</f>
        <v/>
      </c>
      <c r="T2812">
        <f>IMAGE("https://mitra.stanford.edu/kundaje/oak/projects/neuro-variants/variant_position/credible/roussos_2024/variant_figures/roussos_2024.childhood.GABA/rs7626556_profile_position.png",4,220,900)</f>
        <v/>
      </c>
    </row>
    <row r="2813">
      <c r="A2813" t="inlineStr">
        <is>
          <t>chr3</t>
        </is>
      </c>
      <c r="B2813" t="n">
        <v>162017708</v>
      </c>
      <c r="C2813" t="inlineStr">
        <is>
          <t>A</t>
        </is>
      </c>
      <c r="D2813" t="inlineStr">
        <is>
          <t>G</t>
        </is>
      </c>
      <c r="E2813" t="inlineStr">
        <is>
          <t>rs1912454</t>
        </is>
      </c>
      <c r="F2813" t="n">
        <v>0.0267515484</v>
      </c>
      <c r="G2813" t="n">
        <v>0.3269136671905463</v>
      </c>
      <c r="H2813" t="n">
        <v>0.0139681666358311</v>
      </c>
      <c r="I2813" t="n">
        <v>0.2891691889221673</v>
      </c>
      <c r="J2813" t="n">
        <v>0.0225419362945278</v>
      </c>
      <c r="K2813" t="n">
        <v>0.6362102044960976</v>
      </c>
      <c r="L2813" t="b">
        <v>0</v>
      </c>
      <c r="M2813" t="b">
        <v>0</v>
      </c>
      <c r="N2813" t="inlineStr">
        <is>
          <t>alt</t>
        </is>
      </c>
      <c r="O2813" t="n">
        <v>5</v>
      </c>
      <c r="P2813" t="n">
        <v>0.002037</v>
      </c>
      <c r="Q2813" t="n">
        <v>-50</v>
      </c>
      <c r="R2813" t="n">
        <v>0.1675</v>
      </c>
      <c r="S2813">
        <f>IMAGE("https://mitra.stanford.edu/kundaje/oak/projects/neuro-variants/variant_position/credible/roussos_2024/variant_figures/roussos_2024.childhood.GABA/rs1912454_count_position.png",4,220,900)</f>
        <v/>
      </c>
      <c r="T2813">
        <f>IMAGE("https://mitra.stanford.edu/kundaje/oak/projects/neuro-variants/variant_position/credible/roussos_2024/variant_figures/roussos_2024.childhood.GABA/rs1912454_profile_position.png",4,220,900)</f>
        <v/>
      </c>
    </row>
    <row r="2814">
      <c r="A2814" t="inlineStr">
        <is>
          <t>chr3</t>
        </is>
      </c>
      <c r="B2814" t="n">
        <v>162030893</v>
      </c>
      <c r="C2814" t="inlineStr">
        <is>
          <t>T</t>
        </is>
      </c>
      <c r="D2814" t="inlineStr">
        <is>
          <t>G</t>
        </is>
      </c>
      <c r="E2814" t="inlineStr">
        <is>
          <t>rs28532919</t>
        </is>
      </c>
      <c r="F2814" t="n">
        <v>-0.01055655478</v>
      </c>
      <c r="G2814" t="n">
        <v>0.6451720938214401</v>
      </c>
      <c r="H2814" t="n">
        <v>0.018045869067489</v>
      </c>
      <c r="I2814" t="n">
        <v>0.119068115876994</v>
      </c>
      <c r="J2814" t="n">
        <v>0.07747062888735309</v>
      </c>
      <c r="K2814" t="n">
        <v>0.4231394773659802</v>
      </c>
      <c r="L2814" t="b">
        <v>0</v>
      </c>
      <c r="M2814" t="b">
        <v>0</v>
      </c>
      <c r="N2814" t="inlineStr">
        <is>
          <t>ref</t>
        </is>
      </c>
      <c r="O2814" t="n">
        <v>-85</v>
      </c>
      <c r="P2814" t="n">
        <v>0.014206</v>
      </c>
      <c r="Q2814" t="n">
        <v>-90</v>
      </c>
      <c r="R2814" t="n">
        <v>0.1268</v>
      </c>
      <c r="S2814">
        <f>IMAGE("https://mitra.stanford.edu/kundaje/oak/projects/neuro-variants/variant_position/credible/roussos_2024/variant_figures/roussos_2024.childhood.GABA/rs28532919_count_position.png",4,220,900)</f>
        <v/>
      </c>
      <c r="T2814">
        <f>IMAGE("https://mitra.stanford.edu/kundaje/oak/projects/neuro-variants/variant_position/credible/roussos_2024/variant_figures/roussos_2024.childhood.GABA/rs28532919_profile_position.png",4,220,900)</f>
        <v/>
      </c>
    </row>
    <row r="2815">
      <c r="A2815" t="inlineStr">
        <is>
          <t>chr3</t>
        </is>
      </c>
      <c r="B2815" t="n">
        <v>162032242</v>
      </c>
      <c r="C2815" t="inlineStr">
        <is>
          <t>T</t>
        </is>
      </c>
      <c r="D2815" t="inlineStr">
        <is>
          <t>G</t>
        </is>
      </c>
      <c r="E2815" t="inlineStr">
        <is>
          <t>rs62280491</t>
        </is>
      </c>
      <c r="F2815" t="n">
        <v>0.0466659722</v>
      </c>
      <c r="G2815" t="n">
        <v>0.1597235150340517</v>
      </c>
      <c r="H2815" t="n">
        <v>0.010725516729155</v>
      </c>
      <c r="I2815" t="n">
        <v>0.552162703700218</v>
      </c>
      <c r="J2815" t="n">
        <v>0.0221607924441372</v>
      </c>
      <c r="K2815" t="n">
        <v>0.6364340925697185</v>
      </c>
      <c r="L2815" t="b">
        <v>0</v>
      </c>
      <c r="M2815" t="b">
        <v>0</v>
      </c>
      <c r="N2815" t="inlineStr">
        <is>
          <t>alt</t>
        </is>
      </c>
      <c r="O2815" t="n">
        <v>-80</v>
      </c>
      <c r="P2815" t="n">
        <v>0.013565</v>
      </c>
      <c r="Q2815" t="n">
        <v>-55</v>
      </c>
      <c r="R2815" t="n">
        <v>0.05054</v>
      </c>
      <c r="S2815">
        <f>IMAGE("https://mitra.stanford.edu/kundaje/oak/projects/neuro-variants/variant_position/credible/roussos_2024/variant_figures/roussos_2024.childhood.GABA/rs62280491_count_position.png",4,220,900)</f>
        <v/>
      </c>
      <c r="T2815">
        <f>IMAGE("https://mitra.stanford.edu/kundaje/oak/projects/neuro-variants/variant_position/credible/roussos_2024/variant_figures/roussos_2024.childhood.GABA/rs62280491_profile_position.png",4,220,900)</f>
        <v/>
      </c>
    </row>
    <row r="2816">
      <c r="A2816" t="inlineStr">
        <is>
          <t>chr3</t>
        </is>
      </c>
      <c r="B2816" t="n">
        <v>162033487</v>
      </c>
      <c r="C2816" t="inlineStr">
        <is>
          <t>A</t>
        </is>
      </c>
      <c r="D2816" t="inlineStr">
        <is>
          <t>G</t>
        </is>
      </c>
      <c r="E2816" t="inlineStr">
        <is>
          <t>rs56315604</t>
        </is>
      </c>
      <c r="F2816" t="n">
        <v>0.0391030922</v>
      </c>
      <c r="G2816" t="n">
        <v>0.2063960144916895</v>
      </c>
      <c r="H2816" t="n">
        <v>0.0175770139947957</v>
      </c>
      <c r="I2816" t="n">
        <v>0.1272009024960361</v>
      </c>
      <c r="J2816" t="n">
        <v>0.008881489392892201</v>
      </c>
      <c r="K2816" t="n">
        <v>0.7545315254096379</v>
      </c>
      <c r="L2816" t="b">
        <v>0</v>
      </c>
      <c r="M2816" t="b">
        <v>0</v>
      </c>
      <c r="N2816" t="inlineStr">
        <is>
          <t>alt</t>
        </is>
      </c>
      <c r="O2816" t="n">
        <v>100</v>
      </c>
      <c r="P2816" t="n">
        <v>0.01555</v>
      </c>
      <c r="Q2816" t="n">
        <v>-95</v>
      </c>
      <c r="R2816" t="n">
        <v>0.06586</v>
      </c>
      <c r="S2816">
        <f>IMAGE("https://mitra.stanford.edu/kundaje/oak/projects/neuro-variants/variant_position/credible/roussos_2024/variant_figures/roussos_2024.childhood.GABA/rs56315604_count_position.png",4,220,900)</f>
        <v/>
      </c>
      <c r="T2816">
        <f>IMAGE("https://mitra.stanford.edu/kundaje/oak/projects/neuro-variants/variant_position/credible/roussos_2024/variant_figures/roussos_2024.childhood.GABA/rs56315604_profile_position.png",4,220,900)</f>
        <v/>
      </c>
    </row>
    <row r="2817">
      <c r="A2817" t="inlineStr">
        <is>
          <t>chr3</t>
        </is>
      </c>
      <c r="B2817" t="n">
        <v>162040151</v>
      </c>
      <c r="C2817" t="inlineStr">
        <is>
          <t>G</t>
        </is>
      </c>
      <c r="D2817" t="inlineStr">
        <is>
          <t>T</t>
        </is>
      </c>
      <c r="E2817" t="inlineStr">
        <is>
          <t>rs1397242</t>
        </is>
      </c>
      <c r="F2817" t="n">
        <v>-0.0141802572399999</v>
      </c>
      <c r="G2817" t="n">
        <v>0.5407792993446621</v>
      </c>
      <c r="H2817" t="n">
        <v>0.0078698813176751</v>
      </c>
      <c r="I2817" t="n">
        <v>0.8581653436461311</v>
      </c>
      <c r="J2817" t="n">
        <v>0.0008471026784778</v>
      </c>
      <c r="K2817" t="n">
        <v>0.9300635170516464</v>
      </c>
      <c r="L2817" t="b">
        <v>0</v>
      </c>
      <c r="M2817" t="b">
        <v>0</v>
      </c>
      <c r="N2817" t="inlineStr">
        <is>
          <t>ref</t>
        </is>
      </c>
      <c r="O2817" t="n">
        <v>-30</v>
      </c>
      <c r="P2817" t="n">
        <v>0.0007124</v>
      </c>
      <c r="Q2817" t="n">
        <v>50</v>
      </c>
      <c r="R2817" t="n">
        <v>0.036</v>
      </c>
      <c r="S2817">
        <f>IMAGE("https://mitra.stanford.edu/kundaje/oak/projects/neuro-variants/variant_position/credible/roussos_2024/variant_figures/roussos_2024.childhood.GABA/rs1397242_count_position.png",4,220,900)</f>
        <v/>
      </c>
      <c r="T2817">
        <f>IMAGE("https://mitra.stanford.edu/kundaje/oak/projects/neuro-variants/variant_position/credible/roussos_2024/variant_figures/roussos_2024.childhood.GABA/rs1397242_profile_position.png",4,220,900)</f>
        <v/>
      </c>
    </row>
    <row r="2818">
      <c r="A2818" t="inlineStr">
        <is>
          <t>chr3</t>
        </is>
      </c>
      <c r="B2818" t="n">
        <v>162043735</v>
      </c>
      <c r="C2818" t="inlineStr">
        <is>
          <t>A</t>
        </is>
      </c>
      <c r="D2818" t="inlineStr">
        <is>
          <t>C</t>
        </is>
      </c>
      <c r="E2818" t="inlineStr">
        <is>
          <t>rs13100661</t>
        </is>
      </c>
      <c r="F2818" t="n">
        <v>-0.0248492074</v>
      </c>
      <c r="G2818" t="n">
        <v>0.3678683126623304</v>
      </c>
      <c r="H2818" t="n">
        <v>0.0350206979552529</v>
      </c>
      <c r="I2818" t="n">
        <v>0.0064674323042926</v>
      </c>
      <c r="J2818" t="n">
        <v>0.0047653452283721</v>
      </c>
      <c r="K2818" t="n">
        <v>0.8288095634398324</v>
      </c>
      <c r="L2818" t="b">
        <v>0</v>
      </c>
      <c r="M2818" t="b">
        <v>0</v>
      </c>
      <c r="N2818" t="inlineStr">
        <is>
          <t>ref</t>
        </is>
      </c>
      <c r="O2818" t="n">
        <v>100</v>
      </c>
      <c r="P2818" t="n">
        <v>0.007990000000000001</v>
      </c>
      <c r="Q2818" t="n">
        <v>-90</v>
      </c>
      <c r="R2818" t="n">
        <v>0.09204</v>
      </c>
      <c r="S2818">
        <f>IMAGE("https://mitra.stanford.edu/kundaje/oak/projects/neuro-variants/variant_position/credible/roussos_2024/variant_figures/roussos_2024.childhood.GABA/rs13100661_count_position.png",4,220,900)</f>
        <v/>
      </c>
      <c r="T2818">
        <f>IMAGE("https://mitra.stanford.edu/kundaje/oak/projects/neuro-variants/variant_position/credible/roussos_2024/variant_figures/roussos_2024.childhood.GABA/rs13100661_profile_position.png",4,220,900)</f>
        <v/>
      </c>
    </row>
    <row r="2819">
      <c r="A2819" t="inlineStr">
        <is>
          <t>chr3</t>
        </is>
      </c>
      <c r="B2819" t="n">
        <v>162044696</v>
      </c>
      <c r="C2819" t="inlineStr">
        <is>
          <t>T</t>
        </is>
      </c>
      <c r="D2819" t="inlineStr">
        <is>
          <t>C</t>
        </is>
      </c>
      <c r="E2819" t="inlineStr">
        <is>
          <t>rs6791872</t>
        </is>
      </c>
      <c r="F2819" t="n">
        <v>-0.01539812366</v>
      </c>
      <c r="G2819" t="n">
        <v>0.299693893310564</v>
      </c>
      <c r="H2819" t="n">
        <v>0.0161116822323388</v>
      </c>
      <c r="I2819" t="n">
        <v>0.1811524193873418</v>
      </c>
      <c r="J2819" t="n">
        <v>0.1776109400850243</v>
      </c>
      <c r="K2819" t="n">
        <v>0.2572483162435033</v>
      </c>
      <c r="L2819" t="b">
        <v>0</v>
      </c>
      <c r="M2819" t="b">
        <v>0</v>
      </c>
      <c r="N2819" t="inlineStr">
        <is>
          <t>ref</t>
        </is>
      </c>
      <c r="O2819" t="n">
        <v>30</v>
      </c>
      <c r="P2819" t="n">
        <v>0.001213</v>
      </c>
      <c r="Q2819" t="n">
        <v>30</v>
      </c>
      <c r="R2819" t="n">
        <v>0.01074</v>
      </c>
      <c r="S2819">
        <f>IMAGE("https://mitra.stanford.edu/kundaje/oak/projects/neuro-variants/variant_position/credible/roussos_2024/variant_figures/roussos_2024.childhood.GABA/rs6791872_count_position.png",4,220,900)</f>
        <v/>
      </c>
      <c r="T2819">
        <f>IMAGE("https://mitra.stanford.edu/kundaje/oak/projects/neuro-variants/variant_position/credible/roussos_2024/variant_figures/roussos_2024.childhood.GABA/rs6791872_profile_position.png",4,220,900)</f>
        <v/>
      </c>
    </row>
    <row r="2820">
      <c r="A2820" t="inlineStr">
        <is>
          <t>chr3</t>
        </is>
      </c>
      <c r="B2820" t="n">
        <v>162044770</v>
      </c>
      <c r="C2820" t="inlineStr">
        <is>
          <t>G</t>
        </is>
      </c>
      <c r="D2820" t="inlineStr">
        <is>
          <t>A</t>
        </is>
      </c>
      <c r="E2820" t="inlineStr">
        <is>
          <t>rs6779000</t>
        </is>
      </c>
      <c r="F2820" t="n">
        <v>0.0452126116</v>
      </c>
      <c r="G2820" t="n">
        <v>0.1652920398578606</v>
      </c>
      <c r="H2820" t="n">
        <v>0.0144082285536806</v>
      </c>
      <c r="I2820" t="n">
        <v>0.2584966161813573</v>
      </c>
      <c r="J2820" t="n">
        <v>0.1862515968251973</v>
      </c>
      <c r="K2820" t="n">
        <v>0.2460329825202435</v>
      </c>
      <c r="L2820" t="b">
        <v>0</v>
      </c>
      <c r="M2820" t="b">
        <v>0</v>
      </c>
      <c r="N2820" t="inlineStr">
        <is>
          <t>alt</t>
        </is>
      </c>
      <c r="O2820" t="n">
        <v>-100</v>
      </c>
      <c r="P2820" t="n">
        <v>0.00569</v>
      </c>
      <c r="Q2820" t="n">
        <v>-45</v>
      </c>
      <c r="R2820" t="n">
        <v>0.10474</v>
      </c>
      <c r="S2820">
        <f>IMAGE("https://mitra.stanford.edu/kundaje/oak/projects/neuro-variants/variant_position/credible/roussos_2024/variant_figures/roussos_2024.childhood.GABA/rs6779000_count_position.png",4,220,900)</f>
        <v/>
      </c>
      <c r="T2820">
        <f>IMAGE("https://mitra.stanford.edu/kundaje/oak/projects/neuro-variants/variant_position/credible/roussos_2024/variant_figures/roussos_2024.childhood.GABA/rs6779000_profile_position.png",4,220,900)</f>
        <v/>
      </c>
    </row>
    <row r="2821">
      <c r="A2821" t="inlineStr">
        <is>
          <t>chr3</t>
        </is>
      </c>
      <c r="B2821" t="n">
        <v>162046589</v>
      </c>
      <c r="C2821" t="inlineStr">
        <is>
          <t>A</t>
        </is>
      </c>
      <c r="D2821" t="inlineStr">
        <is>
          <t>C</t>
        </is>
      </c>
      <c r="E2821" t="inlineStr">
        <is>
          <t>rs35298688</t>
        </is>
      </c>
      <c r="F2821" t="n">
        <v>0.00243609844</v>
      </c>
      <c r="G2821" t="n">
        <v>0.8846413692160744</v>
      </c>
      <c r="H2821" t="n">
        <v>0.0199878032560545</v>
      </c>
      <c r="I2821" t="n">
        <v>0.0758403000230342</v>
      </c>
      <c r="J2821" t="n">
        <v>0.0613379824506292</v>
      </c>
      <c r="K2821" t="n">
        <v>0.4688142180926897</v>
      </c>
      <c r="L2821" t="b">
        <v>0</v>
      </c>
      <c r="M2821" t="b">
        <v>0</v>
      </c>
      <c r="N2821" t="inlineStr">
        <is>
          <t>alt</t>
        </is>
      </c>
      <c r="O2821" t="n">
        <v>-20</v>
      </c>
      <c r="P2821" t="n">
        <v>0.00156</v>
      </c>
      <c r="Q2821" t="n">
        <v>-100</v>
      </c>
      <c r="R2821" t="n">
        <v>0.1318</v>
      </c>
      <c r="S2821">
        <f>IMAGE("https://mitra.stanford.edu/kundaje/oak/projects/neuro-variants/variant_position/credible/roussos_2024/variant_figures/roussos_2024.childhood.GABA/rs35298688_count_position.png",4,220,900)</f>
        <v/>
      </c>
      <c r="T2821">
        <f>IMAGE("https://mitra.stanford.edu/kundaje/oak/projects/neuro-variants/variant_position/credible/roussos_2024/variant_figures/roussos_2024.childhood.GABA/rs35298688_profile_position.png",4,220,900)</f>
        <v/>
      </c>
    </row>
    <row r="2822">
      <c r="A2822" t="inlineStr">
        <is>
          <t>chr3</t>
        </is>
      </c>
      <c r="B2822" t="n">
        <v>162051464</v>
      </c>
      <c r="C2822" t="inlineStr">
        <is>
          <t>C</t>
        </is>
      </c>
      <c r="D2822" t="inlineStr">
        <is>
          <t>G</t>
        </is>
      </c>
      <c r="E2822" t="inlineStr">
        <is>
          <t>rs6800277</t>
        </is>
      </c>
      <c r="F2822" t="n">
        <v>0.139911472</v>
      </c>
      <c r="G2822" t="n">
        <v>0.0118031152620687</v>
      </c>
      <c r="H2822" t="n">
        <v>0.0174491632535196</v>
      </c>
      <c r="I2822" t="n">
        <v>0.1348887247035403</v>
      </c>
      <c r="J2822" t="n">
        <v>0.1150520407949571</v>
      </c>
      <c r="K2822" t="n">
        <v>0.3790257373196067</v>
      </c>
      <c r="L2822" t="b">
        <v>1</v>
      </c>
      <c r="M2822" t="b">
        <v>0</v>
      </c>
      <c r="N2822" t="inlineStr">
        <is>
          <t>alt</t>
        </is>
      </c>
      <c r="O2822" t="n">
        <v>100</v>
      </c>
      <c r="P2822" t="n">
        <v>0.00473</v>
      </c>
      <c r="Q2822" t="n">
        <v>-90</v>
      </c>
      <c r="R2822" t="n">
        <v>0.0271</v>
      </c>
      <c r="S2822">
        <f>IMAGE("https://mitra.stanford.edu/kundaje/oak/projects/neuro-variants/variant_position/credible/roussos_2024/variant_figures/roussos_2024.childhood.GABA/rs6800277_count_position.png",4,220,900)</f>
        <v/>
      </c>
      <c r="T2822">
        <f>IMAGE("https://mitra.stanford.edu/kundaje/oak/projects/neuro-variants/variant_position/credible/roussos_2024/variant_figures/roussos_2024.childhood.GABA/rs6800277_profile_position.png",4,220,900)</f>
        <v/>
      </c>
    </row>
    <row r="2823">
      <c r="A2823" t="inlineStr">
        <is>
          <t>chr3</t>
        </is>
      </c>
      <c r="B2823" t="n">
        <v>162052502</v>
      </c>
      <c r="C2823" t="inlineStr">
        <is>
          <t>G</t>
        </is>
      </c>
      <c r="D2823" t="inlineStr">
        <is>
          <t>A</t>
        </is>
      </c>
      <c r="E2823" t="inlineStr">
        <is>
          <t>rs12637049</t>
        </is>
      </c>
      <c r="F2823" t="n">
        <v>-0.0950247748</v>
      </c>
      <c r="G2823" t="n">
        <v>0.0373706726309433</v>
      </c>
      <c r="H2823" t="n">
        <v>0.0181587843204417</v>
      </c>
      <c r="I2823" t="n">
        <v>0.1127219348362267</v>
      </c>
      <c r="J2823" t="n">
        <v>0.1550323553433435</v>
      </c>
      <c r="K2823" t="n">
        <v>0.2685349418558797</v>
      </c>
      <c r="L2823" t="b">
        <v>0</v>
      </c>
      <c r="M2823" t="b">
        <v>0</v>
      </c>
      <c r="N2823" t="inlineStr">
        <is>
          <t>ref</t>
        </is>
      </c>
      <c r="O2823" t="n">
        <v>55</v>
      </c>
      <c r="P2823" t="n">
        <v>0.00676</v>
      </c>
      <c r="Q2823" t="n">
        <v>0</v>
      </c>
      <c r="R2823" t="n">
        <v>0</v>
      </c>
      <c r="S2823">
        <f>IMAGE("https://mitra.stanford.edu/kundaje/oak/projects/neuro-variants/variant_position/credible/roussos_2024/variant_figures/roussos_2024.childhood.GABA/rs12637049_count_position.png",4,220,900)</f>
        <v/>
      </c>
      <c r="T2823">
        <f>IMAGE("https://mitra.stanford.edu/kundaje/oak/projects/neuro-variants/variant_position/credible/roussos_2024/variant_figures/roussos_2024.childhood.GABA/rs12637049_profile_position.png",4,220,900)</f>
        <v/>
      </c>
    </row>
    <row r="2824">
      <c r="A2824" t="inlineStr">
        <is>
          <t>chr3</t>
        </is>
      </c>
      <c r="B2824" t="n">
        <v>162053790</v>
      </c>
      <c r="C2824" t="inlineStr">
        <is>
          <t>A</t>
        </is>
      </c>
      <c r="D2824" t="inlineStr">
        <is>
          <t>T</t>
        </is>
      </c>
      <c r="E2824" t="inlineStr">
        <is>
          <t>rs61342226</t>
        </is>
      </c>
      <c r="F2824" t="n">
        <v>0.01006622196</v>
      </c>
      <c r="G2824" t="n">
        <v>0.5989685136678368</v>
      </c>
      <c r="H2824" t="n">
        <v>0.0107133622916166</v>
      </c>
      <c r="I2824" t="n">
        <v>0.5470406154049631</v>
      </c>
      <c r="J2824" t="n">
        <v>0.0047077548114175</v>
      </c>
      <c r="K2824" t="n">
        <v>0.8272006319851911</v>
      </c>
      <c r="L2824" t="b">
        <v>0</v>
      </c>
      <c r="M2824" t="b">
        <v>0</v>
      </c>
      <c r="N2824" t="inlineStr">
        <is>
          <t>alt</t>
        </is>
      </c>
      <c r="O2824" t="n">
        <v>0</v>
      </c>
      <c r="P2824" t="n">
        <v>0</v>
      </c>
      <c r="Q2824" t="n">
        <v>-45</v>
      </c>
      <c r="R2824" t="n">
        <v>0.0299</v>
      </c>
      <c r="S2824">
        <f>IMAGE("https://mitra.stanford.edu/kundaje/oak/projects/neuro-variants/variant_position/credible/roussos_2024/variant_figures/roussos_2024.childhood.GABA/rs61342226_count_position.png",4,220,900)</f>
        <v/>
      </c>
      <c r="T2824">
        <f>IMAGE("https://mitra.stanford.edu/kundaje/oak/projects/neuro-variants/variant_position/credible/roussos_2024/variant_figures/roussos_2024.childhood.GABA/rs61342226_profile_position.png",4,220,900)</f>
        <v/>
      </c>
    </row>
    <row r="2825">
      <c r="A2825" t="inlineStr">
        <is>
          <t>chr3</t>
        </is>
      </c>
      <c r="B2825" t="n">
        <v>162053854</v>
      </c>
      <c r="C2825" t="inlineStr">
        <is>
          <t>C</t>
        </is>
      </c>
      <c r="D2825" t="inlineStr">
        <is>
          <t>T</t>
        </is>
      </c>
      <c r="E2825" t="inlineStr">
        <is>
          <t>rs34809784</t>
        </is>
      </c>
      <c r="F2825" t="n">
        <v>-0.03513857836</v>
      </c>
      <c r="G2825" t="n">
        <v>0.2831960865996464</v>
      </c>
      <c r="H2825" t="n">
        <v>0.0111900643336884</v>
      </c>
      <c r="I2825" t="n">
        <v>0.5000399534726533</v>
      </c>
      <c r="J2825" t="n">
        <v>0.0049234571003748</v>
      </c>
      <c r="K2825" t="n">
        <v>0.8225668198167692</v>
      </c>
      <c r="L2825" t="b">
        <v>0</v>
      </c>
      <c r="M2825" t="b">
        <v>0</v>
      </c>
      <c r="N2825" t="inlineStr">
        <is>
          <t>ref</t>
        </is>
      </c>
      <c r="O2825" t="n">
        <v>-35</v>
      </c>
      <c r="P2825" t="n">
        <v>0.00481</v>
      </c>
      <c r="Q2825" t="n">
        <v>-100</v>
      </c>
      <c r="R2825" t="n">
        <v>0.04254</v>
      </c>
      <c r="S2825">
        <f>IMAGE("https://mitra.stanford.edu/kundaje/oak/projects/neuro-variants/variant_position/credible/roussos_2024/variant_figures/roussos_2024.childhood.GABA/rs34809784_count_position.png",4,220,900)</f>
        <v/>
      </c>
      <c r="T2825">
        <f>IMAGE("https://mitra.stanford.edu/kundaje/oak/projects/neuro-variants/variant_position/credible/roussos_2024/variant_figures/roussos_2024.childhood.GABA/rs34809784_profile_position.png",4,220,900)</f>
        <v/>
      </c>
    </row>
    <row r="2826">
      <c r="A2826" t="inlineStr">
        <is>
          <t>chr3</t>
        </is>
      </c>
      <c r="B2826" t="n">
        <v>162055731</v>
      </c>
      <c r="C2826" t="inlineStr">
        <is>
          <t>A</t>
        </is>
      </c>
      <c r="D2826" t="inlineStr">
        <is>
          <t>C</t>
        </is>
      </c>
      <c r="E2826" t="inlineStr">
        <is>
          <t>rs13098556</t>
        </is>
      </c>
      <c r="F2826" t="n">
        <v>-0.01163598594</v>
      </c>
      <c r="G2826" t="n">
        <v>0.6046047462901732</v>
      </c>
      <c r="H2826" t="n">
        <v>0.0229282852590053</v>
      </c>
      <c r="I2826" t="n">
        <v>0.0418985992195366</v>
      </c>
      <c r="J2826" t="n">
        <v>9.52859625976192e-05</v>
      </c>
      <c r="K2826" t="n">
        <v>0.9772367787683574</v>
      </c>
      <c r="L2826" t="b">
        <v>0</v>
      </c>
      <c r="M2826" t="b">
        <v>0</v>
      </c>
      <c r="N2826" t="inlineStr">
        <is>
          <t>ref</t>
        </is>
      </c>
      <c r="O2826" t="n">
        <v>100</v>
      </c>
      <c r="P2826" t="n">
        <v>0.0329</v>
      </c>
      <c r="Q2826" t="n">
        <v>45</v>
      </c>
      <c r="R2826" t="n">
        <v>0.0467</v>
      </c>
      <c r="S2826">
        <f>IMAGE("https://mitra.stanford.edu/kundaje/oak/projects/neuro-variants/variant_position/credible/roussos_2024/variant_figures/roussos_2024.childhood.GABA/rs13098556_count_position.png",4,220,900)</f>
        <v/>
      </c>
      <c r="T2826">
        <f>IMAGE("https://mitra.stanford.edu/kundaje/oak/projects/neuro-variants/variant_position/credible/roussos_2024/variant_figures/roussos_2024.childhood.GABA/rs13098556_profile_position.png",4,220,900)</f>
        <v/>
      </c>
    </row>
    <row r="2827">
      <c r="A2827" t="inlineStr">
        <is>
          <t>chr3</t>
        </is>
      </c>
      <c r="B2827" t="n">
        <v>162058404</v>
      </c>
      <c r="C2827" t="inlineStr">
        <is>
          <t>T</t>
        </is>
      </c>
      <c r="D2827" t="inlineStr">
        <is>
          <t>A</t>
        </is>
      </c>
      <c r="E2827" t="inlineStr">
        <is>
          <t>rs12629678</t>
        </is>
      </c>
      <c r="F2827" t="n">
        <v>0.0663906658</v>
      </c>
      <c r="G2827" t="n">
        <v>0.1049457153003404</v>
      </c>
      <c r="H2827" t="n">
        <v>0.0176706291859429</v>
      </c>
      <c r="I2827" t="n">
        <v>0.1236245651337926</v>
      </c>
      <c r="J2827" t="n">
        <v>0.0204948587464136</v>
      </c>
      <c r="K2827" t="n">
        <v>0.6443489675845421</v>
      </c>
      <c r="L2827" t="b">
        <v>0</v>
      </c>
      <c r="M2827" t="b">
        <v>0</v>
      </c>
      <c r="N2827" t="inlineStr">
        <is>
          <t>alt</t>
        </is>
      </c>
      <c r="O2827" t="n">
        <v>-65</v>
      </c>
      <c r="P2827" t="n">
        <v>0.0268</v>
      </c>
      <c r="Q2827" t="n">
        <v>-65</v>
      </c>
      <c r="R2827" t="n">
        <v>0.0742</v>
      </c>
      <c r="S2827">
        <f>IMAGE("https://mitra.stanford.edu/kundaje/oak/projects/neuro-variants/variant_position/credible/roussos_2024/variant_figures/roussos_2024.childhood.GABA/rs12629678_count_position.png",4,220,900)</f>
        <v/>
      </c>
      <c r="T2827">
        <f>IMAGE("https://mitra.stanford.edu/kundaje/oak/projects/neuro-variants/variant_position/credible/roussos_2024/variant_figures/roussos_2024.childhood.GABA/rs12629678_profile_position.png",4,220,900)</f>
        <v/>
      </c>
    </row>
    <row r="2828">
      <c r="A2828" t="inlineStr">
        <is>
          <t>chr3</t>
        </is>
      </c>
      <c r="B2828" t="n">
        <v>162059288</v>
      </c>
      <c r="C2828" t="inlineStr">
        <is>
          <t>G</t>
        </is>
      </c>
      <c r="D2828" t="inlineStr">
        <is>
          <t>A</t>
        </is>
      </c>
      <c r="E2828" t="inlineStr">
        <is>
          <t>rs13090291</t>
        </is>
      </c>
      <c r="F2828" t="n">
        <v>-0.1142943002</v>
      </c>
      <c r="G2828" t="n">
        <v>0.0219558915423158</v>
      </c>
      <c r="H2828" t="n">
        <v>0.0138183544185912</v>
      </c>
      <c r="I2828" t="n">
        <v>0.2966083158025713</v>
      </c>
      <c r="J2828" t="n">
        <v>0.0470189105987308</v>
      </c>
      <c r="K2828" t="n">
        <v>0.5305777799139906</v>
      </c>
      <c r="L2828" t="b">
        <v>0</v>
      </c>
      <c r="M2828" t="b">
        <v>0</v>
      </c>
      <c r="N2828" t="inlineStr">
        <is>
          <t>ref</t>
        </is>
      </c>
      <c r="O2828" t="n">
        <v>-100</v>
      </c>
      <c r="P2828" t="n">
        <v>0.002901</v>
      </c>
      <c r="Q2828" t="n">
        <v>90</v>
      </c>
      <c r="R2828" t="n">
        <v>0.0404</v>
      </c>
      <c r="S2828">
        <f>IMAGE("https://mitra.stanford.edu/kundaje/oak/projects/neuro-variants/variant_position/credible/roussos_2024/variant_figures/roussos_2024.childhood.GABA/rs13090291_count_position.png",4,220,900)</f>
        <v/>
      </c>
      <c r="T2828">
        <f>IMAGE("https://mitra.stanford.edu/kundaje/oak/projects/neuro-variants/variant_position/credible/roussos_2024/variant_figures/roussos_2024.childhood.GABA/rs13090291_profile_position.png",4,220,900)</f>
        <v/>
      </c>
    </row>
    <row r="2829">
      <c r="A2829" t="inlineStr">
        <is>
          <t>chr3</t>
        </is>
      </c>
      <c r="B2829" t="n">
        <v>162059363</v>
      </c>
      <c r="C2829" t="inlineStr">
        <is>
          <t>G</t>
        </is>
      </c>
      <c r="D2829" t="inlineStr">
        <is>
          <t>A</t>
        </is>
      </c>
      <c r="E2829" t="inlineStr">
        <is>
          <t>rs1119975</t>
        </is>
      </c>
      <c r="F2829" t="n">
        <v>0.0523642582</v>
      </c>
      <c r="G2829" t="n">
        <v>0.1399350229709638</v>
      </c>
      <c r="H2829" t="n">
        <v>0.0111718655382563</v>
      </c>
      <c r="I2829" t="n">
        <v>0.496920417464741</v>
      </c>
      <c r="J2829" t="n">
        <v>0.0584500848149776</v>
      </c>
      <c r="K2829" t="n">
        <v>0.4860447497674761</v>
      </c>
      <c r="L2829" t="b">
        <v>0</v>
      </c>
      <c r="M2829" t="b">
        <v>0</v>
      </c>
      <c r="N2829" t="inlineStr">
        <is>
          <t>alt</t>
        </is>
      </c>
      <c r="O2829" t="n">
        <v>-100</v>
      </c>
      <c r="P2829" t="n">
        <v>0.002926</v>
      </c>
      <c r="Q2829" t="n">
        <v>15</v>
      </c>
      <c r="R2829" t="n">
        <v>0.02051</v>
      </c>
      <c r="S2829">
        <f>IMAGE("https://mitra.stanford.edu/kundaje/oak/projects/neuro-variants/variant_position/credible/roussos_2024/variant_figures/roussos_2024.childhood.GABA/rs1119975_count_position.png",4,220,900)</f>
        <v/>
      </c>
      <c r="T2829">
        <f>IMAGE("https://mitra.stanford.edu/kundaje/oak/projects/neuro-variants/variant_position/credible/roussos_2024/variant_figures/roussos_2024.childhood.GABA/rs1119975_profile_position.png",4,220,900)</f>
        <v/>
      </c>
    </row>
    <row r="2830">
      <c r="A2830" t="inlineStr">
        <is>
          <t>chr3</t>
        </is>
      </c>
      <c r="B2830" t="n">
        <v>162061881</v>
      </c>
      <c r="C2830" t="inlineStr">
        <is>
          <t>A</t>
        </is>
      </c>
      <c r="D2830" t="inlineStr">
        <is>
          <t>G</t>
        </is>
      </c>
      <c r="E2830" t="inlineStr">
        <is>
          <t>rs35626895</t>
        </is>
      </c>
      <c r="F2830" t="n">
        <v>0.192186333</v>
      </c>
      <c r="G2830" t="n">
        <v>0.0054634356721619</v>
      </c>
      <c r="H2830" t="n">
        <v>0.028701626449827</v>
      </c>
      <c r="I2830" t="n">
        <v>0.0160895231645644</v>
      </c>
      <c r="J2830" t="n">
        <v>0.2131243324747125</v>
      </c>
      <c r="K2830" t="n">
        <v>0.1982410544572059</v>
      </c>
      <c r="L2830" t="b">
        <v>1</v>
      </c>
      <c r="M2830" t="b">
        <v>1</v>
      </c>
      <c r="N2830" t="inlineStr">
        <is>
          <t>alt</t>
        </is>
      </c>
      <c r="O2830" t="n">
        <v>-45</v>
      </c>
      <c r="P2830" t="n">
        <v>0.05154</v>
      </c>
      <c r="Q2830" t="n">
        <v>95</v>
      </c>
      <c r="R2830" t="n">
        <v>0.11694</v>
      </c>
      <c r="S2830">
        <f>IMAGE("https://mitra.stanford.edu/kundaje/oak/projects/neuro-variants/variant_position/credible/roussos_2024/variant_figures/roussos_2024.childhood.GABA/rs35626895_count_position.png",4,220,900)</f>
        <v/>
      </c>
      <c r="T2830">
        <f>IMAGE("https://mitra.stanford.edu/kundaje/oak/projects/neuro-variants/variant_position/credible/roussos_2024/variant_figures/roussos_2024.childhood.GABA/rs35626895_profile_position.png",4,220,900)</f>
        <v/>
      </c>
    </row>
    <row r="2831">
      <c r="A2831" t="inlineStr">
        <is>
          <t>chr3</t>
        </is>
      </c>
      <c r="B2831" t="n">
        <v>162062409</v>
      </c>
      <c r="C2831" t="inlineStr">
        <is>
          <t>C</t>
        </is>
      </c>
      <c r="D2831" t="inlineStr">
        <is>
          <t>T</t>
        </is>
      </c>
      <c r="E2831" t="inlineStr">
        <is>
          <t>rs871932</t>
        </is>
      </c>
      <c r="F2831" t="n">
        <v>-0.003084840332</v>
      </c>
      <c r="G2831" t="n">
        <v>0.7888125491122607</v>
      </c>
      <c r="H2831" t="n">
        <v>0.0149138371606102</v>
      </c>
      <c r="I2831" t="n">
        <v>0.2323949946374056</v>
      </c>
      <c r="J2831" t="n">
        <v>0.1237764654143368</v>
      </c>
      <c r="K2831" t="n">
        <v>0.3043246016242317</v>
      </c>
      <c r="L2831" t="b">
        <v>0</v>
      </c>
      <c r="M2831" t="b">
        <v>0</v>
      </c>
      <c r="N2831" t="inlineStr">
        <is>
          <t>ref</t>
        </is>
      </c>
      <c r="O2831" t="n">
        <v>-95</v>
      </c>
      <c r="P2831" t="n">
        <v>0.00481</v>
      </c>
      <c r="Q2831" t="n">
        <v>70</v>
      </c>
      <c r="R2831" t="n">
        <v>0.1243</v>
      </c>
      <c r="S2831">
        <f>IMAGE("https://mitra.stanford.edu/kundaje/oak/projects/neuro-variants/variant_position/credible/roussos_2024/variant_figures/roussos_2024.childhood.GABA/rs871932_count_position.png",4,220,900)</f>
        <v/>
      </c>
      <c r="T2831">
        <f>IMAGE("https://mitra.stanford.edu/kundaje/oak/projects/neuro-variants/variant_position/credible/roussos_2024/variant_figures/roussos_2024.childhood.GABA/rs871932_profile_position.png",4,220,900)</f>
        <v/>
      </c>
    </row>
    <row r="2832">
      <c r="A2832" t="inlineStr">
        <is>
          <t>chr3</t>
        </is>
      </c>
      <c r="B2832" t="n">
        <v>162063361</v>
      </c>
      <c r="C2832" t="inlineStr">
        <is>
          <t>C</t>
        </is>
      </c>
      <c r="D2832" t="inlineStr">
        <is>
          <t>T</t>
        </is>
      </c>
      <c r="E2832" t="inlineStr">
        <is>
          <t>rs6804840</t>
        </is>
      </c>
      <c r="F2832" t="n">
        <v>-0.0675502332</v>
      </c>
      <c r="G2832" t="n">
        <v>0.0772094890809733</v>
      </c>
      <c r="H2832" t="n">
        <v>0.0148912709498742</v>
      </c>
      <c r="I2832" t="n">
        <v>0.2304766607122589</v>
      </c>
      <c r="J2832" t="n">
        <v>0.0361709702414608</v>
      </c>
      <c r="K2832" t="n">
        <v>0.5547030494967308</v>
      </c>
      <c r="L2832" t="b">
        <v>0</v>
      </c>
      <c r="M2832" t="b">
        <v>0</v>
      </c>
      <c r="N2832" t="inlineStr">
        <is>
          <t>ref</t>
        </is>
      </c>
      <c r="O2832" t="n">
        <v>-100</v>
      </c>
      <c r="P2832" t="n">
        <v>0.0001488</v>
      </c>
      <c r="Q2832" t="n">
        <v>-85</v>
      </c>
      <c r="R2832" t="n">
        <v>0.02441</v>
      </c>
      <c r="S2832">
        <f>IMAGE("https://mitra.stanford.edu/kundaje/oak/projects/neuro-variants/variant_position/credible/roussos_2024/variant_figures/roussos_2024.childhood.GABA/rs6804840_count_position.png",4,220,900)</f>
        <v/>
      </c>
      <c r="T2832">
        <f>IMAGE("https://mitra.stanford.edu/kundaje/oak/projects/neuro-variants/variant_position/credible/roussos_2024/variant_figures/roussos_2024.childhood.GABA/rs6804840_profile_position.png",4,220,900)</f>
        <v/>
      </c>
    </row>
    <row r="2833">
      <c r="A2833" t="inlineStr">
        <is>
          <t>chr3</t>
        </is>
      </c>
      <c r="B2833" t="n">
        <v>162065913</v>
      </c>
      <c r="C2833" t="inlineStr">
        <is>
          <t>A</t>
        </is>
      </c>
      <c r="D2833" t="inlineStr">
        <is>
          <t>G</t>
        </is>
      </c>
      <c r="E2833" t="inlineStr">
        <is>
          <t>rs35797074</t>
        </is>
      </c>
      <c r="F2833" t="n">
        <v>-0.224975258</v>
      </c>
      <c r="G2833" t="n">
        <v>0.0034216423774508</v>
      </c>
      <c r="H2833" t="n">
        <v>0.0274148829158933</v>
      </c>
      <c r="I2833" t="n">
        <v>0.0212838370351771</v>
      </c>
      <c r="J2833" t="n">
        <v>0.0051674310485643</v>
      </c>
      <c r="K2833" t="n">
        <v>0.8145092975052995</v>
      </c>
      <c r="L2833" t="b">
        <v>1</v>
      </c>
      <c r="M2833" t="b">
        <v>1</v>
      </c>
      <c r="N2833" t="inlineStr">
        <is>
          <t>ref</t>
        </is>
      </c>
      <c r="O2833" t="n">
        <v>-60</v>
      </c>
      <c r="P2833" t="n">
        <v>0.003914</v>
      </c>
      <c r="Q2833" t="n">
        <v>35</v>
      </c>
      <c r="R2833" t="n">
        <v>0.03906</v>
      </c>
      <c r="S2833">
        <f>IMAGE("https://mitra.stanford.edu/kundaje/oak/projects/neuro-variants/variant_position/credible/roussos_2024/variant_figures/roussos_2024.childhood.GABA/rs35797074_count_position.png",4,220,900)</f>
        <v/>
      </c>
      <c r="T2833">
        <f>IMAGE("https://mitra.stanford.edu/kundaje/oak/projects/neuro-variants/variant_position/credible/roussos_2024/variant_figures/roussos_2024.childhood.GABA/rs35797074_profile_position.png",4,220,900)</f>
        <v/>
      </c>
    </row>
    <row r="2834">
      <c r="A2834" t="inlineStr">
        <is>
          <t>chr3</t>
        </is>
      </c>
      <c r="B2834" t="n">
        <v>162072290</v>
      </c>
      <c r="C2834" t="inlineStr">
        <is>
          <t>A</t>
        </is>
      </c>
      <c r="D2834" t="inlineStr">
        <is>
          <t>T</t>
        </is>
      </c>
      <c r="E2834" t="inlineStr">
        <is>
          <t>rs12638648</t>
        </is>
      </c>
      <c r="F2834" t="n">
        <v>-0.0242435355</v>
      </c>
      <c r="G2834" t="n">
        <v>0.3752195080365063</v>
      </c>
      <c r="H2834" t="n">
        <v>0.0105763233791537</v>
      </c>
      <c r="I2834" t="n">
        <v>0.5749147207471242</v>
      </c>
      <c r="J2834" t="n">
        <v>0.0449090071412116</v>
      </c>
      <c r="K2834" t="n">
        <v>0.51197523384739</v>
      </c>
      <c r="L2834" t="b">
        <v>0</v>
      </c>
      <c r="M2834" t="b">
        <v>0</v>
      </c>
      <c r="N2834" t="inlineStr">
        <is>
          <t>ref</t>
        </is>
      </c>
      <c r="O2834" t="n">
        <v>85</v>
      </c>
      <c r="P2834" t="n">
        <v>0.006065</v>
      </c>
      <c r="Q2834" t="n">
        <v>-100</v>
      </c>
      <c r="R2834" t="n">
        <v>0.007446</v>
      </c>
      <c r="S2834">
        <f>IMAGE("https://mitra.stanford.edu/kundaje/oak/projects/neuro-variants/variant_position/credible/roussos_2024/variant_figures/roussos_2024.childhood.GABA/rs12638648_count_position.png",4,220,900)</f>
        <v/>
      </c>
      <c r="T2834">
        <f>IMAGE("https://mitra.stanford.edu/kundaje/oak/projects/neuro-variants/variant_position/credible/roussos_2024/variant_figures/roussos_2024.childhood.GABA/rs12638648_profile_position.png",4,220,900)</f>
        <v/>
      </c>
    </row>
    <row r="2835">
      <c r="A2835" t="inlineStr">
        <is>
          <t>chr3</t>
        </is>
      </c>
      <c r="B2835" t="n">
        <v>162077857</v>
      </c>
      <c r="C2835" t="inlineStr">
        <is>
          <t>C</t>
        </is>
      </c>
      <c r="D2835" t="inlineStr">
        <is>
          <t>A</t>
        </is>
      </c>
      <c r="E2835" t="inlineStr">
        <is>
          <t>rs6789240</t>
        </is>
      </c>
      <c r="F2835" t="n">
        <v>0.009170499279999999</v>
      </c>
      <c r="G2835" t="n">
        <v>0.6173648340954387</v>
      </c>
      <c r="H2835" t="n">
        <v>0.0318998980879271</v>
      </c>
      <c r="I2835" t="n">
        <v>0.0097350514494845</v>
      </c>
      <c r="J2835" t="n">
        <v>0.0476010973592175</v>
      </c>
      <c r="K2835" t="n">
        <v>0.5001059375972435</v>
      </c>
      <c r="L2835" t="b">
        <v>1</v>
      </c>
      <c r="M2835" t="b">
        <v>0</v>
      </c>
      <c r="N2835" t="inlineStr">
        <is>
          <t>alt</t>
        </is>
      </c>
      <c r="O2835" t="n">
        <v>-100</v>
      </c>
      <c r="P2835" t="n">
        <v>0.006134</v>
      </c>
      <c r="Q2835" t="n">
        <v>-35</v>
      </c>
      <c r="R2835" t="n">
        <v>0.05835</v>
      </c>
      <c r="S2835">
        <f>IMAGE("https://mitra.stanford.edu/kundaje/oak/projects/neuro-variants/variant_position/credible/roussos_2024/variant_figures/roussos_2024.childhood.GABA/rs6789240_count_position.png",4,220,900)</f>
        <v/>
      </c>
      <c r="T2835">
        <f>IMAGE("https://mitra.stanford.edu/kundaje/oak/projects/neuro-variants/variant_position/credible/roussos_2024/variant_figures/roussos_2024.childhood.GABA/rs6789240_profile_position.png",4,220,900)</f>
        <v/>
      </c>
    </row>
    <row r="2836">
      <c r="A2836" t="inlineStr">
        <is>
          <t>chr3</t>
        </is>
      </c>
      <c r="B2836" t="n">
        <v>162106620</v>
      </c>
      <c r="C2836" t="inlineStr">
        <is>
          <t>G</t>
        </is>
      </c>
      <c r="D2836" t="inlineStr">
        <is>
          <t>A</t>
        </is>
      </c>
      <c r="E2836" t="inlineStr">
        <is>
          <t>rs13088846</t>
        </is>
      </c>
      <c r="F2836" t="n">
        <v>-0.00480761276</v>
      </c>
      <c r="G2836" t="n">
        <v>0.7644927175663233</v>
      </c>
      <c r="H2836" t="n">
        <v>0.0202902167857709</v>
      </c>
      <c r="I2836" t="n">
        <v>0.0702099436625775</v>
      </c>
      <c r="J2836" t="n">
        <v>0.0038763586102908</v>
      </c>
      <c r="K2836" t="n">
        <v>0.8330374468502453</v>
      </c>
      <c r="L2836" t="b">
        <v>0</v>
      </c>
      <c r="M2836" t="b">
        <v>0</v>
      </c>
      <c r="N2836" t="inlineStr">
        <is>
          <t>ref</t>
        </is>
      </c>
      <c r="O2836" t="n">
        <v>100</v>
      </c>
      <c r="P2836" t="n">
        <v>0.003572</v>
      </c>
      <c r="Q2836" t="n">
        <v>-65</v>
      </c>
      <c r="R2836" t="n">
        <v>0.05258</v>
      </c>
      <c r="S2836">
        <f>IMAGE("https://mitra.stanford.edu/kundaje/oak/projects/neuro-variants/variant_position/credible/roussos_2024/variant_figures/roussos_2024.childhood.GABA/rs13088846_count_position.png",4,220,900)</f>
        <v/>
      </c>
      <c r="T2836">
        <f>IMAGE("https://mitra.stanford.edu/kundaje/oak/projects/neuro-variants/variant_position/credible/roussos_2024/variant_figures/roussos_2024.childhood.GABA/rs13088846_profile_position.png",4,220,900)</f>
        <v/>
      </c>
    </row>
    <row r="2837">
      <c r="A2837" t="inlineStr">
        <is>
          <t>chr3</t>
        </is>
      </c>
      <c r="B2837" t="n">
        <v>177012411</v>
      </c>
      <c r="C2837" t="inlineStr">
        <is>
          <t>G</t>
        </is>
      </c>
      <c r="D2837" t="inlineStr">
        <is>
          <t>A</t>
        </is>
      </c>
      <c r="E2837" t="inlineStr">
        <is>
          <t>rs6792256</t>
        </is>
      </c>
      <c r="F2837" t="n">
        <v>-0.01401048306</v>
      </c>
      <c r="G2837" t="n">
        <v>0.5416077905096158</v>
      </c>
      <c r="H2837" t="n">
        <v>0.01754055037921</v>
      </c>
      <c r="I2837" t="n">
        <v>0.1277014066589277</v>
      </c>
      <c r="J2837" t="n">
        <v>0.0176394211639546</v>
      </c>
      <c r="K2837" t="n">
        <v>0.6744286624462683</v>
      </c>
      <c r="L2837" t="b">
        <v>0</v>
      </c>
      <c r="M2837" t="b">
        <v>0</v>
      </c>
      <c r="N2837" t="inlineStr">
        <is>
          <t>ref</t>
        </is>
      </c>
      <c r="O2837" t="n">
        <v>-10</v>
      </c>
      <c r="P2837" t="n">
        <v>0.00598</v>
      </c>
      <c r="Q2837" t="n">
        <v>75</v>
      </c>
      <c r="R2837" t="n">
        <v>0.0882</v>
      </c>
      <c r="S2837">
        <f>IMAGE("https://mitra.stanford.edu/kundaje/oak/projects/neuro-variants/variant_position/credible/roussos_2024/variant_figures/roussos_2024.childhood.GABA/rs6792256_count_position.png",4,220,900)</f>
        <v/>
      </c>
      <c r="T2837">
        <f>IMAGE("https://mitra.stanford.edu/kundaje/oak/projects/neuro-variants/variant_position/credible/roussos_2024/variant_figures/roussos_2024.childhood.GABA/rs6792256_profile_position.png",4,220,900)</f>
        <v/>
      </c>
    </row>
    <row r="2838">
      <c r="A2838" t="inlineStr">
        <is>
          <t>chr3</t>
        </is>
      </c>
      <c r="B2838" t="n">
        <v>177020270</v>
      </c>
      <c r="C2838" t="inlineStr">
        <is>
          <t>T</t>
        </is>
      </c>
      <c r="D2838" t="inlineStr">
        <is>
          <t>G</t>
        </is>
      </c>
      <c r="E2838" t="inlineStr">
        <is>
          <t>rs7612699</t>
        </is>
      </c>
      <c r="F2838" t="n">
        <v>-0.01765840878</v>
      </c>
      <c r="G2838" t="n">
        <v>0.4821434339426304</v>
      </c>
      <c r="H2838" t="n">
        <v>0.0138168390597442</v>
      </c>
      <c r="I2838" t="n">
        <v>0.2930022637495335</v>
      </c>
      <c r="J2838" t="n">
        <v>0.000724592155138</v>
      </c>
      <c r="K2838" t="n">
        <v>0.9297547154378916</v>
      </c>
      <c r="L2838" t="b">
        <v>0</v>
      </c>
      <c r="M2838" t="b">
        <v>0</v>
      </c>
      <c r="N2838" t="inlineStr">
        <is>
          <t>ref</t>
        </is>
      </c>
      <c r="O2838" t="n">
        <v>50</v>
      </c>
      <c r="P2838" t="n">
        <v>0.0002747</v>
      </c>
      <c r="Q2838" t="n">
        <v>-25</v>
      </c>
      <c r="R2838" t="n">
        <v>0.003296</v>
      </c>
      <c r="S2838">
        <f>IMAGE("https://mitra.stanford.edu/kundaje/oak/projects/neuro-variants/variant_position/credible/roussos_2024/variant_figures/roussos_2024.childhood.GABA/rs7612699_count_position.png",4,220,900)</f>
        <v/>
      </c>
      <c r="T2838">
        <f>IMAGE("https://mitra.stanford.edu/kundaje/oak/projects/neuro-variants/variant_position/credible/roussos_2024/variant_figures/roussos_2024.childhood.GABA/rs7612699_profile_position.png",4,220,900)</f>
        <v/>
      </c>
    </row>
    <row r="2839">
      <c r="A2839" t="inlineStr">
        <is>
          <t>chr3</t>
        </is>
      </c>
      <c r="B2839" t="n">
        <v>177021010</v>
      </c>
      <c r="C2839" t="inlineStr">
        <is>
          <t>T</t>
        </is>
      </c>
      <c r="D2839" t="inlineStr">
        <is>
          <t>C</t>
        </is>
      </c>
      <c r="E2839" t="inlineStr">
        <is>
          <t>rs6983</t>
        </is>
      </c>
      <c r="F2839" t="n">
        <v>0.0333082737999999</v>
      </c>
      <c r="G2839" t="n">
        <v>0.2504517957855568</v>
      </c>
      <c r="H2839" t="n">
        <v>0.0120651534517277</v>
      </c>
      <c r="I2839" t="n">
        <v>0.4215052455516787</v>
      </c>
      <c r="J2839" t="n">
        <v>0.009671001654415499</v>
      </c>
      <c r="K2839" t="n">
        <v>0.7421601386399481</v>
      </c>
      <c r="L2839" t="b">
        <v>0</v>
      </c>
      <c r="M2839" t="b">
        <v>0</v>
      </c>
      <c r="N2839" t="inlineStr">
        <is>
          <t>alt</t>
        </is>
      </c>
      <c r="O2839" t="n">
        <v>-55</v>
      </c>
      <c r="P2839" t="n">
        <v>0.0005684</v>
      </c>
      <c r="Q2839" t="n">
        <v>-90</v>
      </c>
      <c r="R2839" t="n">
        <v>0.0344</v>
      </c>
      <c r="S2839">
        <f>IMAGE("https://mitra.stanford.edu/kundaje/oak/projects/neuro-variants/variant_position/credible/roussos_2024/variant_figures/roussos_2024.childhood.GABA/rs6983_count_position.png",4,220,900)</f>
        <v/>
      </c>
      <c r="T2839">
        <f>IMAGE("https://mitra.stanford.edu/kundaje/oak/projects/neuro-variants/variant_position/credible/roussos_2024/variant_figures/roussos_2024.childhood.GABA/rs6983_profile_position.png",4,220,900)</f>
        <v/>
      </c>
    </row>
    <row r="2840">
      <c r="A2840" t="inlineStr">
        <is>
          <t>chr3</t>
        </is>
      </c>
      <c r="B2840" t="n">
        <v>177049320</v>
      </c>
      <c r="C2840" t="inlineStr">
        <is>
          <t>G</t>
        </is>
      </c>
      <c r="D2840" t="inlineStr">
        <is>
          <t>A</t>
        </is>
      </c>
      <c r="E2840" t="inlineStr">
        <is>
          <t>rs9825834</t>
        </is>
      </c>
      <c r="F2840" t="n">
        <v>-0.0454310996</v>
      </c>
      <c r="G2840" t="n">
        <v>0.1777926553564682</v>
      </c>
      <c r="H2840" t="n">
        <v>0.0107625951459372</v>
      </c>
      <c r="I2840" t="n">
        <v>0.5473804738220609</v>
      </c>
      <c r="J2840" t="n">
        <v>0.072744026303114</v>
      </c>
      <c r="K2840" t="n">
        <v>0.4141681156262755</v>
      </c>
      <c r="L2840" t="b">
        <v>0</v>
      </c>
      <c r="M2840" t="b">
        <v>0</v>
      </c>
      <c r="N2840" t="inlineStr">
        <is>
          <t>ref</t>
        </is>
      </c>
      <c r="O2840" t="n">
        <v>-100</v>
      </c>
      <c r="P2840" t="n">
        <v>0.04126</v>
      </c>
      <c r="Q2840" t="n">
        <v>-100</v>
      </c>
      <c r="R2840" t="n">
        <v>0.1917</v>
      </c>
      <c r="S2840">
        <f>IMAGE("https://mitra.stanford.edu/kundaje/oak/projects/neuro-variants/variant_position/credible/roussos_2024/variant_figures/roussos_2024.childhood.GABA/rs9825834_count_position.png",4,220,900)</f>
        <v/>
      </c>
      <c r="T2840">
        <f>IMAGE("https://mitra.stanford.edu/kundaje/oak/projects/neuro-variants/variant_position/credible/roussos_2024/variant_figures/roussos_2024.childhood.GABA/rs9825834_profile_position.png",4,220,900)</f>
        <v/>
      </c>
    </row>
    <row r="2841">
      <c r="A2841" t="inlineStr">
        <is>
          <t>chr3</t>
        </is>
      </c>
      <c r="B2841" t="n">
        <v>177051099</v>
      </c>
      <c r="C2841" t="inlineStr">
        <is>
          <t>G</t>
        </is>
      </c>
      <c r="D2841" t="inlineStr">
        <is>
          <t>A</t>
        </is>
      </c>
      <c r="E2841" t="inlineStr">
        <is>
          <t>rs28649009</t>
        </is>
      </c>
      <c r="F2841" t="n">
        <v>-0.0024608100999999</v>
      </c>
      <c r="G2841" t="n">
        <v>0.884895918038339</v>
      </c>
      <c r="H2841" t="n">
        <v>0.0178335476422251</v>
      </c>
      <c r="I2841" t="n">
        <v>0.118932124389082</v>
      </c>
      <c r="J2841" t="n">
        <v>0.3997507905593599</v>
      </c>
      <c r="K2841" t="n">
        <v>0.08488416077546709</v>
      </c>
      <c r="L2841" t="b">
        <v>0</v>
      </c>
      <c r="M2841" t="b">
        <v>0</v>
      </c>
      <c r="N2841" t="inlineStr">
        <is>
          <t>ref</t>
        </is>
      </c>
      <c r="O2841" t="n">
        <v>-75</v>
      </c>
      <c r="P2841" t="n">
        <v>0.008316</v>
      </c>
      <c r="Q2841" t="n">
        <v>-45</v>
      </c>
      <c r="R2841" t="n">
        <v>0.5254</v>
      </c>
      <c r="S2841">
        <f>IMAGE("https://mitra.stanford.edu/kundaje/oak/projects/neuro-variants/variant_position/credible/roussos_2024/variant_figures/roussos_2024.childhood.GABA/rs28649009_count_position.png",4,220,900)</f>
        <v/>
      </c>
      <c r="T2841">
        <f>IMAGE("https://mitra.stanford.edu/kundaje/oak/projects/neuro-variants/variant_position/credible/roussos_2024/variant_figures/roussos_2024.childhood.GABA/rs28649009_profile_position.png",4,220,900)</f>
        <v/>
      </c>
    </row>
    <row r="2842">
      <c r="A2842" t="inlineStr">
        <is>
          <t>chr3</t>
        </is>
      </c>
      <c r="B2842" t="n">
        <v>177076829</v>
      </c>
      <c r="C2842" t="inlineStr">
        <is>
          <t>C</t>
        </is>
      </c>
      <c r="D2842" t="inlineStr">
        <is>
          <t>A</t>
        </is>
      </c>
      <c r="E2842" t="inlineStr">
        <is>
          <t>rs9838212</t>
        </is>
      </c>
      <c r="F2842" t="n">
        <v>-0.0218195915999999</v>
      </c>
      <c r="G2842" t="n">
        <v>0.3978851010714034</v>
      </c>
      <c r="H2842" t="n">
        <v>0.0177881412477774</v>
      </c>
      <c r="I2842" t="n">
        <v>0.1189815637691208</v>
      </c>
      <c r="J2842" t="n">
        <v>0.0035151096312118</v>
      </c>
      <c r="K2842" t="n">
        <v>0.8483924287924739</v>
      </c>
      <c r="L2842" t="b">
        <v>0</v>
      </c>
      <c r="M2842" t="b">
        <v>0</v>
      </c>
      <c r="N2842" t="inlineStr">
        <is>
          <t>ref</t>
        </is>
      </c>
      <c r="O2842" t="n">
        <v>-70</v>
      </c>
      <c r="P2842" t="n">
        <v>0.00251</v>
      </c>
      <c r="Q2842" t="n">
        <v>100</v>
      </c>
      <c r="R2842" t="n">
        <v>0.094</v>
      </c>
      <c r="S2842">
        <f>IMAGE("https://mitra.stanford.edu/kundaje/oak/projects/neuro-variants/variant_position/credible/roussos_2024/variant_figures/roussos_2024.childhood.GABA/rs9838212_count_position.png",4,220,900)</f>
        <v/>
      </c>
      <c r="T2842">
        <f>IMAGE("https://mitra.stanford.edu/kundaje/oak/projects/neuro-variants/variant_position/credible/roussos_2024/variant_figures/roussos_2024.childhood.GABA/rs9838212_profile_position.png",4,220,900)</f>
        <v/>
      </c>
    </row>
    <row r="2843">
      <c r="A2843" t="inlineStr">
        <is>
          <t>chr3</t>
        </is>
      </c>
      <c r="B2843" t="n">
        <v>177130159</v>
      </c>
      <c r="C2843" t="inlineStr">
        <is>
          <t>G</t>
        </is>
      </c>
      <c r="D2843" t="inlineStr">
        <is>
          <t>A</t>
        </is>
      </c>
      <c r="E2843" t="inlineStr">
        <is>
          <t>rs9854353</t>
        </is>
      </c>
      <c r="F2843" t="n">
        <v>0.0131806157399999</v>
      </c>
      <c r="G2843" t="n">
        <v>0.5415925234391183</v>
      </c>
      <c r="H2843" t="n">
        <v>0.0437631367263224</v>
      </c>
      <c r="I2843" t="n">
        <v>0.0027857909673507</v>
      </c>
      <c r="J2843" t="n">
        <v>0.0379028711440597</v>
      </c>
      <c r="K2843" t="n">
        <v>0.5440527861702324</v>
      </c>
      <c r="L2843" t="b">
        <v>1</v>
      </c>
      <c r="M2843" t="b">
        <v>0</v>
      </c>
      <c r="N2843" t="inlineStr">
        <is>
          <t>alt</t>
        </is>
      </c>
      <c r="O2843" t="n">
        <v>-25</v>
      </c>
      <c r="P2843" t="n">
        <v>0.002869</v>
      </c>
      <c r="Q2843" t="n">
        <v>-65</v>
      </c>
      <c r="R2843" t="n">
        <v>0.1427</v>
      </c>
      <c r="S2843">
        <f>IMAGE("https://mitra.stanford.edu/kundaje/oak/projects/neuro-variants/variant_position/credible/roussos_2024/variant_figures/roussos_2024.childhood.GABA/rs9854353_count_position.png",4,220,900)</f>
        <v/>
      </c>
      <c r="T2843">
        <f>IMAGE("https://mitra.stanford.edu/kundaje/oak/projects/neuro-variants/variant_position/credible/roussos_2024/variant_figures/roussos_2024.childhood.GABA/rs9854353_profile_position.png",4,220,900)</f>
        <v/>
      </c>
    </row>
    <row r="2844">
      <c r="A2844" t="inlineStr">
        <is>
          <t>chr3</t>
        </is>
      </c>
      <c r="B2844" t="n">
        <v>180864866</v>
      </c>
      <c r="C2844" t="inlineStr">
        <is>
          <t>G</t>
        </is>
      </c>
      <c r="D2844" t="inlineStr">
        <is>
          <t>A</t>
        </is>
      </c>
      <c r="E2844" t="inlineStr">
        <is>
          <t>rs3866226</t>
        </is>
      </c>
      <c r="F2844" t="n">
        <v>0.00652847574</v>
      </c>
      <c r="G2844" t="n">
        <v>0.7085768753269447</v>
      </c>
      <c r="H2844" t="n">
        <v>0.0224115929573122</v>
      </c>
      <c r="I2844" t="n">
        <v>0.0455830588840693</v>
      </c>
      <c r="J2844" t="n">
        <v>0.0002219848798977</v>
      </c>
      <c r="K2844" t="n">
        <v>0.9597606512735224</v>
      </c>
      <c r="L2844" t="b">
        <v>0</v>
      </c>
      <c r="M2844" t="b">
        <v>0</v>
      </c>
      <c r="N2844" t="inlineStr">
        <is>
          <t>alt</t>
        </is>
      </c>
      <c r="O2844" t="n">
        <v>-100</v>
      </c>
      <c r="P2844" t="n">
        <v>0.003021</v>
      </c>
      <c r="Q2844" t="n">
        <v>-75</v>
      </c>
      <c r="R2844" t="n">
        <v>0.006104</v>
      </c>
      <c r="S2844">
        <f>IMAGE("https://mitra.stanford.edu/kundaje/oak/projects/neuro-variants/variant_position/credible/roussos_2024/variant_figures/roussos_2024.childhood.GABA/rs3866226_count_position.png",4,220,900)</f>
        <v/>
      </c>
      <c r="T2844">
        <f>IMAGE("https://mitra.stanford.edu/kundaje/oak/projects/neuro-variants/variant_position/credible/roussos_2024/variant_figures/roussos_2024.childhood.GABA/rs3866226_profile_position.png",4,220,900)</f>
        <v/>
      </c>
    </row>
    <row r="2845">
      <c r="A2845" t="inlineStr">
        <is>
          <t>chr3</t>
        </is>
      </c>
      <c r="B2845" t="n">
        <v>180871053</v>
      </c>
      <c r="C2845" t="inlineStr">
        <is>
          <t>G</t>
        </is>
      </c>
      <c r="D2845" t="inlineStr">
        <is>
          <t>T</t>
        </is>
      </c>
      <c r="E2845" t="inlineStr">
        <is>
          <t>rs875250</t>
        </is>
      </c>
      <c r="F2845" t="n">
        <v>-0.08609519960000001</v>
      </c>
      <c r="G2845" t="n">
        <v>0.0505297013583301</v>
      </c>
      <c r="H2845" t="n">
        <v>0.0136206583516379</v>
      </c>
      <c r="I2845" t="n">
        <v>0.2943752170157394</v>
      </c>
      <c r="J2845" t="n">
        <v>0.236920692760361</v>
      </c>
      <c r="K2845" t="n">
        <v>0.1898771546830235</v>
      </c>
      <c r="L2845" t="b">
        <v>0</v>
      </c>
      <c r="M2845" t="b">
        <v>0</v>
      </c>
      <c r="N2845" t="inlineStr">
        <is>
          <t>ref</t>
        </is>
      </c>
      <c r="O2845" t="n">
        <v>100</v>
      </c>
      <c r="P2845" t="n">
        <v>0.008449999999999999</v>
      </c>
      <c r="Q2845" t="n">
        <v>-50</v>
      </c>
      <c r="R2845" t="n">
        <v>0.014404</v>
      </c>
      <c r="S2845">
        <f>IMAGE("https://mitra.stanford.edu/kundaje/oak/projects/neuro-variants/variant_position/credible/roussos_2024/variant_figures/roussos_2024.childhood.GABA/rs875250_count_position.png",4,220,900)</f>
        <v/>
      </c>
      <c r="T2845">
        <f>IMAGE("https://mitra.stanford.edu/kundaje/oak/projects/neuro-variants/variant_position/credible/roussos_2024/variant_figures/roussos_2024.childhood.GABA/rs875250_profile_position.png",4,220,900)</f>
        <v/>
      </c>
    </row>
    <row r="2846">
      <c r="A2846" t="inlineStr">
        <is>
          <t>chr3</t>
        </is>
      </c>
      <c r="B2846" t="n">
        <v>180889457</v>
      </c>
      <c r="C2846" t="inlineStr">
        <is>
          <t>T</t>
        </is>
      </c>
      <c r="D2846" t="inlineStr">
        <is>
          <t>C</t>
        </is>
      </c>
      <c r="E2846" t="inlineStr">
        <is>
          <t>rs62291400</t>
        </is>
      </c>
      <c r="F2846" t="n">
        <v>0.0281641306</v>
      </c>
      <c r="G2846" t="n">
        <v>0.3623986749134544</v>
      </c>
      <c r="H2846" t="n">
        <v>0.0111940388664799</v>
      </c>
      <c r="I2846" t="n">
        <v>0.5121704093668328</v>
      </c>
      <c r="J2846" t="n">
        <v>0.0523842432619211</v>
      </c>
      <c r="K2846" t="n">
        <v>0.5013469737577823</v>
      </c>
      <c r="L2846" t="b">
        <v>0</v>
      </c>
      <c r="M2846" t="b">
        <v>0</v>
      </c>
      <c r="N2846" t="inlineStr">
        <is>
          <t>alt</t>
        </is>
      </c>
      <c r="O2846" t="n">
        <v>100</v>
      </c>
      <c r="P2846" t="n">
        <v>0.00975</v>
      </c>
      <c r="Q2846" t="n">
        <v>-80</v>
      </c>
      <c r="R2846" t="n">
        <v>0.0537</v>
      </c>
      <c r="S2846">
        <f>IMAGE("https://mitra.stanford.edu/kundaje/oak/projects/neuro-variants/variant_position/credible/roussos_2024/variant_figures/roussos_2024.childhood.GABA/rs62291400_count_position.png",4,220,900)</f>
        <v/>
      </c>
      <c r="T2846">
        <f>IMAGE("https://mitra.stanford.edu/kundaje/oak/projects/neuro-variants/variant_position/credible/roussos_2024/variant_figures/roussos_2024.childhood.GABA/rs62291400_profile_position.png",4,220,900)</f>
        <v/>
      </c>
    </row>
    <row r="2847">
      <c r="A2847" t="inlineStr">
        <is>
          <t>chr3</t>
        </is>
      </c>
      <c r="B2847" t="n">
        <v>180891133</v>
      </c>
      <c r="C2847" t="inlineStr">
        <is>
          <t>A</t>
        </is>
      </c>
      <c r="D2847" t="inlineStr">
        <is>
          <t>T</t>
        </is>
      </c>
      <c r="E2847" t="inlineStr">
        <is>
          <t>rs62291403</t>
        </is>
      </c>
      <c r="F2847" t="n">
        <v>0.09730836</v>
      </c>
      <c r="G2847" t="n">
        <v>0.0313265953830903</v>
      </c>
      <c r="H2847" t="n">
        <v>0.0153207304620073</v>
      </c>
      <c r="I2847" t="n">
        <v>0.2090218574742335</v>
      </c>
      <c r="J2847" t="n">
        <v>0.0311270968147263</v>
      </c>
      <c r="K2847" t="n">
        <v>0.5996662289842831</v>
      </c>
      <c r="L2847" t="b">
        <v>0</v>
      </c>
      <c r="M2847" t="b">
        <v>0</v>
      </c>
      <c r="N2847" t="inlineStr">
        <is>
          <t>alt</t>
        </is>
      </c>
      <c r="O2847" t="n">
        <v>50</v>
      </c>
      <c r="P2847" t="n">
        <v>0.00692</v>
      </c>
      <c r="Q2847" t="n">
        <v>100</v>
      </c>
      <c r="R2847" t="n">
        <v>0.06177</v>
      </c>
      <c r="S2847">
        <f>IMAGE("https://mitra.stanford.edu/kundaje/oak/projects/neuro-variants/variant_position/credible/roussos_2024/variant_figures/roussos_2024.childhood.GABA/rs62291403_count_position.png",4,220,900)</f>
        <v/>
      </c>
      <c r="T2847">
        <f>IMAGE("https://mitra.stanford.edu/kundaje/oak/projects/neuro-variants/variant_position/credible/roussos_2024/variant_figures/roussos_2024.childhood.GABA/rs62291403_profile_position.png",4,220,900)</f>
        <v/>
      </c>
    </row>
    <row r="2848">
      <c r="A2848" t="inlineStr">
        <is>
          <t>chr3</t>
        </is>
      </c>
      <c r="B2848" t="n">
        <v>180895330</v>
      </c>
      <c r="C2848" t="inlineStr">
        <is>
          <t>T</t>
        </is>
      </c>
      <c r="D2848" t="inlineStr">
        <is>
          <t>C</t>
        </is>
      </c>
      <c r="E2848" t="inlineStr">
        <is>
          <t>rs13098541</t>
        </is>
      </c>
      <c r="F2848" t="n">
        <v>0.0725480064</v>
      </c>
      <c r="G2848" t="n">
        <v>0.0624490402282762</v>
      </c>
      <c r="H2848" t="n">
        <v>0.0176034513145714</v>
      </c>
      <c r="I2848" t="n">
        <v>0.1249658374492696</v>
      </c>
      <c r="J2848" t="n">
        <v>0.07425917781826551</v>
      </c>
      <c r="K2848" t="n">
        <v>0.4117401865319207</v>
      </c>
      <c r="L2848" t="b">
        <v>0</v>
      </c>
      <c r="M2848" t="b">
        <v>0</v>
      </c>
      <c r="N2848" t="inlineStr">
        <is>
          <t>alt</t>
        </is>
      </c>
      <c r="O2848" t="n">
        <v>-100</v>
      </c>
      <c r="P2848" t="n">
        <v>0.01382</v>
      </c>
      <c r="Q2848" t="n">
        <v>100</v>
      </c>
      <c r="R2848" t="n">
        <v>0.04395</v>
      </c>
      <c r="S2848">
        <f>IMAGE("https://mitra.stanford.edu/kundaje/oak/projects/neuro-variants/variant_position/credible/roussos_2024/variant_figures/roussos_2024.childhood.GABA/rs13098541_count_position.png",4,220,900)</f>
        <v/>
      </c>
      <c r="T2848">
        <f>IMAGE("https://mitra.stanford.edu/kundaje/oak/projects/neuro-variants/variant_position/credible/roussos_2024/variant_figures/roussos_2024.childhood.GABA/rs13098541_profile_position.png",4,220,900)</f>
        <v/>
      </c>
    </row>
    <row r="2849">
      <c r="A2849" t="inlineStr">
        <is>
          <t>chr3</t>
        </is>
      </c>
      <c r="B2849" t="n">
        <v>180898828</v>
      </c>
      <c r="C2849" t="inlineStr">
        <is>
          <t>G</t>
        </is>
      </c>
      <c r="D2849" t="inlineStr">
        <is>
          <t>A</t>
        </is>
      </c>
      <c r="E2849" t="inlineStr">
        <is>
          <t>rs35709455</t>
        </is>
      </c>
      <c r="F2849" t="n">
        <v>-0.0763646111999999</v>
      </c>
      <c r="G2849" t="n">
        <v>0.0644014765936162</v>
      </c>
      <c r="H2849" t="n">
        <v>0.0132440268326426</v>
      </c>
      <c r="I2849" t="n">
        <v>0.3282003162468791</v>
      </c>
      <c r="J2849" t="n">
        <v>0.2101432430734434</v>
      </c>
      <c r="K2849" t="n">
        <v>0.2059312964192213</v>
      </c>
      <c r="L2849" t="b">
        <v>0</v>
      </c>
      <c r="M2849" t="b">
        <v>0</v>
      </c>
      <c r="N2849" t="inlineStr">
        <is>
          <t>ref</t>
        </is>
      </c>
      <c r="O2849" t="n">
        <v>-60</v>
      </c>
      <c r="P2849" t="n">
        <v>0.003326</v>
      </c>
      <c r="Q2849" t="n">
        <v>45</v>
      </c>
      <c r="R2849" t="n">
        <v>0.04407</v>
      </c>
      <c r="S2849">
        <f>IMAGE("https://mitra.stanford.edu/kundaje/oak/projects/neuro-variants/variant_position/credible/roussos_2024/variant_figures/roussos_2024.childhood.GABA/rs35709455_count_position.png",4,220,900)</f>
        <v/>
      </c>
      <c r="T2849">
        <f>IMAGE("https://mitra.stanford.edu/kundaje/oak/projects/neuro-variants/variant_position/credible/roussos_2024/variant_figures/roussos_2024.childhood.GABA/rs35709455_profile_position.png",4,220,900)</f>
        <v/>
      </c>
    </row>
    <row r="2850">
      <c r="A2850" t="inlineStr">
        <is>
          <t>chr3</t>
        </is>
      </c>
      <c r="B2850" t="n">
        <v>180902050</v>
      </c>
      <c r="C2850" t="inlineStr">
        <is>
          <t>T</t>
        </is>
      </c>
      <c r="D2850" t="inlineStr">
        <is>
          <t>C</t>
        </is>
      </c>
      <c r="E2850" t="inlineStr">
        <is>
          <t>rs7635754</t>
        </is>
      </c>
      <c r="F2850" t="n">
        <v>0.0686801828</v>
      </c>
      <c r="G2850" t="n">
        <v>0.0739111956958361</v>
      </c>
      <c r="H2850" t="n">
        <v>0.0139650414313243</v>
      </c>
      <c r="I2850" t="n">
        <v>0.2810665078834489</v>
      </c>
      <c r="J2850" t="n">
        <v>0.0165085547946639</v>
      </c>
      <c r="K2850" t="n">
        <v>0.6838930358979228</v>
      </c>
      <c r="L2850" t="b">
        <v>0</v>
      </c>
      <c r="M2850" t="b">
        <v>0</v>
      </c>
      <c r="N2850" t="inlineStr">
        <is>
          <t>alt</t>
        </is>
      </c>
      <c r="O2850" t="n">
        <v>100</v>
      </c>
      <c r="P2850" t="n">
        <v>0.01084</v>
      </c>
      <c r="Q2850" t="n">
        <v>-35</v>
      </c>
      <c r="R2850" t="n">
        <v>0.06055</v>
      </c>
      <c r="S2850">
        <f>IMAGE("https://mitra.stanford.edu/kundaje/oak/projects/neuro-variants/variant_position/credible/roussos_2024/variant_figures/roussos_2024.childhood.GABA/rs7635754_count_position.png",4,220,900)</f>
        <v/>
      </c>
      <c r="T2850">
        <f>IMAGE("https://mitra.stanford.edu/kundaje/oak/projects/neuro-variants/variant_position/credible/roussos_2024/variant_figures/roussos_2024.childhood.GABA/rs7635754_profile_position.png",4,220,900)</f>
        <v/>
      </c>
    </row>
    <row r="2851">
      <c r="A2851" t="inlineStr">
        <is>
          <t>chr3</t>
        </is>
      </c>
      <c r="B2851" t="n">
        <v>180909664</v>
      </c>
      <c r="C2851" t="inlineStr">
        <is>
          <t>C</t>
        </is>
      </c>
      <c r="D2851" t="inlineStr">
        <is>
          <t>A</t>
        </is>
      </c>
      <c r="E2851" t="inlineStr">
        <is>
          <t>rs4854998</t>
        </is>
      </c>
      <c r="F2851" t="n">
        <v>0.1162839035999999</v>
      </c>
      <c r="G2851" t="n">
        <v>0.0284913776365761</v>
      </c>
      <c r="H2851" t="n">
        <v>0.0321632706172837</v>
      </c>
      <c r="I2851" t="n">
        <v>0.0096029064062901</v>
      </c>
      <c r="J2851" t="n">
        <v>0.072994282842244</v>
      </c>
      <c r="K2851" t="n">
        <v>0.420214806275389</v>
      </c>
      <c r="L2851" t="b">
        <v>1</v>
      </c>
      <c r="M2851" t="b">
        <v>1</v>
      </c>
      <c r="N2851" t="inlineStr">
        <is>
          <t>alt</t>
        </is>
      </c>
      <c r="O2851" t="n">
        <v>-55</v>
      </c>
      <c r="P2851" t="n">
        <v>0.000977</v>
      </c>
      <c r="Q2851" t="n">
        <v>20</v>
      </c>
      <c r="R2851" t="n">
        <v>0.0498</v>
      </c>
      <c r="S2851">
        <f>IMAGE("https://mitra.stanford.edu/kundaje/oak/projects/neuro-variants/variant_position/credible/roussos_2024/variant_figures/roussos_2024.childhood.GABA/rs4854998_count_position.png",4,220,900)</f>
        <v/>
      </c>
      <c r="T2851">
        <f>IMAGE("https://mitra.stanford.edu/kundaje/oak/projects/neuro-variants/variant_position/credible/roussos_2024/variant_figures/roussos_2024.childhood.GABA/rs4854998_profile_position.png",4,220,900)</f>
        <v/>
      </c>
    </row>
    <row r="2852">
      <c r="A2852" t="inlineStr">
        <is>
          <t>chr3</t>
        </is>
      </c>
      <c r="B2852" t="n">
        <v>180937019</v>
      </c>
      <c r="C2852" t="inlineStr">
        <is>
          <t>A</t>
        </is>
      </c>
      <c r="D2852" t="inlineStr">
        <is>
          <t>G</t>
        </is>
      </c>
      <c r="E2852" t="inlineStr">
        <is>
          <t>rs10490806</t>
        </is>
      </c>
      <c r="F2852" t="n">
        <v>-0.1390385652</v>
      </c>
      <c r="G2852" t="n">
        <v>0.0124265176827048</v>
      </c>
      <c r="H2852" t="n">
        <v>0.0158210070277123</v>
      </c>
      <c r="I2852" t="n">
        <v>0.1871534711508264</v>
      </c>
      <c r="J2852" t="n">
        <v>0.0165452032418168</v>
      </c>
      <c r="K2852" t="n">
        <v>0.6725269840383444</v>
      </c>
      <c r="L2852" t="b">
        <v>1</v>
      </c>
      <c r="M2852" t="b">
        <v>0</v>
      </c>
      <c r="N2852" t="inlineStr">
        <is>
          <t>ref</t>
        </is>
      </c>
      <c r="O2852" t="n">
        <v>40</v>
      </c>
      <c r="P2852" t="n">
        <v>0.01437</v>
      </c>
      <c r="Q2852" t="n">
        <v>35</v>
      </c>
      <c r="R2852" t="n">
        <v>0.0315</v>
      </c>
      <c r="S2852">
        <f>IMAGE("https://mitra.stanford.edu/kundaje/oak/projects/neuro-variants/variant_position/credible/roussos_2024/variant_figures/roussos_2024.childhood.GABA/rs10490806_count_position.png",4,220,900)</f>
        <v/>
      </c>
      <c r="T2852">
        <f>IMAGE("https://mitra.stanford.edu/kundaje/oak/projects/neuro-variants/variant_position/credible/roussos_2024/variant_figures/roussos_2024.childhood.GABA/rs10490806_profile_position.png",4,220,900)</f>
        <v/>
      </c>
    </row>
    <row r="2853">
      <c r="A2853" t="inlineStr">
        <is>
          <t>chr3</t>
        </is>
      </c>
      <c r="B2853" t="n">
        <v>180944499</v>
      </c>
      <c r="C2853" t="inlineStr">
        <is>
          <t>A</t>
        </is>
      </c>
      <c r="D2853" t="inlineStr">
        <is>
          <t>T</t>
        </is>
      </c>
      <c r="E2853" t="inlineStr">
        <is>
          <t>rs13083851</t>
        </is>
      </c>
      <c r="F2853" t="n">
        <v>0.0004339123379999</v>
      </c>
      <c r="G2853" t="n">
        <v>0.9229825414112988</v>
      </c>
      <c r="H2853" t="n">
        <v>0.0215316770563706</v>
      </c>
      <c r="I2853" t="n">
        <v>0.055614865455517</v>
      </c>
      <c r="J2853" t="n">
        <v>0.0181922891667189</v>
      </c>
      <c r="K2853" t="n">
        <v>0.6682128081069471</v>
      </c>
      <c r="L2853" t="b">
        <v>0</v>
      </c>
      <c r="M2853" t="b">
        <v>0</v>
      </c>
      <c r="N2853" t="inlineStr">
        <is>
          <t>alt</t>
        </is>
      </c>
      <c r="O2853" t="n">
        <v>95</v>
      </c>
      <c r="P2853" t="n">
        <v>0.004944</v>
      </c>
      <c r="Q2853" t="n">
        <v>-100</v>
      </c>
      <c r="R2853" t="n">
        <v>0.0757</v>
      </c>
      <c r="S2853">
        <f>IMAGE("https://mitra.stanford.edu/kundaje/oak/projects/neuro-variants/variant_position/credible/roussos_2024/variant_figures/roussos_2024.childhood.GABA/rs13083851_count_position.png",4,220,900)</f>
        <v/>
      </c>
      <c r="T2853">
        <f>IMAGE("https://mitra.stanford.edu/kundaje/oak/projects/neuro-variants/variant_position/credible/roussos_2024/variant_figures/roussos_2024.childhood.GABA/rs13083851_profile_position.png",4,220,900)</f>
        <v/>
      </c>
    </row>
    <row r="2854">
      <c r="A2854" t="inlineStr">
        <is>
          <t>chr3</t>
        </is>
      </c>
      <c r="B2854" t="n">
        <v>180946374</v>
      </c>
      <c r="C2854" t="inlineStr">
        <is>
          <t>A</t>
        </is>
      </c>
      <c r="D2854" t="inlineStr">
        <is>
          <t>G</t>
        </is>
      </c>
      <c r="E2854" t="inlineStr">
        <is>
          <t>rs12186104</t>
        </is>
      </c>
      <c r="F2854" t="n">
        <v>-0.0232295424</v>
      </c>
      <c r="G2854" t="n">
        <v>0.3883700205649187</v>
      </c>
      <c r="H2854" t="n">
        <v>0.0209953927015007</v>
      </c>
      <c r="I2854" t="n">
        <v>0.0633507129086844</v>
      </c>
      <c r="J2854" t="n">
        <v>0.0305072145085966</v>
      </c>
      <c r="K2854" t="n">
        <v>0.5727979786275046</v>
      </c>
      <c r="L2854" t="b">
        <v>0</v>
      </c>
      <c r="M2854" t="b">
        <v>0</v>
      </c>
      <c r="N2854" t="inlineStr">
        <is>
          <t>ref</t>
        </is>
      </c>
      <c r="O2854" t="n">
        <v>-5</v>
      </c>
      <c r="P2854" t="n">
        <v>8.390000000000001e-05</v>
      </c>
      <c r="Q2854" t="n">
        <v>-40</v>
      </c>
      <c r="R2854" t="n">
        <v>0.01489</v>
      </c>
      <c r="S2854">
        <f>IMAGE("https://mitra.stanford.edu/kundaje/oak/projects/neuro-variants/variant_position/credible/roussos_2024/variant_figures/roussos_2024.childhood.GABA/rs12186104_count_position.png",4,220,900)</f>
        <v/>
      </c>
      <c r="T2854">
        <f>IMAGE("https://mitra.stanford.edu/kundaje/oak/projects/neuro-variants/variant_position/credible/roussos_2024/variant_figures/roussos_2024.childhood.GABA/rs12186104_profile_position.png",4,220,900)</f>
        <v/>
      </c>
    </row>
    <row r="2855">
      <c r="A2855" t="inlineStr">
        <is>
          <t>chr3</t>
        </is>
      </c>
      <c r="B2855" t="n">
        <v>180993216</v>
      </c>
      <c r="C2855" t="inlineStr">
        <is>
          <t>T</t>
        </is>
      </c>
      <c r="D2855" t="inlineStr">
        <is>
          <t>C</t>
        </is>
      </c>
      <c r="E2855" t="inlineStr">
        <is>
          <t>rs6777005</t>
        </is>
      </c>
      <c r="F2855" t="n">
        <v>0.00469470366</v>
      </c>
      <c r="G2855" t="n">
        <v>0.6265910478740925</v>
      </c>
      <c r="H2855" t="n">
        <v>0.0111833536619754</v>
      </c>
      <c r="I2855" t="n">
        <v>0.5179560038864768</v>
      </c>
      <c r="J2855" t="n">
        <v>0.08865049946597971</v>
      </c>
      <c r="K2855" t="n">
        <v>0.3912867164577591</v>
      </c>
      <c r="L2855" t="b">
        <v>0</v>
      </c>
      <c r="M2855" t="b">
        <v>0</v>
      </c>
      <c r="N2855" t="inlineStr">
        <is>
          <t>alt</t>
        </is>
      </c>
      <c r="O2855" t="n">
        <v>-100</v>
      </c>
      <c r="P2855" t="n">
        <v>0.00148</v>
      </c>
      <c r="Q2855" t="n">
        <v>-100</v>
      </c>
      <c r="R2855" t="n">
        <v>0.02551</v>
      </c>
      <c r="S2855">
        <f>IMAGE("https://mitra.stanford.edu/kundaje/oak/projects/neuro-variants/variant_position/credible/roussos_2024/variant_figures/roussos_2024.childhood.GABA/rs6777005_count_position.png",4,220,900)</f>
        <v/>
      </c>
      <c r="T2855">
        <f>IMAGE("https://mitra.stanford.edu/kundaje/oak/projects/neuro-variants/variant_position/credible/roussos_2024/variant_figures/roussos_2024.childhood.GABA/rs6777005_profile_position.png",4,220,900)</f>
        <v/>
      </c>
    </row>
    <row r="2856">
      <c r="A2856" t="inlineStr">
        <is>
          <t>chr3</t>
        </is>
      </c>
      <c r="B2856" t="n">
        <v>180994099</v>
      </c>
      <c r="C2856" t="inlineStr">
        <is>
          <t>A</t>
        </is>
      </c>
      <c r="D2856" t="inlineStr">
        <is>
          <t>G</t>
        </is>
      </c>
      <c r="E2856" t="inlineStr">
        <is>
          <t>rs62291437</t>
        </is>
      </c>
      <c r="F2856" t="n">
        <v>-0.0442398248</v>
      </c>
      <c r="G2856" t="n">
        <v>0.1896113380161639</v>
      </c>
      <c r="H2856" t="n">
        <v>0.029189074928731</v>
      </c>
      <c r="I2856" t="n">
        <v>0.0141140271920598</v>
      </c>
      <c r="J2856" t="n">
        <v>0.0410839563569349</v>
      </c>
      <c r="K2856" t="n">
        <v>0.541618102823969</v>
      </c>
      <c r="L2856" t="b">
        <v>1</v>
      </c>
      <c r="M2856" t="b">
        <v>0</v>
      </c>
      <c r="N2856" t="inlineStr">
        <is>
          <t>ref</t>
        </is>
      </c>
      <c r="O2856" t="n">
        <v>-100</v>
      </c>
      <c r="P2856" t="n">
        <v>0.004364</v>
      </c>
      <c r="Q2856" t="n">
        <v>100</v>
      </c>
      <c r="R2856" t="n">
        <v>0.01712</v>
      </c>
      <c r="S2856">
        <f>IMAGE("https://mitra.stanford.edu/kundaje/oak/projects/neuro-variants/variant_position/credible/roussos_2024/variant_figures/roussos_2024.childhood.GABA/rs62291437_count_position.png",4,220,900)</f>
        <v/>
      </c>
      <c r="T2856">
        <f>IMAGE("https://mitra.stanford.edu/kundaje/oak/projects/neuro-variants/variant_position/credible/roussos_2024/variant_figures/roussos_2024.childhood.GABA/rs62291437_profile_position.png",4,220,900)</f>
        <v/>
      </c>
    </row>
    <row r="2857">
      <c r="A2857" t="inlineStr">
        <is>
          <t>chr3</t>
        </is>
      </c>
      <c r="B2857" t="n">
        <v>181010627</v>
      </c>
      <c r="C2857" t="inlineStr">
        <is>
          <t>G</t>
        </is>
      </c>
      <c r="D2857" t="inlineStr">
        <is>
          <t>C</t>
        </is>
      </c>
      <c r="E2857" t="inlineStr">
        <is>
          <t>rs11705702</t>
        </is>
      </c>
      <c r="F2857" t="n">
        <v>0.094034617</v>
      </c>
      <c r="G2857" t="n">
        <v>0.0428690966776179</v>
      </c>
      <c r="H2857" t="n">
        <v>0.0174437676687823</v>
      </c>
      <c r="I2857" t="n">
        <v>0.1314449967793704</v>
      </c>
      <c r="J2857" t="n">
        <v>0.0125494754036564</v>
      </c>
      <c r="K2857" t="n">
        <v>0.7396284972001168</v>
      </c>
      <c r="L2857" t="b">
        <v>0</v>
      </c>
      <c r="M2857" t="b">
        <v>0</v>
      </c>
      <c r="N2857" t="inlineStr">
        <is>
          <t>alt</t>
        </is>
      </c>
      <c r="O2857" t="n">
        <v>100</v>
      </c>
      <c r="P2857" t="n">
        <v>0.00637</v>
      </c>
      <c r="Q2857" t="n">
        <v>-20</v>
      </c>
      <c r="R2857" t="n">
        <v>0.006836</v>
      </c>
      <c r="S2857">
        <f>IMAGE("https://mitra.stanford.edu/kundaje/oak/projects/neuro-variants/variant_position/credible/roussos_2024/variant_figures/roussos_2024.childhood.GABA/rs11705702_count_position.png",4,220,900)</f>
        <v/>
      </c>
      <c r="T2857">
        <f>IMAGE("https://mitra.stanford.edu/kundaje/oak/projects/neuro-variants/variant_position/credible/roussos_2024/variant_figures/roussos_2024.childhood.GABA/rs11705702_profile_position.png",4,220,900)</f>
        <v/>
      </c>
    </row>
    <row r="2858">
      <c r="A2858" t="inlineStr">
        <is>
          <t>chr3</t>
        </is>
      </c>
      <c r="B2858" t="n">
        <v>181011360</v>
      </c>
      <c r="C2858" t="inlineStr">
        <is>
          <t>A</t>
        </is>
      </c>
      <c r="D2858" t="inlineStr">
        <is>
          <t>T</t>
        </is>
      </c>
      <c r="E2858" t="inlineStr">
        <is>
          <t>rs71312200</t>
        </is>
      </c>
      <c r="F2858" t="n">
        <v>-0.0029656823</v>
      </c>
      <c r="G2858" t="n">
        <v>0.8932097731273836</v>
      </c>
      <c r="H2858" t="n">
        <v>0.0194108824221801</v>
      </c>
      <c r="I2858" t="n">
        <v>0.0866473928255977</v>
      </c>
      <c r="J2858" t="n">
        <v>0.0194707964231115</v>
      </c>
      <c r="K2858" t="n">
        <v>0.6606906393067424</v>
      </c>
      <c r="L2858" t="b">
        <v>0</v>
      </c>
      <c r="M2858" t="b">
        <v>0</v>
      </c>
      <c r="N2858" t="inlineStr">
        <is>
          <t>ref</t>
        </is>
      </c>
      <c r="O2858" t="n">
        <v>-90</v>
      </c>
      <c r="P2858" t="n">
        <v>0.000977</v>
      </c>
      <c r="Q2858" t="n">
        <v>-70</v>
      </c>
      <c r="R2858" t="n">
        <v>0.03943</v>
      </c>
      <c r="S2858">
        <f>IMAGE("https://mitra.stanford.edu/kundaje/oak/projects/neuro-variants/variant_position/credible/roussos_2024/variant_figures/roussos_2024.childhood.GABA/rs71312200_count_position.png",4,220,900)</f>
        <v/>
      </c>
      <c r="T2858">
        <f>IMAGE("https://mitra.stanford.edu/kundaje/oak/projects/neuro-variants/variant_position/credible/roussos_2024/variant_figures/roussos_2024.childhood.GABA/rs71312200_profile_position.png",4,220,900)</f>
        <v/>
      </c>
    </row>
    <row r="2859">
      <c r="A2859" t="inlineStr">
        <is>
          <t>chr3</t>
        </is>
      </c>
      <c r="B2859" t="n">
        <v>181019853</v>
      </c>
      <c r="C2859" t="inlineStr">
        <is>
          <t>T</t>
        </is>
      </c>
      <c r="D2859" t="inlineStr">
        <is>
          <t>G</t>
        </is>
      </c>
      <c r="E2859" t="inlineStr">
        <is>
          <t>rs34293605</t>
        </is>
      </c>
      <c r="F2859" t="n">
        <v>-0.0116991309</v>
      </c>
      <c r="G2859" t="n">
        <v>0.5898368549753886</v>
      </c>
      <c r="H2859" t="n">
        <v>0.0223289290103347</v>
      </c>
      <c r="I2859" t="n">
        <v>0.0507356209762461</v>
      </c>
      <c r="J2859" t="n">
        <v>0.09197399007350621</v>
      </c>
      <c r="K2859" t="n">
        <v>0.3827813790591253</v>
      </c>
      <c r="L2859" t="b">
        <v>0</v>
      </c>
      <c r="M2859" t="b">
        <v>0</v>
      </c>
      <c r="N2859" t="inlineStr">
        <is>
          <t>ref</t>
        </is>
      </c>
      <c r="O2859" t="n">
        <v>-75</v>
      </c>
      <c r="P2859" t="n">
        <v>0.01257</v>
      </c>
      <c r="Q2859" t="n">
        <v>-50</v>
      </c>
      <c r="R2859" t="n">
        <v>0.1128</v>
      </c>
      <c r="S2859">
        <f>IMAGE("https://mitra.stanford.edu/kundaje/oak/projects/neuro-variants/variant_position/credible/roussos_2024/variant_figures/roussos_2024.childhood.GABA/rs34293605_count_position.png",4,220,900)</f>
        <v/>
      </c>
      <c r="T2859">
        <f>IMAGE("https://mitra.stanford.edu/kundaje/oak/projects/neuro-variants/variant_position/credible/roussos_2024/variant_figures/roussos_2024.childhood.GABA/rs34293605_profile_position.png",4,220,900)</f>
        <v/>
      </c>
    </row>
    <row r="2860">
      <c r="A2860" t="inlineStr">
        <is>
          <t>chr3</t>
        </is>
      </c>
      <c r="B2860" t="n">
        <v>181033387</v>
      </c>
      <c r="C2860" t="inlineStr">
        <is>
          <t>C</t>
        </is>
      </c>
      <c r="D2860" t="inlineStr">
        <is>
          <t>T</t>
        </is>
      </c>
      <c r="E2860" t="inlineStr">
        <is>
          <t>rs62289571</t>
        </is>
      </c>
      <c r="F2860" t="n">
        <v>-0.0264320182799999</v>
      </c>
      <c r="G2860" t="n">
        <v>0.3167427516920305</v>
      </c>
      <c r="H2860" t="n">
        <v>0.0116133729359592</v>
      </c>
      <c r="I2860" t="n">
        <v>0.4617916680714027</v>
      </c>
      <c r="J2860" t="n">
        <v>0.0032313459403991</v>
      </c>
      <c r="K2860" t="n">
        <v>0.8477131648954001</v>
      </c>
      <c r="L2860" t="b">
        <v>0</v>
      </c>
      <c r="M2860" t="b">
        <v>0</v>
      </c>
      <c r="N2860" t="inlineStr">
        <is>
          <t>ref</t>
        </is>
      </c>
      <c r="O2860" t="n">
        <v>100</v>
      </c>
      <c r="P2860" t="n">
        <v>0.01258</v>
      </c>
      <c r="Q2860" t="n">
        <v>100</v>
      </c>
      <c r="R2860" t="n">
        <v>0.03656</v>
      </c>
      <c r="S2860">
        <f>IMAGE("https://mitra.stanford.edu/kundaje/oak/projects/neuro-variants/variant_position/credible/roussos_2024/variant_figures/roussos_2024.childhood.GABA/rs62289571_count_position.png",4,220,900)</f>
        <v/>
      </c>
      <c r="T2860">
        <f>IMAGE("https://mitra.stanford.edu/kundaje/oak/projects/neuro-variants/variant_position/credible/roussos_2024/variant_figures/roussos_2024.childhood.GABA/rs62289571_profile_position.png",4,220,900)</f>
        <v/>
      </c>
    </row>
    <row r="2861">
      <c r="A2861" t="inlineStr">
        <is>
          <t>chr3</t>
        </is>
      </c>
      <c r="B2861" t="n">
        <v>181035595</v>
      </c>
      <c r="C2861" t="inlineStr">
        <is>
          <t>G</t>
        </is>
      </c>
      <c r="D2861" t="inlineStr">
        <is>
          <t>C</t>
        </is>
      </c>
      <c r="E2861" t="inlineStr">
        <is>
          <t>rs13060352</t>
        </is>
      </c>
      <c r="F2861" t="n">
        <v>-0.114317526</v>
      </c>
      <c r="G2861" t="n">
        <v>0.0220254688784953</v>
      </c>
      <c r="H2861" t="n">
        <v>0.0318988508193653</v>
      </c>
      <c r="I2861" t="n">
        <v>0.0106105474072231</v>
      </c>
      <c r="J2861" t="n">
        <v>0.0343825260203974</v>
      </c>
      <c r="K2861" t="n">
        <v>0.5667201690216011</v>
      </c>
      <c r="L2861" t="b">
        <v>1</v>
      </c>
      <c r="M2861" t="b">
        <v>0</v>
      </c>
      <c r="N2861" t="inlineStr">
        <is>
          <t>ref</t>
        </is>
      </c>
      <c r="O2861" t="n">
        <v>35</v>
      </c>
      <c r="P2861" t="n">
        <v>0.0174</v>
      </c>
      <c r="Q2861" t="n">
        <v>100</v>
      </c>
      <c r="R2861" t="n">
        <v>0.07227</v>
      </c>
      <c r="S2861">
        <f>IMAGE("https://mitra.stanford.edu/kundaje/oak/projects/neuro-variants/variant_position/credible/roussos_2024/variant_figures/roussos_2024.childhood.GABA/rs13060352_count_position.png",4,220,900)</f>
        <v/>
      </c>
      <c r="T2861">
        <f>IMAGE("https://mitra.stanford.edu/kundaje/oak/projects/neuro-variants/variant_position/credible/roussos_2024/variant_figures/roussos_2024.childhood.GABA/rs13060352_profile_position.png",4,220,900)</f>
        <v/>
      </c>
    </row>
    <row r="2862">
      <c r="A2862" t="inlineStr">
        <is>
          <t>chr3</t>
        </is>
      </c>
      <c r="B2862" t="n">
        <v>181050532</v>
      </c>
      <c r="C2862" t="inlineStr">
        <is>
          <t>T</t>
        </is>
      </c>
      <c r="D2862" t="inlineStr">
        <is>
          <t>G</t>
        </is>
      </c>
      <c r="E2862" t="inlineStr">
        <is>
          <t>rs1001416</t>
        </is>
      </c>
      <c r="F2862" t="n">
        <v>0.0027794966999999</v>
      </c>
      <c r="G2862" t="n">
        <v>0.6396077063295418</v>
      </c>
      <c r="H2862" t="n">
        <v>0.0204030672041632</v>
      </c>
      <c r="I2862" t="n">
        <v>0.0702268974320259</v>
      </c>
      <c r="J2862" t="n">
        <v>0.07007287805490971</v>
      </c>
      <c r="K2862" t="n">
        <v>0.427301068592026</v>
      </c>
      <c r="L2862" t="b">
        <v>0</v>
      </c>
      <c r="M2862" t="b">
        <v>0</v>
      </c>
      <c r="N2862" t="inlineStr">
        <is>
          <t>alt</t>
        </is>
      </c>
      <c r="O2862" t="n">
        <v>100</v>
      </c>
      <c r="P2862" t="n">
        <v>0.009719999999999999</v>
      </c>
      <c r="Q2862" t="n">
        <v>50</v>
      </c>
      <c r="R2862" t="n">
        <v>0.04962</v>
      </c>
      <c r="S2862">
        <f>IMAGE("https://mitra.stanford.edu/kundaje/oak/projects/neuro-variants/variant_position/credible/roussos_2024/variant_figures/roussos_2024.childhood.GABA/rs1001416_count_position.png",4,220,900)</f>
        <v/>
      </c>
      <c r="T2862">
        <f>IMAGE("https://mitra.stanford.edu/kundaje/oak/projects/neuro-variants/variant_position/credible/roussos_2024/variant_figures/roussos_2024.childhood.GABA/rs1001416_profile_position.png",4,220,900)</f>
        <v/>
      </c>
    </row>
    <row r="2863">
      <c r="A2863" t="inlineStr">
        <is>
          <t>chr3</t>
        </is>
      </c>
      <c r="B2863" t="n">
        <v>181068820</v>
      </c>
      <c r="C2863" t="inlineStr">
        <is>
          <t>A</t>
        </is>
      </c>
      <c r="D2863" t="inlineStr">
        <is>
          <t>T</t>
        </is>
      </c>
      <c r="E2863" t="inlineStr">
        <is>
          <t>rs6775889</t>
        </is>
      </c>
      <c r="F2863" t="n">
        <v>-0.01073653514</v>
      </c>
      <c r="G2863" t="n">
        <v>0.6227825756400364</v>
      </c>
      <c r="H2863" t="n">
        <v>0.008999576202481201</v>
      </c>
      <c r="I2863" t="n">
        <v>0.7517212291038801</v>
      </c>
      <c r="J2863" t="n">
        <v>0.0145965529517705</v>
      </c>
      <c r="K2863" t="n">
        <v>0.6896538550925542</v>
      </c>
      <c r="L2863" t="b">
        <v>0</v>
      </c>
      <c r="M2863" t="b">
        <v>0</v>
      </c>
      <c r="N2863" t="inlineStr">
        <is>
          <t>ref</t>
        </is>
      </c>
      <c r="O2863" t="n">
        <v>100</v>
      </c>
      <c r="P2863" t="n">
        <v>0.018</v>
      </c>
      <c r="Q2863" t="n">
        <v>75</v>
      </c>
      <c r="R2863" t="n">
        <v>0.07965</v>
      </c>
      <c r="S2863">
        <f>IMAGE("https://mitra.stanford.edu/kundaje/oak/projects/neuro-variants/variant_position/credible/roussos_2024/variant_figures/roussos_2024.childhood.GABA/rs6775889_count_position.png",4,220,900)</f>
        <v/>
      </c>
      <c r="T2863">
        <f>IMAGE("https://mitra.stanford.edu/kundaje/oak/projects/neuro-variants/variant_position/credible/roussos_2024/variant_figures/roussos_2024.childhood.GABA/rs6775889_profile_position.png",4,220,900)</f>
        <v/>
      </c>
    </row>
    <row r="2864">
      <c r="A2864" t="inlineStr">
        <is>
          <t>chr3</t>
        </is>
      </c>
      <c r="B2864" t="n">
        <v>181080133</v>
      </c>
      <c r="C2864" t="inlineStr">
        <is>
          <t>T</t>
        </is>
      </c>
      <c r="D2864" t="inlineStr">
        <is>
          <t>G</t>
        </is>
      </c>
      <c r="E2864" t="inlineStr">
        <is>
          <t>rs12635178</t>
        </is>
      </c>
      <c r="F2864" t="n">
        <v>-0.171674376</v>
      </c>
      <c r="G2864" t="n">
        <v>0.0086883977700054</v>
      </c>
      <c r="H2864" t="n">
        <v>0.0324096086053535</v>
      </c>
      <c r="I2864" t="n">
        <v>0.009766166213649801</v>
      </c>
      <c r="J2864" t="n">
        <v>0.0520910556846976</v>
      </c>
      <c r="K2864" t="n">
        <v>0.4776511129190789</v>
      </c>
      <c r="L2864" t="b">
        <v>1</v>
      </c>
      <c r="M2864" t="b">
        <v>1</v>
      </c>
      <c r="N2864" t="inlineStr">
        <is>
          <t>ref</t>
        </is>
      </c>
      <c r="O2864" t="n">
        <v>0</v>
      </c>
      <c r="P2864" t="n">
        <v>0</v>
      </c>
      <c r="Q2864" t="n">
        <v>-100</v>
      </c>
      <c r="R2864" t="n">
        <v>0.08875</v>
      </c>
      <c r="S2864">
        <f>IMAGE("https://mitra.stanford.edu/kundaje/oak/projects/neuro-variants/variant_position/credible/roussos_2024/variant_figures/roussos_2024.childhood.GABA/rs12635178_count_position.png",4,220,900)</f>
        <v/>
      </c>
      <c r="T2864">
        <f>IMAGE("https://mitra.stanford.edu/kundaje/oak/projects/neuro-variants/variant_position/credible/roussos_2024/variant_figures/roussos_2024.childhood.GABA/rs12635178_profile_position.png",4,220,900)</f>
        <v/>
      </c>
    </row>
    <row r="2865">
      <c r="A2865" t="inlineStr">
        <is>
          <t>chr3</t>
        </is>
      </c>
      <c r="B2865" t="n">
        <v>181092123</v>
      </c>
      <c r="C2865" t="inlineStr">
        <is>
          <t>T</t>
        </is>
      </c>
      <c r="D2865" t="inlineStr">
        <is>
          <t>G</t>
        </is>
      </c>
      <c r="E2865" t="inlineStr">
        <is>
          <t>rs1968217</t>
        </is>
      </c>
      <c r="F2865" t="n">
        <v>-0.00456062678</v>
      </c>
      <c r="G2865" t="n">
        <v>0.6460565037962093</v>
      </c>
      <c r="H2865" t="n">
        <v>0.029931454006901</v>
      </c>
      <c r="I2865" t="n">
        <v>0.0126204712930353</v>
      </c>
      <c r="J2865" t="n">
        <v>0.0466011183011873</v>
      </c>
      <c r="K2865" t="n">
        <v>0.5038831371293039</v>
      </c>
      <c r="L2865" t="b">
        <v>1</v>
      </c>
      <c r="M2865" t="b">
        <v>0</v>
      </c>
      <c r="N2865" t="inlineStr">
        <is>
          <t>ref</t>
        </is>
      </c>
      <c r="O2865" t="n">
        <v>-35</v>
      </c>
      <c r="P2865" t="n">
        <v>0.003143</v>
      </c>
      <c r="Q2865" t="n">
        <v>-65</v>
      </c>
      <c r="R2865" t="n">
        <v>0.05316</v>
      </c>
      <c r="S2865">
        <f>IMAGE("https://mitra.stanford.edu/kundaje/oak/projects/neuro-variants/variant_position/credible/roussos_2024/variant_figures/roussos_2024.childhood.GABA/rs1968217_count_position.png",4,220,900)</f>
        <v/>
      </c>
      <c r="T2865">
        <f>IMAGE("https://mitra.stanford.edu/kundaje/oak/projects/neuro-variants/variant_position/credible/roussos_2024/variant_figures/roussos_2024.childhood.GABA/rs1968217_profile_position.png",4,220,900)</f>
        <v/>
      </c>
    </row>
    <row r="2866">
      <c r="A2866" t="inlineStr">
        <is>
          <t>chr3</t>
        </is>
      </c>
      <c r="B2866" t="n">
        <v>181114189</v>
      </c>
      <c r="C2866" t="inlineStr">
        <is>
          <t>G</t>
        </is>
      </c>
      <c r="D2866" t="inlineStr">
        <is>
          <t>A</t>
        </is>
      </c>
      <c r="E2866" t="inlineStr">
        <is>
          <t>rs2543163</t>
        </is>
      </c>
      <c r="F2866" t="n">
        <v>0.028054627</v>
      </c>
      <c r="G2866" t="n">
        <v>0.3044293424121509</v>
      </c>
      <c r="H2866" t="n">
        <v>0.0168384401085375</v>
      </c>
      <c r="I2866" t="n">
        <v>0.148642826567304</v>
      </c>
      <c r="J2866" t="n">
        <v>0.08923896881740689</v>
      </c>
      <c r="K2866" t="n">
        <v>0.3760478477825275</v>
      </c>
      <c r="L2866" t="b">
        <v>0</v>
      </c>
      <c r="M2866" t="b">
        <v>0</v>
      </c>
      <c r="N2866" t="inlineStr">
        <is>
          <t>alt</t>
        </is>
      </c>
      <c r="O2866" t="n">
        <v>70</v>
      </c>
      <c r="P2866" t="n">
        <v>0.002483</v>
      </c>
      <c r="Q2866" t="n">
        <v>100</v>
      </c>
      <c r="R2866" t="n">
        <v>0.178</v>
      </c>
      <c r="S2866">
        <f>IMAGE("https://mitra.stanford.edu/kundaje/oak/projects/neuro-variants/variant_position/credible/roussos_2024/variant_figures/roussos_2024.childhood.GABA/rs2543163_count_position.png",4,220,900)</f>
        <v/>
      </c>
      <c r="T2866">
        <f>IMAGE("https://mitra.stanford.edu/kundaje/oak/projects/neuro-variants/variant_position/credible/roussos_2024/variant_figures/roussos_2024.childhood.GABA/rs2543163_profile_position.png",4,220,900)</f>
        <v/>
      </c>
    </row>
    <row r="2867">
      <c r="A2867" t="inlineStr">
        <is>
          <t>chr3</t>
        </is>
      </c>
      <c r="B2867" t="n">
        <v>181119890</v>
      </c>
      <c r="C2867" t="inlineStr">
        <is>
          <t>G</t>
        </is>
      </c>
      <c r="D2867" t="inlineStr">
        <is>
          <t>A</t>
        </is>
      </c>
      <c r="E2867" t="inlineStr">
        <is>
          <t>rs34718862</t>
        </is>
      </c>
      <c r="F2867" t="n">
        <v>-0.072435666</v>
      </c>
      <c r="G2867" t="n">
        <v>0.076863680442782</v>
      </c>
      <c r="H2867" t="n">
        <v>0.0142491299381355</v>
      </c>
      <c r="I2867" t="n">
        <v>0.2670932449688626</v>
      </c>
      <c r="J2867" t="n">
        <v>0.0197063935833804</v>
      </c>
      <c r="K2867" t="n">
        <v>0.6955887756094471</v>
      </c>
      <c r="L2867" t="b">
        <v>0</v>
      </c>
      <c r="M2867" t="b">
        <v>0</v>
      </c>
      <c r="N2867" t="inlineStr">
        <is>
          <t>ref</t>
        </is>
      </c>
      <c r="O2867" t="n">
        <v>-90</v>
      </c>
      <c r="P2867" t="n">
        <v>0.005646</v>
      </c>
      <c r="Q2867" t="n">
        <v>-95</v>
      </c>
      <c r="R2867" t="n">
        <v>0.0641</v>
      </c>
      <c r="S2867">
        <f>IMAGE("https://mitra.stanford.edu/kundaje/oak/projects/neuro-variants/variant_position/credible/roussos_2024/variant_figures/roussos_2024.childhood.GABA/rs34718862_count_position.png",4,220,900)</f>
        <v/>
      </c>
      <c r="T2867">
        <f>IMAGE("https://mitra.stanford.edu/kundaje/oak/projects/neuro-variants/variant_position/credible/roussos_2024/variant_figures/roussos_2024.childhood.GABA/rs34718862_profile_position.png",4,220,900)</f>
        <v/>
      </c>
    </row>
    <row r="2868">
      <c r="A2868" t="inlineStr">
        <is>
          <t>chr3</t>
        </is>
      </c>
      <c r="B2868" t="n">
        <v>181122700</v>
      </c>
      <c r="C2868" t="inlineStr">
        <is>
          <t>C</t>
        </is>
      </c>
      <c r="D2868" t="inlineStr">
        <is>
          <t>T</t>
        </is>
      </c>
      <c r="E2868" t="inlineStr">
        <is>
          <t>rs4456860</t>
        </is>
      </c>
      <c r="F2868" t="n">
        <v>0.01958815552</v>
      </c>
      <c r="G2868" t="n">
        <v>0.4442854920943148</v>
      </c>
      <c r="H2868" t="n">
        <v>0.0202152470663469</v>
      </c>
      <c r="I2868" t="n">
        <v>0.07221300981250769</v>
      </c>
      <c r="J2868" t="n">
        <v>0.000225126175368</v>
      </c>
      <c r="K2868" t="n">
        <v>0.962677934368396</v>
      </c>
      <c r="L2868" t="b">
        <v>0</v>
      </c>
      <c r="M2868" t="b">
        <v>0</v>
      </c>
      <c r="N2868" t="inlineStr">
        <is>
          <t>alt</t>
        </is>
      </c>
      <c r="O2868" t="n">
        <v>70</v>
      </c>
      <c r="P2868" t="n">
        <v>0.00595</v>
      </c>
      <c r="Q2868" t="n">
        <v>85</v>
      </c>
      <c r="R2868" t="n">
        <v>0.0687</v>
      </c>
      <c r="S2868">
        <f>IMAGE("https://mitra.stanford.edu/kundaje/oak/projects/neuro-variants/variant_position/credible/roussos_2024/variant_figures/roussos_2024.childhood.GABA/rs4456860_count_position.png",4,220,900)</f>
        <v/>
      </c>
      <c r="T2868">
        <f>IMAGE("https://mitra.stanford.edu/kundaje/oak/projects/neuro-variants/variant_position/credible/roussos_2024/variant_figures/roussos_2024.childhood.GABA/rs4456860_profile_position.png",4,220,900)</f>
        <v/>
      </c>
    </row>
    <row r="2869">
      <c r="A2869" t="inlineStr">
        <is>
          <t>chr3</t>
        </is>
      </c>
      <c r="B2869" t="n">
        <v>181127869</v>
      </c>
      <c r="C2869" t="inlineStr">
        <is>
          <t>T</t>
        </is>
      </c>
      <c r="D2869" t="inlineStr">
        <is>
          <t>A</t>
        </is>
      </c>
      <c r="E2869" t="inlineStr">
        <is>
          <t>rs13075474</t>
        </is>
      </c>
      <c r="F2869" t="n">
        <v>-0.0317853034</v>
      </c>
      <c r="G2869" t="n">
        <v>0.2829948550874445</v>
      </c>
      <c r="H2869" t="n">
        <v>0.0117392382602327</v>
      </c>
      <c r="I2869" t="n">
        <v>0.4609157614815499</v>
      </c>
      <c r="J2869" t="n">
        <v>0.0384881992000167</v>
      </c>
      <c r="K2869" t="n">
        <v>0.5325859077494877</v>
      </c>
      <c r="L2869" t="b">
        <v>0</v>
      </c>
      <c r="M2869" t="b">
        <v>0</v>
      </c>
      <c r="N2869" t="inlineStr">
        <is>
          <t>ref</t>
        </is>
      </c>
      <c r="O2869" t="n">
        <v>10</v>
      </c>
      <c r="P2869" t="n">
        <v>0.0001297</v>
      </c>
      <c r="Q2869" t="n">
        <v>-80</v>
      </c>
      <c r="R2869" t="n">
        <v>0.0895</v>
      </c>
      <c r="S2869">
        <f>IMAGE("https://mitra.stanford.edu/kundaje/oak/projects/neuro-variants/variant_position/credible/roussos_2024/variant_figures/roussos_2024.childhood.GABA/rs13075474_count_position.png",4,220,900)</f>
        <v/>
      </c>
      <c r="T2869">
        <f>IMAGE("https://mitra.stanford.edu/kundaje/oak/projects/neuro-variants/variant_position/credible/roussos_2024/variant_figures/roussos_2024.childhood.GABA/rs13075474_profile_position.png",4,220,900)</f>
        <v/>
      </c>
    </row>
    <row r="2870">
      <c r="A2870" t="inlineStr">
        <is>
          <t>chr3</t>
        </is>
      </c>
      <c r="B2870" t="n">
        <v>181132050</v>
      </c>
      <c r="C2870" t="inlineStr">
        <is>
          <t>G</t>
        </is>
      </c>
      <c r="D2870" t="inlineStr">
        <is>
          <t>A</t>
        </is>
      </c>
      <c r="E2870" t="inlineStr">
        <is>
          <t>rs13077643</t>
        </is>
      </c>
      <c r="F2870" t="n">
        <v>-0.0491515167999999</v>
      </c>
      <c r="G2870" t="n">
        <v>0.1541849262563552</v>
      </c>
      <c r="H2870" t="n">
        <v>0.0158453138959347</v>
      </c>
      <c r="I2870" t="n">
        <v>0.1822674783715461</v>
      </c>
      <c r="J2870" t="n">
        <v>0.0066030030784695</v>
      </c>
      <c r="K2870" t="n">
        <v>0.79124690043138</v>
      </c>
      <c r="L2870" t="b">
        <v>0</v>
      </c>
      <c r="M2870" t="b">
        <v>0</v>
      </c>
      <c r="N2870" t="inlineStr">
        <is>
          <t>ref</t>
        </is>
      </c>
      <c r="O2870" t="n">
        <v>15</v>
      </c>
      <c r="P2870" t="n">
        <v>0.001371</v>
      </c>
      <c r="Q2870" t="n">
        <v>-95</v>
      </c>
      <c r="R2870" t="n">
        <v>0.07117</v>
      </c>
      <c r="S2870">
        <f>IMAGE("https://mitra.stanford.edu/kundaje/oak/projects/neuro-variants/variant_position/credible/roussos_2024/variant_figures/roussos_2024.childhood.GABA/rs13077643_count_position.png",4,220,900)</f>
        <v/>
      </c>
      <c r="T2870">
        <f>IMAGE("https://mitra.stanford.edu/kundaje/oak/projects/neuro-variants/variant_position/credible/roussos_2024/variant_figures/roussos_2024.childhood.GABA/rs13077643_profile_position.png",4,220,900)</f>
        <v/>
      </c>
    </row>
    <row r="2871">
      <c r="A2871" t="inlineStr">
        <is>
          <t>chr3</t>
        </is>
      </c>
      <c r="B2871" t="n">
        <v>181155199</v>
      </c>
      <c r="C2871" t="inlineStr">
        <is>
          <t>C</t>
        </is>
      </c>
      <c r="D2871" t="inlineStr">
        <is>
          <t>A</t>
        </is>
      </c>
      <c r="E2871" t="inlineStr">
        <is>
          <t>rs13071279</t>
        </is>
      </c>
      <c r="F2871" t="n">
        <v>-0.0863562132</v>
      </c>
      <c r="G2871" t="n">
        <v>0.0462595940267299</v>
      </c>
      <c r="H2871" t="n">
        <v>0.0243896446342581</v>
      </c>
      <c r="I2871" t="n">
        <v>0.0328608674545363</v>
      </c>
      <c r="J2871" t="n">
        <v>0.0328244434671524</v>
      </c>
      <c r="K2871" t="n">
        <v>0.5809827327575989</v>
      </c>
      <c r="L2871" t="b">
        <v>0</v>
      </c>
      <c r="M2871" t="b">
        <v>0</v>
      </c>
      <c r="N2871" t="inlineStr">
        <is>
          <t>ref</t>
        </is>
      </c>
      <c r="O2871" t="n">
        <v>55</v>
      </c>
      <c r="P2871" t="n">
        <v>0.003723</v>
      </c>
      <c r="Q2871" t="n">
        <v>70</v>
      </c>
      <c r="R2871" t="n">
        <v>0.0697</v>
      </c>
      <c r="S2871">
        <f>IMAGE("https://mitra.stanford.edu/kundaje/oak/projects/neuro-variants/variant_position/credible/roussos_2024/variant_figures/roussos_2024.childhood.GABA/rs13071279_count_position.png",4,220,900)</f>
        <v/>
      </c>
      <c r="T2871">
        <f>IMAGE("https://mitra.stanford.edu/kundaje/oak/projects/neuro-variants/variant_position/credible/roussos_2024/variant_figures/roussos_2024.childhood.GABA/rs13071279_profile_position.png",4,220,900)</f>
        <v/>
      </c>
    </row>
    <row r="2872">
      <c r="A2872" t="inlineStr">
        <is>
          <t>chr3</t>
        </is>
      </c>
      <c r="B2872" t="n">
        <v>181278250</v>
      </c>
      <c r="C2872" t="inlineStr">
        <is>
          <t>T</t>
        </is>
      </c>
      <c r="D2872" t="inlineStr">
        <is>
          <t>G</t>
        </is>
      </c>
      <c r="E2872" t="inlineStr">
        <is>
          <t>rs13092432</t>
        </is>
      </c>
      <c r="F2872" t="n">
        <v>-0.009118069039999999</v>
      </c>
      <c r="G2872" t="n">
        <v>0.6647238324487225</v>
      </c>
      <c r="H2872" t="n">
        <v>0.0242075016302614</v>
      </c>
      <c r="I2872" t="n">
        <v>0.0330105261526132</v>
      </c>
      <c r="J2872" t="n">
        <v>0.026621432011895</v>
      </c>
      <c r="K2872" t="n">
        <v>0.6028346348531053</v>
      </c>
      <c r="L2872" t="b">
        <v>0</v>
      </c>
      <c r="M2872" t="b">
        <v>0</v>
      </c>
      <c r="N2872" t="inlineStr">
        <is>
          <t>ref</t>
        </is>
      </c>
      <c r="O2872" t="n">
        <v>-75</v>
      </c>
      <c r="P2872" t="n">
        <v>0.00659</v>
      </c>
      <c r="Q2872" t="n">
        <v>-30</v>
      </c>
      <c r="R2872" t="n">
        <v>0.009050000000000001</v>
      </c>
      <c r="S2872">
        <f>IMAGE("https://mitra.stanford.edu/kundaje/oak/projects/neuro-variants/variant_position/credible/roussos_2024/variant_figures/roussos_2024.childhood.GABA/rs13092432_count_position.png",4,220,900)</f>
        <v/>
      </c>
      <c r="T2872">
        <f>IMAGE("https://mitra.stanford.edu/kundaje/oak/projects/neuro-variants/variant_position/credible/roussos_2024/variant_figures/roussos_2024.childhood.GABA/rs13092432_profile_position.png",4,220,900)</f>
        <v/>
      </c>
    </row>
    <row r="2873">
      <c r="A2873" t="inlineStr">
        <is>
          <t>chr3</t>
        </is>
      </c>
      <c r="B2873" t="n">
        <v>181305364</v>
      </c>
      <c r="C2873" t="inlineStr">
        <is>
          <t>A</t>
        </is>
      </c>
      <c r="D2873" t="inlineStr">
        <is>
          <t>G</t>
        </is>
      </c>
      <c r="E2873" t="inlineStr">
        <is>
          <t>rs12633623</t>
        </is>
      </c>
      <c r="F2873" t="n">
        <v>0.0811984932</v>
      </c>
      <c r="G2873" t="n">
        <v>0.0462811709818275</v>
      </c>
      <c r="H2873" t="n">
        <v>0.0809240035408022</v>
      </c>
      <c r="I2873" t="n">
        <v>0.000435025473173</v>
      </c>
      <c r="J2873" t="n">
        <v>0.1241063014387132</v>
      </c>
      <c r="K2873" t="n">
        <v>0.307427006817435</v>
      </c>
      <c r="L2873" t="b">
        <v>1</v>
      </c>
      <c r="M2873" t="b">
        <v>1</v>
      </c>
      <c r="N2873" t="inlineStr">
        <is>
          <t>alt</t>
        </is>
      </c>
      <c r="O2873" t="n">
        <v>60</v>
      </c>
      <c r="P2873" t="n">
        <v>0.00341</v>
      </c>
      <c r="Q2873" t="n">
        <v>100</v>
      </c>
      <c r="R2873" t="n">
        <v>0.1282</v>
      </c>
      <c r="S2873">
        <f>IMAGE("https://mitra.stanford.edu/kundaje/oak/projects/neuro-variants/variant_position/credible/roussos_2024/variant_figures/roussos_2024.childhood.GABA/rs12633623_count_position.png",4,220,900)</f>
        <v/>
      </c>
      <c r="T2873">
        <f>IMAGE("https://mitra.stanford.edu/kundaje/oak/projects/neuro-variants/variant_position/credible/roussos_2024/variant_figures/roussos_2024.childhood.GABA/rs12633623_profile_position.png",4,220,900)</f>
        <v/>
      </c>
    </row>
    <row r="2874">
      <c r="A2874" t="inlineStr">
        <is>
          <t>chr3</t>
        </is>
      </c>
      <c r="B2874" t="n">
        <v>181353043</v>
      </c>
      <c r="C2874" t="inlineStr">
        <is>
          <t>A</t>
        </is>
      </c>
      <c r="D2874" t="inlineStr">
        <is>
          <t>G</t>
        </is>
      </c>
      <c r="E2874" t="inlineStr">
        <is>
          <t>rs74284696</t>
        </is>
      </c>
      <c r="F2874" t="n">
        <v>-0.00194833292</v>
      </c>
      <c r="G2874" t="n">
        <v>0.8837740242155907</v>
      </c>
      <c r="H2874" t="n">
        <v>0.0313763141586974</v>
      </c>
      <c r="I2874" t="n">
        <v>0.0102862801778754</v>
      </c>
      <c r="J2874" t="n">
        <v>0.0084626499968586</v>
      </c>
      <c r="K2874" t="n">
        <v>0.7585500738363661</v>
      </c>
      <c r="L2874" t="b">
        <v>0</v>
      </c>
      <c r="M2874" t="b">
        <v>0</v>
      </c>
      <c r="N2874" t="inlineStr">
        <is>
          <t>ref</t>
        </is>
      </c>
      <c r="O2874" t="n">
        <v>-90</v>
      </c>
      <c r="P2874" t="n">
        <v>0.003952</v>
      </c>
      <c r="Q2874" t="n">
        <v>-100</v>
      </c>
      <c r="R2874" t="n">
        <v>0.1807</v>
      </c>
      <c r="S2874">
        <f>IMAGE("https://mitra.stanford.edu/kundaje/oak/projects/neuro-variants/variant_position/credible/roussos_2024/variant_figures/roussos_2024.childhood.GABA/rs74284696_count_position.png",4,220,900)</f>
        <v/>
      </c>
      <c r="T2874">
        <f>IMAGE("https://mitra.stanford.edu/kundaje/oak/projects/neuro-variants/variant_position/credible/roussos_2024/variant_figures/roussos_2024.childhood.GABA/rs74284696_profile_position.png",4,220,900)</f>
        <v/>
      </c>
    </row>
    <row r="2875">
      <c r="A2875" t="inlineStr">
        <is>
          <t>chr3</t>
        </is>
      </c>
      <c r="B2875" t="n">
        <v>181363793</v>
      </c>
      <c r="C2875" t="inlineStr">
        <is>
          <t>G</t>
        </is>
      </c>
      <c r="D2875" t="inlineStr">
        <is>
          <t>A</t>
        </is>
      </c>
      <c r="E2875" t="inlineStr">
        <is>
          <t>rs141717445</t>
        </is>
      </c>
      <c r="F2875" t="n">
        <v>-0.0824687192</v>
      </c>
      <c r="G2875" t="n">
        <v>0.0529199980643329</v>
      </c>
      <c r="H2875" t="n">
        <v>0.0158539086100749</v>
      </c>
      <c r="I2875" t="n">
        <v>0.1845794611717261</v>
      </c>
      <c r="J2875" t="n">
        <v>0.009328600448158</v>
      </c>
      <c r="K2875" t="n">
        <v>0.7506696436788067</v>
      </c>
      <c r="L2875" t="b">
        <v>0</v>
      </c>
      <c r="M2875" t="b">
        <v>0</v>
      </c>
      <c r="N2875" t="inlineStr">
        <is>
          <t>ref</t>
        </is>
      </c>
      <c r="O2875" t="n">
        <v>85</v>
      </c>
      <c r="P2875" t="n">
        <v>0.001045</v>
      </c>
      <c r="Q2875" t="n">
        <v>10</v>
      </c>
      <c r="R2875" t="n">
        <v>0.03165</v>
      </c>
      <c r="S2875">
        <f>IMAGE("https://mitra.stanford.edu/kundaje/oak/projects/neuro-variants/variant_position/credible/roussos_2024/variant_figures/roussos_2024.childhood.GABA/rs141717445_count_position.png",4,220,900)</f>
        <v/>
      </c>
      <c r="T2875">
        <f>IMAGE("https://mitra.stanford.edu/kundaje/oak/projects/neuro-variants/variant_position/credible/roussos_2024/variant_figures/roussos_2024.childhood.GABA/rs141717445_profile_position.png",4,220,900)</f>
        <v/>
      </c>
    </row>
    <row r="2876">
      <c r="A2876" t="inlineStr">
        <is>
          <t>chr3</t>
        </is>
      </c>
      <c r="B2876" t="n">
        <v>181380929</v>
      </c>
      <c r="C2876" t="inlineStr">
        <is>
          <t>C</t>
        </is>
      </c>
      <c r="D2876" t="inlineStr">
        <is>
          <t>T</t>
        </is>
      </c>
      <c r="E2876" t="inlineStr">
        <is>
          <t>rs13081180</t>
        </is>
      </c>
      <c r="F2876" t="n">
        <v>-0.115387914</v>
      </c>
      <c r="G2876" t="n">
        <v>0.0242036173534411</v>
      </c>
      <c r="H2876" t="n">
        <v>0.0179152081525783</v>
      </c>
      <c r="I2876" t="n">
        <v>0.1176505976878789</v>
      </c>
      <c r="J2876" t="n">
        <v>0.0605736005528679</v>
      </c>
      <c r="K2876" t="n">
        <v>0.4656423147449134</v>
      </c>
      <c r="L2876" t="b">
        <v>0</v>
      </c>
      <c r="M2876" t="b">
        <v>0</v>
      </c>
      <c r="N2876" t="inlineStr">
        <is>
          <t>ref</t>
        </is>
      </c>
      <c r="O2876" t="n">
        <v>95</v>
      </c>
      <c r="P2876" t="n">
        <v>0.004704</v>
      </c>
      <c r="Q2876" t="n">
        <v>-100</v>
      </c>
      <c r="R2876" t="n">
        <v>0.11566</v>
      </c>
      <c r="S2876">
        <f>IMAGE("https://mitra.stanford.edu/kundaje/oak/projects/neuro-variants/variant_position/credible/roussos_2024/variant_figures/roussos_2024.childhood.GABA/rs13081180_count_position.png",4,220,900)</f>
        <v/>
      </c>
      <c r="T2876">
        <f>IMAGE("https://mitra.stanford.edu/kundaje/oak/projects/neuro-variants/variant_position/credible/roussos_2024/variant_figures/roussos_2024.childhood.GABA/rs13081180_profile_position.png",4,220,900)</f>
        <v/>
      </c>
    </row>
    <row r="2877">
      <c r="A2877" t="inlineStr">
        <is>
          <t>chr3</t>
        </is>
      </c>
      <c r="B2877" t="n">
        <v>181397839</v>
      </c>
      <c r="C2877" t="inlineStr">
        <is>
          <t>C</t>
        </is>
      </c>
      <c r="D2877" t="inlineStr">
        <is>
          <t>A</t>
        </is>
      </c>
      <c r="E2877" t="inlineStr">
        <is>
          <t>rs10937056</t>
        </is>
      </c>
      <c r="F2877" t="n">
        <v>0.0299547406799999</v>
      </c>
      <c r="G2877" t="n">
        <v>0.292742223570564</v>
      </c>
      <c r="H2877" t="n">
        <v>0.0127116512763864</v>
      </c>
      <c r="I2877" t="n">
        <v>0.3699436078851546</v>
      </c>
      <c r="J2877" t="n">
        <v>0.007934912357856301</v>
      </c>
      <c r="K2877" t="n">
        <v>0.7740868979888724</v>
      </c>
      <c r="L2877" t="b">
        <v>0</v>
      </c>
      <c r="M2877" t="b">
        <v>0</v>
      </c>
      <c r="N2877" t="inlineStr">
        <is>
          <t>alt</t>
        </is>
      </c>
      <c r="O2877" t="n">
        <v>-85</v>
      </c>
      <c r="P2877" t="n">
        <v>0.0008507</v>
      </c>
      <c r="Q2877" t="n">
        <v>-55</v>
      </c>
      <c r="R2877" t="n">
        <v>0.02686</v>
      </c>
      <c r="S2877">
        <f>IMAGE("https://mitra.stanford.edu/kundaje/oak/projects/neuro-variants/variant_position/credible/roussos_2024/variant_figures/roussos_2024.childhood.GABA/rs10937056_count_position.png",4,220,900)</f>
        <v/>
      </c>
      <c r="T2877">
        <f>IMAGE("https://mitra.stanford.edu/kundaje/oak/projects/neuro-variants/variant_position/credible/roussos_2024/variant_figures/roussos_2024.childhood.GABA/rs10937056_profile_position.png",4,220,900)</f>
        <v/>
      </c>
    </row>
    <row r="2878">
      <c r="A2878" t="inlineStr">
        <is>
          <t>chr3</t>
        </is>
      </c>
      <c r="B2878" t="n">
        <v>181409743</v>
      </c>
      <c r="C2878" t="inlineStr">
        <is>
          <t>T</t>
        </is>
      </c>
      <c r="D2878" t="inlineStr">
        <is>
          <t>C</t>
        </is>
      </c>
      <c r="E2878" t="inlineStr">
        <is>
          <t>rs9816542</t>
        </is>
      </c>
      <c r="F2878" t="n">
        <v>0.0057074356399999</v>
      </c>
      <c r="G2878" t="n">
        <v>0.7369945374751078</v>
      </c>
      <c r="H2878" t="n">
        <v>0.0106980427239221</v>
      </c>
      <c r="I2878" t="n">
        <v>0.5545333738098021</v>
      </c>
      <c r="J2878" t="n">
        <v>0.0056522376494732</v>
      </c>
      <c r="K2878" t="n">
        <v>0.799448819948089</v>
      </c>
      <c r="L2878" t="b">
        <v>0</v>
      </c>
      <c r="M2878" t="b">
        <v>0</v>
      </c>
      <c r="N2878" t="inlineStr">
        <is>
          <t>alt</t>
        </is>
      </c>
      <c r="O2878" t="n">
        <v>100</v>
      </c>
      <c r="P2878" t="n">
        <v>0.01567</v>
      </c>
      <c r="Q2878" t="n">
        <v>30</v>
      </c>
      <c r="R2878" t="n">
        <v>0.03845</v>
      </c>
      <c r="S2878">
        <f>IMAGE("https://mitra.stanford.edu/kundaje/oak/projects/neuro-variants/variant_position/credible/roussos_2024/variant_figures/roussos_2024.childhood.GABA/rs9816542_count_position.png",4,220,900)</f>
        <v/>
      </c>
      <c r="T2878">
        <f>IMAGE("https://mitra.stanford.edu/kundaje/oak/projects/neuro-variants/variant_position/credible/roussos_2024/variant_figures/roussos_2024.childhood.GABA/rs9816542_profile_position.png",4,220,900)</f>
        <v/>
      </c>
    </row>
    <row r="2879">
      <c r="A2879" t="inlineStr">
        <is>
          <t>chr3</t>
        </is>
      </c>
      <c r="B2879" t="n">
        <v>181412853</v>
      </c>
      <c r="C2879" t="inlineStr">
        <is>
          <t>T</t>
        </is>
      </c>
      <c r="D2879" t="inlineStr">
        <is>
          <t>A</t>
        </is>
      </c>
      <c r="E2879" t="inlineStr">
        <is>
          <t>rs6779538</t>
        </is>
      </c>
      <c r="F2879" t="n">
        <v>0.01639077232</v>
      </c>
      <c r="G2879" t="n">
        <v>0.5010953783062532</v>
      </c>
      <c r="H2879" t="n">
        <v>0.0254041218132308</v>
      </c>
      <c r="I2879" t="n">
        <v>0.0272471260324307</v>
      </c>
      <c r="J2879" t="n">
        <v>0.009943247261837301</v>
      </c>
      <c r="K2879" t="n">
        <v>0.7476024476385957</v>
      </c>
      <c r="L2879" t="b">
        <v>0</v>
      </c>
      <c r="M2879" t="b">
        <v>0</v>
      </c>
      <c r="N2879" t="inlineStr">
        <is>
          <t>alt</t>
        </is>
      </c>
      <c r="O2879" t="n">
        <v>100</v>
      </c>
      <c r="P2879" t="n">
        <v>0.02258</v>
      </c>
      <c r="Q2879" t="n">
        <v>65</v>
      </c>
      <c r="R2879" t="n">
        <v>0.06232</v>
      </c>
      <c r="S2879">
        <f>IMAGE("https://mitra.stanford.edu/kundaje/oak/projects/neuro-variants/variant_position/credible/roussos_2024/variant_figures/roussos_2024.childhood.GABA/rs6779538_count_position.png",4,220,900)</f>
        <v/>
      </c>
      <c r="T2879">
        <f>IMAGE("https://mitra.stanford.edu/kundaje/oak/projects/neuro-variants/variant_position/credible/roussos_2024/variant_figures/roussos_2024.childhood.GABA/rs6779538_profile_position.png",4,220,900)</f>
        <v/>
      </c>
    </row>
    <row r="2880">
      <c r="A2880" t="inlineStr">
        <is>
          <t>chr3</t>
        </is>
      </c>
      <c r="B2880" t="n">
        <v>181419222</v>
      </c>
      <c r="C2880" t="inlineStr">
        <is>
          <t>C</t>
        </is>
      </c>
      <c r="D2880" t="inlineStr">
        <is>
          <t>T</t>
        </is>
      </c>
      <c r="E2880" t="inlineStr">
        <is>
          <t>rs79339987</t>
        </is>
      </c>
      <c r="F2880" t="n">
        <v>0.0036370798999999</v>
      </c>
      <c r="G2880" t="n">
        <v>0.82973166717382</v>
      </c>
      <c r="H2880" t="n">
        <v>0.0290703828701941</v>
      </c>
      <c r="I2880" t="n">
        <v>0.0143725432136304</v>
      </c>
      <c r="J2880" t="n">
        <v>0.0047904755921341</v>
      </c>
      <c r="K2880" t="n">
        <v>0.8330181597204498</v>
      </c>
      <c r="L2880" t="b">
        <v>0</v>
      </c>
      <c r="M2880" t="b">
        <v>0</v>
      </c>
      <c r="N2880" t="inlineStr">
        <is>
          <t>alt</t>
        </is>
      </c>
      <c r="O2880" t="n">
        <v>-55</v>
      </c>
      <c r="P2880" t="n">
        <v>0.03207</v>
      </c>
      <c r="Q2880" t="n">
        <v>-100</v>
      </c>
      <c r="R2880" t="n">
        <v>0.06850000000000001</v>
      </c>
      <c r="S2880">
        <f>IMAGE("https://mitra.stanford.edu/kundaje/oak/projects/neuro-variants/variant_position/credible/roussos_2024/variant_figures/roussos_2024.childhood.GABA/rs79339987_count_position.png",4,220,900)</f>
        <v/>
      </c>
      <c r="T2880">
        <f>IMAGE("https://mitra.stanford.edu/kundaje/oak/projects/neuro-variants/variant_position/credible/roussos_2024/variant_figures/roussos_2024.childhood.GABA/rs79339987_profile_position.png",4,220,900)</f>
        <v/>
      </c>
    </row>
    <row r="2881">
      <c r="A2881" t="inlineStr">
        <is>
          <t>chr3</t>
        </is>
      </c>
      <c r="B2881" t="n">
        <v>181432274</v>
      </c>
      <c r="C2881" t="inlineStr">
        <is>
          <t>G</t>
        </is>
      </c>
      <c r="D2881" t="inlineStr">
        <is>
          <t>A</t>
        </is>
      </c>
      <c r="E2881" t="inlineStr">
        <is>
          <t>rs10937057</t>
        </is>
      </c>
      <c r="F2881" t="n">
        <v>-0.0781542462</v>
      </c>
      <c r="G2881" t="n">
        <v>0.0602527949282089</v>
      </c>
      <c r="H2881" t="n">
        <v>0.0123024661895474</v>
      </c>
      <c r="I2881" t="n">
        <v>0.4015505357344902</v>
      </c>
      <c r="J2881" t="n">
        <v>0.07995015811187189</v>
      </c>
      <c r="K2881" t="n">
        <v>0.3977254936023022</v>
      </c>
      <c r="L2881" t="b">
        <v>0</v>
      </c>
      <c r="M2881" t="b">
        <v>0</v>
      </c>
      <c r="N2881" t="inlineStr">
        <is>
          <t>ref</t>
        </is>
      </c>
      <c r="O2881" t="n">
        <v>-95</v>
      </c>
      <c r="P2881" t="n">
        <v>0.009679999999999999</v>
      </c>
      <c r="Q2881" t="n">
        <v>-55</v>
      </c>
      <c r="R2881" t="n">
        <v>0.1239</v>
      </c>
      <c r="S2881">
        <f>IMAGE("https://mitra.stanford.edu/kundaje/oak/projects/neuro-variants/variant_position/credible/roussos_2024/variant_figures/roussos_2024.childhood.GABA/rs10937057_count_position.png",4,220,900)</f>
        <v/>
      </c>
      <c r="T2881">
        <f>IMAGE("https://mitra.stanford.edu/kundaje/oak/projects/neuro-variants/variant_position/credible/roussos_2024/variant_figures/roussos_2024.childhood.GABA/rs10937057_profile_position.png",4,220,900)</f>
        <v/>
      </c>
    </row>
    <row r="2882">
      <c r="A2882" t="inlineStr">
        <is>
          <t>chr3</t>
        </is>
      </c>
      <c r="B2882" t="n">
        <v>181468180</v>
      </c>
      <c r="C2882" t="inlineStr">
        <is>
          <t>T</t>
        </is>
      </c>
      <c r="D2882" t="inlineStr">
        <is>
          <t>C</t>
        </is>
      </c>
      <c r="E2882" t="inlineStr">
        <is>
          <t>rs4854918</t>
        </is>
      </c>
      <c r="F2882" t="n">
        <v>-0.00974955924</v>
      </c>
      <c r="G2882" t="n">
        <v>0.6280269312594601</v>
      </c>
      <c r="H2882" t="n">
        <v>0.008320167220501599</v>
      </c>
      <c r="I2882" t="n">
        <v>0.8056467670009453</v>
      </c>
      <c r="J2882" t="n">
        <v>0.0264151536093484</v>
      </c>
      <c r="K2882" t="n">
        <v>0.6043260033819915</v>
      </c>
      <c r="L2882" t="b">
        <v>0</v>
      </c>
      <c r="M2882" t="b">
        <v>0</v>
      </c>
      <c r="N2882" t="inlineStr">
        <is>
          <t>ref</t>
        </is>
      </c>
      <c r="O2882" t="n">
        <v>90</v>
      </c>
      <c r="P2882" t="n">
        <v>0.008895999999999999</v>
      </c>
      <c r="Q2882" t="n">
        <v>-90</v>
      </c>
      <c r="R2882" t="n">
        <v>0.01782</v>
      </c>
      <c r="S2882">
        <f>IMAGE("https://mitra.stanford.edu/kundaje/oak/projects/neuro-variants/variant_position/credible/roussos_2024/variant_figures/roussos_2024.childhood.GABA/rs4854918_count_position.png",4,220,900)</f>
        <v/>
      </c>
      <c r="T2882">
        <f>IMAGE("https://mitra.stanford.edu/kundaje/oak/projects/neuro-variants/variant_position/credible/roussos_2024/variant_figures/roussos_2024.childhood.GABA/rs4854918_profile_position.png",4,220,900)</f>
        <v/>
      </c>
    </row>
    <row r="2883">
      <c r="A2883" t="inlineStr">
        <is>
          <t>chr3</t>
        </is>
      </c>
      <c r="B2883" t="n">
        <v>181468571</v>
      </c>
      <c r="C2883" t="inlineStr">
        <is>
          <t>C</t>
        </is>
      </c>
      <c r="D2883" t="inlineStr">
        <is>
          <t>T</t>
        </is>
      </c>
      <c r="E2883" t="inlineStr">
        <is>
          <t>rs11717567</t>
        </is>
      </c>
      <c r="F2883" t="n">
        <v>0.0859237034</v>
      </c>
      <c r="G2883" t="n">
        <v>0.0460265610814145</v>
      </c>
      <c r="H2883" t="n">
        <v>0.0235942932648654</v>
      </c>
      <c r="I2883" t="n">
        <v>0.0384320000260803</v>
      </c>
      <c r="J2883" t="n">
        <v>0.0384934346924671</v>
      </c>
      <c r="K2883" t="n">
        <v>0.5330128951500031</v>
      </c>
      <c r="L2883" t="b">
        <v>0</v>
      </c>
      <c r="M2883" t="b">
        <v>0</v>
      </c>
      <c r="N2883" t="inlineStr">
        <is>
          <t>alt</t>
        </is>
      </c>
      <c r="O2883" t="n">
        <v>100</v>
      </c>
      <c r="P2883" t="n">
        <v>0.00997</v>
      </c>
      <c r="Q2883" t="n">
        <v>-55</v>
      </c>
      <c r="R2883" t="n">
        <v>0.105</v>
      </c>
      <c r="S2883">
        <f>IMAGE("https://mitra.stanford.edu/kundaje/oak/projects/neuro-variants/variant_position/credible/roussos_2024/variant_figures/roussos_2024.childhood.GABA/rs11717567_count_position.png",4,220,900)</f>
        <v/>
      </c>
      <c r="T2883">
        <f>IMAGE("https://mitra.stanford.edu/kundaje/oak/projects/neuro-variants/variant_position/credible/roussos_2024/variant_figures/roussos_2024.childhood.GABA/rs11717567_profile_position.png",4,220,900)</f>
        <v/>
      </c>
    </row>
    <row r="2884">
      <c r="A2884" t="inlineStr">
        <is>
          <t>chr3</t>
        </is>
      </c>
      <c r="B2884" t="n">
        <v>181479104</v>
      </c>
      <c r="C2884" t="inlineStr">
        <is>
          <t>C</t>
        </is>
      </c>
      <c r="D2884" t="inlineStr">
        <is>
          <t>A</t>
        </is>
      </c>
      <c r="E2884" t="inlineStr">
        <is>
          <t>rs11708101</t>
        </is>
      </c>
      <c r="F2884" t="n">
        <v>0.001984596</v>
      </c>
      <c r="G2884" t="n">
        <v>0.6864579819649101</v>
      </c>
      <c r="H2884" t="n">
        <v>0.0238635835173946</v>
      </c>
      <c r="I2884" t="n">
        <v>0.0347604392808959</v>
      </c>
      <c r="J2884" t="n">
        <v>0.0030533391970848</v>
      </c>
      <c r="K2884" t="n">
        <v>0.8579158397254057</v>
      </c>
      <c r="L2884" t="b">
        <v>0</v>
      </c>
      <c r="M2884" t="b">
        <v>0</v>
      </c>
      <c r="N2884" t="inlineStr">
        <is>
          <t>alt</t>
        </is>
      </c>
      <c r="O2884" t="n">
        <v>-45</v>
      </c>
      <c r="P2884" t="n">
        <v>0.002113</v>
      </c>
      <c r="Q2884" t="n">
        <v>95</v>
      </c>
      <c r="R2884" t="n">
        <v>0.1382</v>
      </c>
      <c r="S2884">
        <f>IMAGE("https://mitra.stanford.edu/kundaje/oak/projects/neuro-variants/variant_position/credible/roussos_2024/variant_figures/roussos_2024.childhood.GABA/rs11708101_count_position.png",4,220,900)</f>
        <v/>
      </c>
      <c r="T2884">
        <f>IMAGE("https://mitra.stanford.edu/kundaje/oak/projects/neuro-variants/variant_position/credible/roussos_2024/variant_figures/roussos_2024.childhood.GABA/rs11708101_profile_position.png",4,220,900)</f>
        <v/>
      </c>
    </row>
    <row r="2885">
      <c r="A2885" t="inlineStr">
        <is>
          <t>chr3</t>
        </is>
      </c>
      <c r="B2885" t="n">
        <v>181484570</v>
      </c>
      <c r="C2885" t="inlineStr">
        <is>
          <t>C</t>
        </is>
      </c>
      <c r="D2885" t="inlineStr">
        <is>
          <t>T</t>
        </is>
      </c>
      <c r="E2885" t="inlineStr">
        <is>
          <t>rs55844174</t>
        </is>
      </c>
      <c r="F2885" t="n">
        <v>-0.01318524966</v>
      </c>
      <c r="G2885" t="n">
        <v>0.5721324577094952</v>
      </c>
      <c r="H2885" t="n">
        <v>0.0117263260785263</v>
      </c>
      <c r="I2885" t="n">
        <v>0.4627226058206458</v>
      </c>
      <c r="J2885" t="n">
        <v>0.0009078343909027</v>
      </c>
      <c r="K2885" t="n">
        <v>0.9156576823992588</v>
      </c>
      <c r="L2885" t="b">
        <v>0</v>
      </c>
      <c r="M2885" t="b">
        <v>0</v>
      </c>
      <c r="N2885" t="inlineStr">
        <is>
          <t>ref</t>
        </is>
      </c>
      <c r="O2885" t="n">
        <v>-100</v>
      </c>
      <c r="P2885" t="n">
        <v>0.00592</v>
      </c>
      <c r="Q2885" t="n">
        <v>75</v>
      </c>
      <c r="R2885" t="n">
        <v>0.04413</v>
      </c>
      <c r="S2885">
        <f>IMAGE("https://mitra.stanford.edu/kundaje/oak/projects/neuro-variants/variant_position/credible/roussos_2024/variant_figures/roussos_2024.childhood.GABA/rs55844174_count_position.png",4,220,900)</f>
        <v/>
      </c>
      <c r="T2885">
        <f>IMAGE("https://mitra.stanford.edu/kundaje/oak/projects/neuro-variants/variant_position/credible/roussos_2024/variant_figures/roussos_2024.childhood.GABA/rs55844174_profile_position.png",4,220,900)</f>
        <v/>
      </c>
    </row>
    <row r="2886">
      <c r="A2886" t="inlineStr">
        <is>
          <t>chr3</t>
        </is>
      </c>
      <c r="B2886" t="n">
        <v>181488779</v>
      </c>
      <c r="C2886" t="inlineStr">
        <is>
          <t>A</t>
        </is>
      </c>
      <c r="D2886" t="inlineStr">
        <is>
          <t>G</t>
        </is>
      </c>
      <c r="E2886" t="inlineStr">
        <is>
          <t>rs16832517</t>
        </is>
      </c>
      <c r="F2886" t="n">
        <v>-0.023703629908</v>
      </c>
      <c r="G2886" t="n">
        <v>0.3910641965169772</v>
      </c>
      <c r="H2886" t="n">
        <v>0.0075316587741404</v>
      </c>
      <c r="I2886" t="n">
        <v>0.8895118920411331</v>
      </c>
      <c r="J2886" t="n">
        <v>0.0117180792025297</v>
      </c>
      <c r="K2886" t="n">
        <v>0.7217903215687912</v>
      </c>
      <c r="L2886" t="b">
        <v>0</v>
      </c>
      <c r="M2886" t="b">
        <v>0</v>
      </c>
      <c r="N2886" t="inlineStr">
        <is>
          <t>ref</t>
        </is>
      </c>
      <c r="O2886" t="n">
        <v>-100</v>
      </c>
      <c r="P2886" t="n">
        <v>0.002361</v>
      </c>
      <c r="Q2886" t="n">
        <v>-45</v>
      </c>
      <c r="R2886" t="n">
        <v>0.0503</v>
      </c>
      <c r="S2886">
        <f>IMAGE("https://mitra.stanford.edu/kundaje/oak/projects/neuro-variants/variant_position/credible/roussos_2024/variant_figures/roussos_2024.childhood.GABA/rs16832517_count_position.png",4,220,900)</f>
        <v/>
      </c>
      <c r="T2886">
        <f>IMAGE("https://mitra.stanford.edu/kundaje/oak/projects/neuro-variants/variant_position/credible/roussos_2024/variant_figures/roussos_2024.childhood.GABA/rs16832517_profile_position.png",4,220,900)</f>
        <v/>
      </c>
    </row>
    <row r="2887">
      <c r="A2887" t="inlineStr">
        <is>
          <t>chr3</t>
        </is>
      </c>
      <c r="B2887" t="n">
        <v>181702392</v>
      </c>
      <c r="C2887" t="inlineStr">
        <is>
          <t>T</t>
        </is>
      </c>
      <c r="D2887" t="inlineStr">
        <is>
          <t>G</t>
        </is>
      </c>
      <c r="E2887" t="inlineStr">
        <is>
          <t>rs75907840</t>
        </is>
      </c>
      <c r="F2887" t="n">
        <v>-0.001857786566</v>
      </c>
      <c r="G2887" t="n">
        <v>0.8648335206973861</v>
      </c>
      <c r="H2887" t="n">
        <v>0.0203039498329835</v>
      </c>
      <c r="I2887" t="n">
        <v>0.06998166315431061</v>
      </c>
      <c r="J2887" t="n">
        <v>0.7505193608510816</v>
      </c>
      <c r="K2887" t="n">
        <v>0.0101207657037852</v>
      </c>
      <c r="L2887" t="b">
        <v>0</v>
      </c>
      <c r="M2887" t="b">
        <v>0</v>
      </c>
      <c r="N2887" t="inlineStr">
        <is>
          <t>ref</t>
        </is>
      </c>
      <c r="O2887" t="n">
        <v>-55</v>
      </c>
      <c r="P2887" t="n">
        <v>0.02356</v>
      </c>
      <c r="Q2887" t="n">
        <v>-100</v>
      </c>
      <c r="R2887" t="n">
        <v>0.335</v>
      </c>
      <c r="S2887">
        <f>IMAGE("https://mitra.stanford.edu/kundaje/oak/projects/neuro-variants/variant_position/credible/roussos_2024/variant_figures/roussos_2024.childhood.GABA/rs75907840_count_position.png",4,220,900)</f>
        <v/>
      </c>
      <c r="T2887">
        <f>IMAGE("https://mitra.stanford.edu/kundaje/oak/projects/neuro-variants/variant_position/credible/roussos_2024/variant_figures/roussos_2024.childhood.GABA/rs75907840_profile_position.png",4,220,900)</f>
        <v/>
      </c>
    </row>
    <row r="2888">
      <c r="A2888" t="inlineStr">
        <is>
          <t>chr3</t>
        </is>
      </c>
      <c r="B2888" t="n">
        <v>181713783</v>
      </c>
      <c r="C2888" t="inlineStr">
        <is>
          <t>C</t>
        </is>
      </c>
      <c r="D2888" t="inlineStr">
        <is>
          <t>A</t>
        </is>
      </c>
      <c r="E2888" t="inlineStr">
        <is>
          <t>rs11915160</t>
        </is>
      </c>
      <c r="F2888" t="n">
        <v>0.0510431623999999</v>
      </c>
      <c r="G2888" t="n">
        <v>0.1447045448516585</v>
      </c>
      <c r="H2888" t="n">
        <v>0.0250099373282871</v>
      </c>
      <c r="I2888" t="n">
        <v>0.0290802820819825</v>
      </c>
      <c r="J2888" t="n">
        <v>0.4660090888148939</v>
      </c>
      <c r="K2888" t="n">
        <v>0.0620423826685392</v>
      </c>
      <c r="L2888" t="b">
        <v>0</v>
      </c>
      <c r="M2888" t="b">
        <v>0</v>
      </c>
      <c r="N2888" t="inlineStr">
        <is>
          <t>alt</t>
        </is>
      </c>
      <c r="O2888" t="n">
        <v>85</v>
      </c>
      <c r="P2888" t="n">
        <v>0.01405</v>
      </c>
      <c r="Q2888" t="n">
        <v>30</v>
      </c>
      <c r="R2888" t="n">
        <v>0.02975</v>
      </c>
      <c r="S2888">
        <f>IMAGE("https://mitra.stanford.edu/kundaje/oak/projects/neuro-variants/variant_position/credible/roussos_2024/variant_figures/roussos_2024.childhood.GABA/rs11915160_count_position.png",4,220,900)</f>
        <v/>
      </c>
      <c r="T2888">
        <f>IMAGE("https://mitra.stanford.edu/kundaje/oak/projects/neuro-variants/variant_position/credible/roussos_2024/variant_figures/roussos_2024.childhood.GABA/rs11915160_profile_position.png",4,220,900)</f>
        <v/>
      </c>
    </row>
    <row r="2889">
      <c r="A2889" t="inlineStr">
        <is>
          <t>chr3</t>
        </is>
      </c>
      <c r="B2889" t="n">
        <v>185855290</v>
      </c>
      <c r="C2889" t="inlineStr">
        <is>
          <t>C</t>
        </is>
      </c>
      <c r="D2889" t="inlineStr">
        <is>
          <t>A</t>
        </is>
      </c>
      <c r="E2889" t="inlineStr">
        <is>
          <t>rs12638738</t>
        </is>
      </c>
      <c r="F2889" t="n">
        <v>0.0107887762</v>
      </c>
      <c r="G2889" t="n">
        <v>0.5362661104598448</v>
      </c>
      <c r="H2889" t="n">
        <v>0.0415921274878667</v>
      </c>
      <c r="I2889" t="n">
        <v>0.003300752533544</v>
      </c>
      <c r="J2889" t="n">
        <v>0.0026774308391446</v>
      </c>
      <c r="K2889" t="n">
        <v>0.8617168547578035</v>
      </c>
      <c r="L2889" t="b">
        <v>0</v>
      </c>
      <c r="M2889" t="b">
        <v>0</v>
      </c>
      <c r="N2889" t="inlineStr">
        <is>
          <t>alt</t>
        </is>
      </c>
      <c r="O2889" t="n">
        <v>-75</v>
      </c>
      <c r="P2889" t="n">
        <v>0.00315</v>
      </c>
      <c r="Q2889" t="n">
        <v>50</v>
      </c>
      <c r="R2889" t="n">
        <v>0.04663</v>
      </c>
      <c r="S2889">
        <f>IMAGE("https://mitra.stanford.edu/kundaje/oak/projects/neuro-variants/variant_position/credible/roussos_2024/variant_figures/roussos_2024.childhood.GABA/rs12638738_count_position.png",4,220,900)</f>
        <v/>
      </c>
      <c r="T2889">
        <f>IMAGE("https://mitra.stanford.edu/kundaje/oak/projects/neuro-variants/variant_position/credible/roussos_2024/variant_figures/roussos_2024.childhood.GABA/rs12638738_profile_position.png",4,220,900)</f>
        <v/>
      </c>
    </row>
    <row r="2890">
      <c r="A2890" t="inlineStr">
        <is>
          <t>chr3</t>
        </is>
      </c>
      <c r="B2890" t="n">
        <v>185955755</v>
      </c>
      <c r="C2890" t="inlineStr">
        <is>
          <t>T</t>
        </is>
      </c>
      <c r="D2890" t="inlineStr">
        <is>
          <t>C</t>
        </is>
      </c>
      <c r="E2890" t="inlineStr">
        <is>
          <t>rs57491362</t>
        </is>
      </c>
      <c r="F2890" t="n">
        <v>0.4144596</v>
      </c>
      <c r="G2890" t="n">
        <v>0.000534410329939</v>
      </c>
      <c r="H2890" t="n">
        <v>0.0382957960046561</v>
      </c>
      <c r="I2890" t="n">
        <v>0.0057067421126066</v>
      </c>
      <c r="J2890" t="n">
        <v>0.2817637326966974</v>
      </c>
      <c r="K2890" t="n">
        <v>0.1516375345128743</v>
      </c>
      <c r="L2890" t="b">
        <v>1</v>
      </c>
      <c r="M2890" t="b">
        <v>1</v>
      </c>
      <c r="N2890" t="inlineStr">
        <is>
          <t>alt</t>
        </is>
      </c>
      <c r="O2890" t="n">
        <v>90</v>
      </c>
      <c r="P2890" t="n">
        <v>0.00814</v>
      </c>
      <c r="Q2890" t="n">
        <v>75</v>
      </c>
      <c r="R2890" t="n">
        <v>0.03174</v>
      </c>
      <c r="S2890">
        <f>IMAGE("https://mitra.stanford.edu/kundaje/oak/projects/neuro-variants/variant_position/credible/roussos_2024/variant_figures/roussos_2024.childhood.GABA/rs57491362_count_position.png",4,220,900)</f>
        <v/>
      </c>
      <c r="T2890">
        <f>IMAGE("https://mitra.stanford.edu/kundaje/oak/projects/neuro-variants/variant_position/credible/roussos_2024/variant_figures/roussos_2024.childhood.GABA/rs57491362_profile_position.png",4,220,900)</f>
        <v/>
      </c>
    </row>
    <row r="2891">
      <c r="A2891" t="inlineStr">
        <is>
          <t>chr3</t>
        </is>
      </c>
      <c r="B2891" t="n">
        <v>185955802</v>
      </c>
      <c r="C2891" t="inlineStr">
        <is>
          <t>C</t>
        </is>
      </c>
      <c r="D2891" t="inlineStr">
        <is>
          <t>T</t>
        </is>
      </c>
      <c r="E2891" t="inlineStr">
        <is>
          <t>rs112543424</t>
        </is>
      </c>
      <c r="F2891" t="n">
        <v>-0.100069345</v>
      </c>
      <c r="G2891" t="n">
        <v>0.0320660158448835</v>
      </c>
      <c r="H2891" t="n">
        <v>0.0140317585642685</v>
      </c>
      <c r="I2891" t="n">
        <v>0.2789429048419894</v>
      </c>
      <c r="J2891" t="n">
        <v>0.1461623840338421</v>
      </c>
      <c r="K2891" t="n">
        <v>0.2926346445633893</v>
      </c>
      <c r="L2891" t="b">
        <v>0</v>
      </c>
      <c r="M2891" t="b">
        <v>0</v>
      </c>
      <c r="N2891" t="inlineStr">
        <is>
          <t>ref</t>
        </is>
      </c>
      <c r="O2891" t="n">
        <v>100</v>
      </c>
      <c r="P2891" t="n">
        <v>0.004726</v>
      </c>
      <c r="Q2891" t="n">
        <v>-25</v>
      </c>
      <c r="R2891" t="n">
        <v>0.009520000000000001</v>
      </c>
      <c r="S2891">
        <f>IMAGE("https://mitra.stanford.edu/kundaje/oak/projects/neuro-variants/variant_position/credible/roussos_2024/variant_figures/roussos_2024.childhood.GABA/rs112543424_count_position.png",4,220,900)</f>
        <v/>
      </c>
      <c r="T2891">
        <f>IMAGE("https://mitra.stanford.edu/kundaje/oak/projects/neuro-variants/variant_position/credible/roussos_2024/variant_figures/roussos_2024.childhood.GABA/rs112543424_profile_position.png",4,220,900)</f>
        <v/>
      </c>
    </row>
    <row r="2892">
      <c r="A2892" t="inlineStr">
        <is>
          <t>chr3</t>
        </is>
      </c>
      <c r="B2892" t="n">
        <v>185955820</v>
      </c>
      <c r="C2892" t="inlineStr">
        <is>
          <t>T</t>
        </is>
      </c>
      <c r="D2892" t="inlineStr">
        <is>
          <t>C</t>
        </is>
      </c>
      <c r="E2892" t="inlineStr">
        <is>
          <t>rs60319910</t>
        </is>
      </c>
      <c r="F2892" t="n">
        <v>0.34827857</v>
      </c>
      <c r="G2892" t="n">
        <v>0.0009783606390588</v>
      </c>
      <c r="H2892" t="n">
        <v>0.0517491517410701</v>
      </c>
      <c r="I2892" t="n">
        <v>0.0018265791566084</v>
      </c>
      <c r="J2892" t="n">
        <v>0.2649536135368892</v>
      </c>
      <c r="K2892" t="n">
        <v>0.1628654427126595</v>
      </c>
      <c r="L2892" t="b">
        <v>1</v>
      </c>
      <c r="M2892" t="b">
        <v>1</v>
      </c>
      <c r="N2892" t="inlineStr">
        <is>
          <t>alt</t>
        </is>
      </c>
      <c r="O2892" t="n">
        <v>100</v>
      </c>
      <c r="P2892" t="n">
        <v>0.005493</v>
      </c>
      <c r="Q2892" t="n">
        <v>-45</v>
      </c>
      <c r="R2892" t="n">
        <v>0.01782</v>
      </c>
      <c r="S2892">
        <f>IMAGE("https://mitra.stanford.edu/kundaje/oak/projects/neuro-variants/variant_position/credible/roussos_2024/variant_figures/roussos_2024.childhood.GABA/rs60319910_count_position.png",4,220,900)</f>
        <v/>
      </c>
      <c r="T2892">
        <f>IMAGE("https://mitra.stanford.edu/kundaje/oak/projects/neuro-variants/variant_position/credible/roussos_2024/variant_figures/roussos_2024.childhood.GABA/rs60319910_profile_position.png",4,220,900)</f>
        <v/>
      </c>
    </row>
    <row r="2893">
      <c r="A2893" t="inlineStr">
        <is>
          <t>chr3</t>
        </is>
      </c>
      <c r="B2893" t="n">
        <v>185971124</v>
      </c>
      <c r="C2893" t="inlineStr">
        <is>
          <t>C</t>
        </is>
      </c>
      <c r="D2893" t="inlineStr">
        <is>
          <t>A</t>
        </is>
      </c>
      <c r="E2893" t="inlineStr">
        <is>
          <t>rs115259874</t>
        </is>
      </c>
      <c r="F2893" t="n">
        <v>0.0103921405599999</v>
      </c>
      <c r="G2893" t="n">
        <v>0.5922106239182976</v>
      </c>
      <c r="H2893" t="n">
        <v>0.0101706672548632</v>
      </c>
      <c r="I2893" t="n">
        <v>0.6174999706303994</v>
      </c>
      <c r="J2893" t="n">
        <v>0.2438252602039747</v>
      </c>
      <c r="K2893" t="n">
        <v>0.1800077028804481</v>
      </c>
      <c r="L2893" t="b">
        <v>0</v>
      </c>
      <c r="M2893" t="b">
        <v>0</v>
      </c>
      <c r="N2893" t="inlineStr">
        <is>
          <t>alt</t>
        </is>
      </c>
      <c r="O2893" t="n">
        <v>100</v>
      </c>
      <c r="P2893" t="n">
        <v>0.005486</v>
      </c>
      <c r="Q2893" t="n">
        <v>30</v>
      </c>
      <c r="R2893" t="n">
        <v>0.0262</v>
      </c>
      <c r="S2893">
        <f>IMAGE("https://mitra.stanford.edu/kundaje/oak/projects/neuro-variants/variant_position/credible/roussos_2024/variant_figures/roussos_2024.childhood.GABA/rs115259874_count_position.png",4,220,900)</f>
        <v/>
      </c>
      <c r="T2893">
        <f>IMAGE("https://mitra.stanford.edu/kundaje/oak/projects/neuro-variants/variant_position/credible/roussos_2024/variant_figures/roussos_2024.childhood.GABA/rs115259874_profile_position.png",4,220,900)</f>
        <v/>
      </c>
    </row>
    <row r="2894">
      <c r="A2894" t="inlineStr">
        <is>
          <t>chr3</t>
        </is>
      </c>
      <c r="B2894" t="n">
        <v>188194600</v>
      </c>
      <c r="C2894" t="inlineStr">
        <is>
          <t>G</t>
        </is>
      </c>
      <c r="D2894" t="inlineStr">
        <is>
          <t>A</t>
        </is>
      </c>
      <c r="E2894" t="inlineStr">
        <is>
          <t>rs4686478</t>
        </is>
      </c>
      <c r="F2894" t="n">
        <v>-0.0057544122999999</v>
      </c>
      <c r="G2894" t="n">
        <v>0.7154903150038786</v>
      </c>
      <c r="H2894" t="n">
        <v>0.0087601941023474</v>
      </c>
      <c r="I2894" t="n">
        <v>0.7647967580042955</v>
      </c>
      <c r="J2894" t="n">
        <v>0.0402169588071453</v>
      </c>
      <c r="K2894" t="n">
        <v>0.5297483456788753</v>
      </c>
      <c r="L2894" t="b">
        <v>0</v>
      </c>
      <c r="M2894" t="b">
        <v>0</v>
      </c>
      <c r="N2894" t="inlineStr">
        <is>
          <t>ref</t>
        </is>
      </c>
      <c r="O2894" t="n">
        <v>90</v>
      </c>
      <c r="P2894" t="n">
        <v>0.01268</v>
      </c>
      <c r="Q2894" t="n">
        <v>-95</v>
      </c>
      <c r="R2894" t="n">
        <v>0.0877</v>
      </c>
      <c r="S2894">
        <f>IMAGE("https://mitra.stanford.edu/kundaje/oak/projects/neuro-variants/variant_position/credible/roussos_2024/variant_figures/roussos_2024.childhood.GABA/rs4686478_count_position.png",4,220,900)</f>
        <v/>
      </c>
      <c r="T2894">
        <f>IMAGE("https://mitra.stanford.edu/kundaje/oak/projects/neuro-variants/variant_position/credible/roussos_2024/variant_figures/roussos_2024.childhood.GABA/rs4686478_profile_position.png",4,220,900)</f>
        <v/>
      </c>
    </row>
    <row r="2895">
      <c r="A2895" t="inlineStr">
        <is>
          <t>chr3</t>
        </is>
      </c>
      <c r="B2895" t="n">
        <v>188197422</v>
      </c>
      <c r="C2895" t="inlineStr">
        <is>
          <t>G</t>
        </is>
      </c>
      <c r="D2895" t="inlineStr">
        <is>
          <t>T</t>
        </is>
      </c>
      <c r="E2895" t="inlineStr">
        <is>
          <t>rs4572756</t>
        </is>
      </c>
      <c r="F2895" t="n">
        <v>0.197059016</v>
      </c>
      <c r="G2895" t="n">
        <v>0.0049532377458896</v>
      </c>
      <c r="H2895" t="n">
        <v>0.0458432981220735</v>
      </c>
      <c r="I2895" t="n">
        <v>0.0023712345274304</v>
      </c>
      <c r="J2895" t="n">
        <v>0.4812066762999728</v>
      </c>
      <c r="K2895" t="n">
        <v>0.0575441045397271</v>
      </c>
      <c r="L2895" t="b">
        <v>1</v>
      </c>
      <c r="M2895" t="b">
        <v>1</v>
      </c>
      <c r="N2895" t="inlineStr">
        <is>
          <t>alt</t>
        </is>
      </c>
      <c r="O2895" t="n">
        <v>90</v>
      </c>
      <c r="P2895" t="n">
        <v>0.006775</v>
      </c>
      <c r="Q2895" t="n">
        <v>90</v>
      </c>
      <c r="R2895" t="n">
        <v>0.07275</v>
      </c>
      <c r="S2895">
        <f>IMAGE("https://mitra.stanford.edu/kundaje/oak/projects/neuro-variants/variant_position/credible/roussos_2024/variant_figures/roussos_2024.childhood.GABA/rs4572756_count_position.png",4,220,900)</f>
        <v/>
      </c>
      <c r="T2895">
        <f>IMAGE("https://mitra.stanford.edu/kundaje/oak/projects/neuro-variants/variant_position/credible/roussos_2024/variant_figures/roussos_2024.childhood.GABA/rs4572756_profile_position.png",4,220,900)</f>
        <v/>
      </c>
    </row>
    <row r="2896">
      <c r="A2896" t="inlineStr">
        <is>
          <t>chr3</t>
        </is>
      </c>
      <c r="B2896" t="n">
        <v>188279828</v>
      </c>
      <c r="C2896" t="inlineStr">
        <is>
          <t>G</t>
        </is>
      </c>
      <c r="D2896" t="inlineStr">
        <is>
          <t>A</t>
        </is>
      </c>
      <c r="E2896" t="inlineStr">
        <is>
          <t>rs79650876</t>
        </is>
      </c>
      <c r="F2896" t="n">
        <v>-0.0179025984</v>
      </c>
      <c r="G2896" t="n">
        <v>0.4140247332346121</v>
      </c>
      <c r="H2896" t="n">
        <v>0.0185756377328835</v>
      </c>
      <c r="I2896" t="n">
        <v>0.1042675239593489</v>
      </c>
      <c r="J2896" t="n">
        <v>0.5332160583024439</v>
      </c>
      <c r="K2896" t="n">
        <v>0.0434837251073355</v>
      </c>
      <c r="L2896" t="b">
        <v>0</v>
      </c>
      <c r="M2896" t="b">
        <v>0</v>
      </c>
      <c r="N2896" t="inlineStr">
        <is>
          <t>ref</t>
        </is>
      </c>
      <c r="O2896" t="n">
        <v>-45</v>
      </c>
      <c r="P2896" t="n">
        <v>0.002136</v>
      </c>
      <c r="Q2896" t="n">
        <v>-45</v>
      </c>
      <c r="R2896" t="n">
        <v>0.06444999999999999</v>
      </c>
      <c r="S2896">
        <f>IMAGE("https://mitra.stanford.edu/kundaje/oak/projects/neuro-variants/variant_position/credible/roussos_2024/variant_figures/roussos_2024.childhood.GABA/rs79650876_count_position.png",4,220,900)</f>
        <v/>
      </c>
      <c r="T2896">
        <f>IMAGE("https://mitra.stanford.edu/kundaje/oak/projects/neuro-variants/variant_position/credible/roussos_2024/variant_figures/roussos_2024.childhood.GABA/rs79650876_profile_position.png",4,220,900)</f>
        <v/>
      </c>
    </row>
    <row r="2897">
      <c r="A2897" t="inlineStr">
        <is>
          <t>chr3</t>
        </is>
      </c>
      <c r="B2897" t="n">
        <v>188467043</v>
      </c>
      <c r="C2897" t="inlineStr">
        <is>
          <t>G</t>
        </is>
      </c>
      <c r="D2897" t="inlineStr">
        <is>
          <t>T</t>
        </is>
      </c>
      <c r="E2897" t="inlineStr">
        <is>
          <t>rs1365261</t>
        </is>
      </c>
      <c r="F2897" t="n">
        <v>-0.01681543774</v>
      </c>
      <c r="G2897" t="n">
        <v>0.4933788373458925</v>
      </c>
      <c r="H2897" t="n">
        <v>0.0114917812482381</v>
      </c>
      <c r="I2897" t="n">
        <v>0.4859882080960792</v>
      </c>
      <c r="J2897" t="n">
        <v>0.0151913048941382</v>
      </c>
      <c r="K2897" t="n">
        <v>0.6919340840399563</v>
      </c>
      <c r="L2897" t="b">
        <v>0</v>
      </c>
      <c r="M2897" t="b">
        <v>0</v>
      </c>
      <c r="N2897" t="inlineStr">
        <is>
          <t>ref</t>
        </is>
      </c>
      <c r="O2897" t="n">
        <v>-70</v>
      </c>
      <c r="P2897" t="n">
        <v>0.004642</v>
      </c>
      <c r="Q2897" t="n">
        <v>-65</v>
      </c>
      <c r="R2897" t="n">
        <v>0.02612</v>
      </c>
      <c r="S2897">
        <f>IMAGE("https://mitra.stanford.edu/kundaje/oak/projects/neuro-variants/variant_position/credible/roussos_2024/variant_figures/roussos_2024.childhood.GABA/rs1365261_count_position.png",4,220,900)</f>
        <v/>
      </c>
      <c r="T2897">
        <f>IMAGE("https://mitra.stanford.edu/kundaje/oak/projects/neuro-variants/variant_position/credible/roussos_2024/variant_figures/roussos_2024.childhood.GABA/rs1365261_profile_position.png",4,220,900)</f>
        <v/>
      </c>
    </row>
    <row r="2898">
      <c r="A2898" t="inlineStr">
        <is>
          <t>chr3</t>
        </is>
      </c>
      <c r="B2898" t="n">
        <v>188469462</v>
      </c>
      <c r="C2898" t="inlineStr">
        <is>
          <t>G</t>
        </is>
      </c>
      <c r="D2898" t="inlineStr">
        <is>
          <t>A</t>
        </is>
      </c>
      <c r="E2898" t="inlineStr">
        <is>
          <t>rs1426271</t>
        </is>
      </c>
      <c r="F2898" t="n">
        <v>-0.0589151055999999</v>
      </c>
      <c r="G2898" t="n">
        <v>0.1107812275042188</v>
      </c>
      <c r="H2898" t="n">
        <v>0.0138895696184737</v>
      </c>
      <c r="I2898" t="n">
        <v>0.2902388924856092</v>
      </c>
      <c r="J2898" t="n">
        <v>0.0490649410483549</v>
      </c>
      <c r="K2898" t="n">
        <v>0.5034085167867468</v>
      </c>
      <c r="L2898" t="b">
        <v>0</v>
      </c>
      <c r="M2898" t="b">
        <v>0</v>
      </c>
      <c r="N2898" t="inlineStr">
        <is>
          <t>ref</t>
        </is>
      </c>
      <c r="O2898" t="n">
        <v>-80</v>
      </c>
      <c r="P2898" t="n">
        <v>0.000931</v>
      </c>
      <c r="Q2898" t="n">
        <v>-55</v>
      </c>
      <c r="R2898" t="n">
        <v>0.007324</v>
      </c>
      <c r="S2898">
        <f>IMAGE("https://mitra.stanford.edu/kundaje/oak/projects/neuro-variants/variant_position/credible/roussos_2024/variant_figures/roussos_2024.childhood.GABA/rs1426271_count_position.png",4,220,900)</f>
        <v/>
      </c>
      <c r="T2898">
        <f>IMAGE("https://mitra.stanford.edu/kundaje/oak/projects/neuro-variants/variant_position/credible/roussos_2024/variant_figures/roussos_2024.childhood.GABA/rs1426271_profile_position.png",4,220,900)</f>
        <v/>
      </c>
    </row>
    <row r="2899">
      <c r="A2899" t="inlineStr">
        <is>
          <t>chr3</t>
        </is>
      </c>
      <c r="B2899" t="n">
        <v>196484162</v>
      </c>
      <c r="C2899" t="inlineStr">
        <is>
          <t>C</t>
        </is>
      </c>
      <c r="D2899" t="inlineStr">
        <is>
          <t>T</t>
        </is>
      </c>
      <c r="E2899" t="inlineStr">
        <is>
          <t>rs9683218</t>
        </is>
      </c>
      <c r="F2899" t="n">
        <v>0.019691435</v>
      </c>
      <c r="G2899" t="n">
        <v>0.4037192799069338</v>
      </c>
      <c r="H2899" t="n">
        <v>0.0248271409310946</v>
      </c>
      <c r="I2899" t="n">
        <v>0.029587477686534</v>
      </c>
      <c r="J2899" t="n">
        <v>0.0271900064920105</v>
      </c>
      <c r="K2899" t="n">
        <v>0.6056245351538541</v>
      </c>
      <c r="L2899" t="b">
        <v>0</v>
      </c>
      <c r="M2899" t="b">
        <v>0</v>
      </c>
      <c r="N2899" t="inlineStr">
        <is>
          <t>alt</t>
        </is>
      </c>
      <c r="O2899" t="n">
        <v>85</v>
      </c>
      <c r="P2899" t="n">
        <v>0.01068</v>
      </c>
      <c r="Q2899" t="n">
        <v>65</v>
      </c>
      <c r="R2899" t="n">
        <v>0.10535</v>
      </c>
      <c r="S2899">
        <f>IMAGE("https://mitra.stanford.edu/kundaje/oak/projects/neuro-variants/variant_position/credible/roussos_2024/variant_figures/roussos_2024.childhood.GABA/rs9683218_count_position.png",4,220,900)</f>
        <v/>
      </c>
      <c r="T2899">
        <f>IMAGE("https://mitra.stanford.edu/kundaje/oak/projects/neuro-variants/variant_position/credible/roussos_2024/variant_figures/roussos_2024.childhood.GABA/rs9683218_profile_position.png",4,220,900)</f>
        <v/>
      </c>
    </row>
    <row r="2900">
      <c r="A2900" t="inlineStr">
        <is>
          <t>chr4</t>
        </is>
      </c>
      <c r="B2900" t="n">
        <v>712911</v>
      </c>
      <c r="C2900" t="inlineStr">
        <is>
          <t>T</t>
        </is>
      </c>
      <c r="D2900" t="inlineStr">
        <is>
          <t>C</t>
        </is>
      </c>
      <c r="E2900" t="inlineStr">
        <is>
          <t>rs35734242</t>
        </is>
      </c>
      <c r="F2900" t="n">
        <v>-0.0511740452</v>
      </c>
      <c r="G2900" t="n">
        <v>0.1470877742392962</v>
      </c>
      <c r="H2900" t="n">
        <v>0.0184099076865827</v>
      </c>
      <c r="I2900" t="n">
        <v>0.1040665108469179</v>
      </c>
      <c r="J2900" t="n">
        <v>0.2234382526020398</v>
      </c>
      <c r="K2900" t="n">
        <v>0.1966415744225421</v>
      </c>
      <c r="L2900" t="b">
        <v>0</v>
      </c>
      <c r="M2900" t="b">
        <v>0</v>
      </c>
      <c r="N2900" t="inlineStr">
        <is>
          <t>ref</t>
        </is>
      </c>
      <c r="O2900" t="n">
        <v>-5</v>
      </c>
      <c r="P2900" t="n">
        <v>0.0001831</v>
      </c>
      <c r="Q2900" t="n">
        <v>55</v>
      </c>
      <c r="R2900" t="n">
        <v>0.03894</v>
      </c>
      <c r="S2900">
        <f>IMAGE("https://mitra.stanford.edu/kundaje/oak/projects/neuro-variants/variant_position/credible/roussos_2024/variant_figures/roussos_2024.childhood.GABA/rs35734242_count_position.png",4,220,900)</f>
        <v/>
      </c>
      <c r="T2900">
        <f>IMAGE("https://mitra.stanford.edu/kundaje/oak/projects/neuro-variants/variant_position/credible/roussos_2024/variant_figures/roussos_2024.childhood.GABA/rs35734242_profile_position.png",4,220,900)</f>
        <v/>
      </c>
    </row>
    <row r="2901">
      <c r="A2901" t="inlineStr">
        <is>
          <t>chr4</t>
        </is>
      </c>
      <c r="B2901" t="n">
        <v>23372301</v>
      </c>
      <c r="C2901" t="inlineStr">
        <is>
          <t>G</t>
        </is>
      </c>
      <c r="D2901" t="inlineStr">
        <is>
          <t>A</t>
        </is>
      </c>
      <c r="E2901" t="inlineStr">
        <is>
          <t>rs199753793</t>
        </is>
      </c>
      <c r="F2901" t="n">
        <v>-0.01958505106</v>
      </c>
      <c r="G2901" t="n">
        <v>0.4546997696938215</v>
      </c>
      <c r="H2901" t="n">
        <v>0.008848170613109</v>
      </c>
      <c r="I2901" t="n">
        <v>0.7555069138180186</v>
      </c>
      <c r="J2901" t="n">
        <v>0.035873594270277</v>
      </c>
      <c r="K2901" t="n">
        <v>0.5673316261755125</v>
      </c>
      <c r="L2901" t="b">
        <v>0</v>
      </c>
      <c r="M2901" t="b">
        <v>0</v>
      </c>
      <c r="N2901" t="inlineStr">
        <is>
          <t>ref</t>
        </is>
      </c>
      <c r="O2901" t="n">
        <v>100</v>
      </c>
      <c r="P2901" t="n">
        <v>0.01413</v>
      </c>
      <c r="Q2901" t="n">
        <v>75</v>
      </c>
      <c r="R2901" t="n">
        <v>0.01714</v>
      </c>
      <c r="S2901">
        <f>IMAGE("https://mitra.stanford.edu/kundaje/oak/projects/neuro-variants/variant_position/credible/roussos_2024/variant_figures/roussos_2024.childhood.GABA/rs199753793_count_position.png",4,220,900)</f>
        <v/>
      </c>
      <c r="T2901">
        <f>IMAGE("https://mitra.stanford.edu/kundaje/oak/projects/neuro-variants/variant_position/credible/roussos_2024/variant_figures/roussos_2024.childhood.GABA/rs199753793_profile_position.png",4,220,900)</f>
        <v/>
      </c>
    </row>
    <row r="2902">
      <c r="A2902" t="inlineStr">
        <is>
          <t>chr4</t>
        </is>
      </c>
      <c r="B2902" t="n">
        <v>23398184</v>
      </c>
      <c r="C2902" t="inlineStr">
        <is>
          <t>T</t>
        </is>
      </c>
      <c r="D2902" t="inlineStr">
        <is>
          <t>G</t>
        </is>
      </c>
      <c r="E2902" t="inlineStr">
        <is>
          <t>rs73100346</t>
        </is>
      </c>
      <c r="F2902" t="n">
        <v>-0.042099199</v>
      </c>
      <c r="G2902" t="n">
        <v>0.2009867872829371</v>
      </c>
      <c r="H2902" t="n">
        <v>0.0349210158800663</v>
      </c>
      <c r="I2902" t="n">
        <v>0.0066056674331764</v>
      </c>
      <c r="J2902" t="n">
        <v>0.0102123515737889</v>
      </c>
      <c r="K2902" t="n">
        <v>0.7554006644505099</v>
      </c>
      <c r="L2902" t="b">
        <v>1</v>
      </c>
      <c r="M2902" t="b">
        <v>0</v>
      </c>
      <c r="N2902" t="inlineStr">
        <is>
          <t>ref</t>
        </is>
      </c>
      <c r="O2902" t="n">
        <v>15</v>
      </c>
      <c r="P2902" t="n">
        <v>0.001846</v>
      </c>
      <c r="Q2902" t="n">
        <v>-10</v>
      </c>
      <c r="R2902" t="n">
        <v>0.010315</v>
      </c>
      <c r="S2902">
        <f>IMAGE("https://mitra.stanford.edu/kundaje/oak/projects/neuro-variants/variant_position/credible/roussos_2024/variant_figures/roussos_2024.childhood.GABA/rs73100346_count_position.png",4,220,900)</f>
        <v/>
      </c>
      <c r="T2902">
        <f>IMAGE("https://mitra.stanford.edu/kundaje/oak/projects/neuro-variants/variant_position/credible/roussos_2024/variant_figures/roussos_2024.childhood.GABA/rs73100346_profile_position.png",4,220,900)</f>
        <v/>
      </c>
    </row>
    <row r="2903">
      <c r="A2903" t="inlineStr">
        <is>
          <t>chr4</t>
        </is>
      </c>
      <c r="B2903" t="n">
        <v>23422922</v>
      </c>
      <c r="C2903" t="inlineStr">
        <is>
          <t>T</t>
        </is>
      </c>
      <c r="D2903" t="inlineStr">
        <is>
          <t>C</t>
        </is>
      </c>
      <c r="E2903" t="inlineStr">
        <is>
          <t>rs215407</t>
        </is>
      </c>
      <c r="F2903" t="n">
        <v>0.0311990704</v>
      </c>
      <c r="G2903" t="n">
        <v>0.2812840276556304</v>
      </c>
      <c r="H2903" t="n">
        <v>0.0243368946497045</v>
      </c>
      <c r="I2903" t="n">
        <v>0.0323932182183376</v>
      </c>
      <c r="J2903" t="n">
        <v>0.0410755795690142</v>
      </c>
      <c r="K2903" t="n">
        <v>0.5227586935716904</v>
      </c>
      <c r="L2903" t="b">
        <v>0</v>
      </c>
      <c r="M2903" t="b">
        <v>0</v>
      </c>
      <c r="N2903" t="inlineStr">
        <is>
          <t>alt</t>
        </is>
      </c>
      <c r="O2903" t="n">
        <v>65</v>
      </c>
      <c r="P2903" t="n">
        <v>0.003128</v>
      </c>
      <c r="Q2903" t="n">
        <v>65</v>
      </c>
      <c r="R2903" t="n">
        <v>0.1726</v>
      </c>
      <c r="S2903">
        <f>IMAGE("https://mitra.stanford.edu/kundaje/oak/projects/neuro-variants/variant_position/credible/roussos_2024/variant_figures/roussos_2024.childhood.GABA/rs215407_count_position.png",4,220,900)</f>
        <v/>
      </c>
      <c r="T2903">
        <f>IMAGE("https://mitra.stanford.edu/kundaje/oak/projects/neuro-variants/variant_position/credible/roussos_2024/variant_figures/roussos_2024.childhood.GABA/rs215407_profile_position.png",4,220,900)</f>
        <v/>
      </c>
    </row>
    <row r="2904">
      <c r="A2904" t="inlineStr">
        <is>
          <t>chr4</t>
        </is>
      </c>
      <c r="B2904" t="n">
        <v>23423851</v>
      </c>
      <c r="C2904" t="inlineStr">
        <is>
          <t>T</t>
        </is>
      </c>
      <c r="D2904" t="inlineStr">
        <is>
          <t>G</t>
        </is>
      </c>
      <c r="E2904" t="inlineStr">
        <is>
          <t>rs215405</t>
        </is>
      </c>
      <c r="F2904" t="n">
        <v>0.0304587658</v>
      </c>
      <c r="G2904" t="n">
        <v>0.2746659078713972</v>
      </c>
      <c r="H2904" t="n">
        <v>0.011172167398876</v>
      </c>
      <c r="I2904" t="n">
        <v>0.5201927744625043</v>
      </c>
      <c r="J2904" t="n">
        <v>0.1100929823459194</v>
      </c>
      <c r="K2904" t="n">
        <v>0.3344525253003292</v>
      </c>
      <c r="L2904" t="b">
        <v>0</v>
      </c>
      <c r="M2904" t="b">
        <v>0</v>
      </c>
      <c r="N2904" t="inlineStr">
        <is>
          <t>alt</t>
        </is>
      </c>
      <c r="O2904" t="n">
        <v>95</v>
      </c>
      <c r="P2904" t="n">
        <v>0.0008583</v>
      </c>
      <c r="Q2904" t="n">
        <v>-60</v>
      </c>
      <c r="R2904" t="n">
        <v>0.1262</v>
      </c>
      <c r="S2904">
        <f>IMAGE("https://mitra.stanford.edu/kundaje/oak/projects/neuro-variants/variant_position/credible/roussos_2024/variant_figures/roussos_2024.childhood.GABA/rs215405_count_position.png",4,220,900)</f>
        <v/>
      </c>
      <c r="T2904">
        <f>IMAGE("https://mitra.stanford.edu/kundaje/oak/projects/neuro-variants/variant_position/credible/roussos_2024/variant_figures/roussos_2024.childhood.GABA/rs215405_profile_position.png",4,220,900)</f>
        <v/>
      </c>
    </row>
    <row r="2905">
      <c r="A2905" t="inlineStr">
        <is>
          <t>chr4</t>
        </is>
      </c>
      <c r="B2905" t="n">
        <v>23484586</v>
      </c>
      <c r="C2905" t="inlineStr">
        <is>
          <t>A</t>
        </is>
      </c>
      <c r="D2905" t="inlineStr">
        <is>
          <t>G</t>
        </is>
      </c>
      <c r="E2905" t="inlineStr">
        <is>
          <t>rs17541787</t>
        </is>
      </c>
      <c r="F2905" t="n">
        <v>0.00655319648</v>
      </c>
      <c r="G2905" t="n">
        <v>0.6210952743908214</v>
      </c>
      <c r="H2905" t="n">
        <v>0.0084320372813028</v>
      </c>
      <c r="I2905" t="n">
        <v>0.8087671378681249</v>
      </c>
      <c r="J2905" t="n">
        <v>0.06455152771669689</v>
      </c>
      <c r="K2905" t="n">
        <v>0.4501313040026141</v>
      </c>
      <c r="L2905" t="b">
        <v>0</v>
      </c>
      <c r="M2905" t="b">
        <v>0</v>
      </c>
      <c r="N2905" t="inlineStr">
        <is>
          <t>alt</t>
        </is>
      </c>
      <c r="O2905" t="n">
        <v>-100</v>
      </c>
      <c r="P2905" t="n">
        <v>0.003084</v>
      </c>
      <c r="Q2905" t="n">
        <v>0</v>
      </c>
      <c r="R2905" t="n">
        <v>0</v>
      </c>
      <c r="S2905">
        <f>IMAGE("https://mitra.stanford.edu/kundaje/oak/projects/neuro-variants/variant_position/credible/roussos_2024/variant_figures/roussos_2024.childhood.GABA/rs17541787_count_position.png",4,220,900)</f>
        <v/>
      </c>
      <c r="T2905">
        <f>IMAGE("https://mitra.stanford.edu/kundaje/oak/projects/neuro-variants/variant_position/credible/roussos_2024/variant_figures/roussos_2024.childhood.GABA/rs17541787_profile_position.png",4,220,900)</f>
        <v/>
      </c>
    </row>
    <row r="2906">
      <c r="A2906" t="inlineStr">
        <is>
          <t>chr4</t>
        </is>
      </c>
      <c r="B2906" t="n">
        <v>23529438</v>
      </c>
      <c r="C2906" t="inlineStr">
        <is>
          <t>A</t>
        </is>
      </c>
      <c r="D2906" t="inlineStr">
        <is>
          <t>C</t>
        </is>
      </c>
      <c r="E2906" t="inlineStr">
        <is>
          <t>rs199797430</t>
        </is>
      </c>
      <c r="F2906" t="n">
        <v>-0.0099458124</v>
      </c>
      <c r="G2906" t="n">
        <v>0.6409523455469143</v>
      </c>
      <c r="H2906" t="n">
        <v>0.0328117831472048</v>
      </c>
      <c r="I2906" t="n">
        <v>0.0086491180633102</v>
      </c>
      <c r="J2906" t="n">
        <v>0.0043412703398881</v>
      </c>
      <c r="K2906" t="n">
        <v>0.8289807622087565</v>
      </c>
      <c r="L2906" t="b">
        <v>0</v>
      </c>
      <c r="M2906" t="b">
        <v>0</v>
      </c>
      <c r="N2906" t="inlineStr">
        <is>
          <t>ref</t>
        </is>
      </c>
      <c r="O2906" t="n">
        <v>55</v>
      </c>
      <c r="P2906" t="n">
        <v>0.005203</v>
      </c>
      <c r="Q2906" t="n">
        <v>100</v>
      </c>
      <c r="R2906" t="n">
        <v>0.1753</v>
      </c>
      <c r="S2906">
        <f>IMAGE("https://mitra.stanford.edu/kundaje/oak/projects/neuro-variants/variant_position/credible/roussos_2024/variant_figures/roussos_2024.childhood.GABA/rs199797430_count_position.png",4,220,900)</f>
        <v/>
      </c>
      <c r="T2906">
        <f>IMAGE("https://mitra.stanford.edu/kundaje/oak/projects/neuro-variants/variant_position/credible/roussos_2024/variant_figures/roussos_2024.childhood.GABA/rs199797430_profile_position.png",4,220,900)</f>
        <v/>
      </c>
    </row>
    <row r="2907">
      <c r="A2907" t="inlineStr">
        <is>
          <t>chr4</t>
        </is>
      </c>
      <c r="B2907" t="n">
        <v>33649250</v>
      </c>
      <c r="C2907" t="inlineStr">
        <is>
          <t>G</t>
        </is>
      </c>
      <c r="D2907" t="inlineStr">
        <is>
          <t>T</t>
        </is>
      </c>
      <c r="E2907" t="inlineStr">
        <is>
          <t>rs12641122</t>
        </is>
      </c>
      <c r="F2907" t="n">
        <v>0.02336702544</v>
      </c>
      <c r="G2907" t="n">
        <v>0.390124335656794</v>
      </c>
      <c r="H2907" t="n">
        <v>0.0291976769690186</v>
      </c>
      <c r="I2907" t="n">
        <v>0.0145035091892118</v>
      </c>
      <c r="J2907" t="n">
        <v>0.1651923519926284</v>
      </c>
      <c r="K2907" t="n">
        <v>0.2509447508189595</v>
      </c>
      <c r="L2907" t="b">
        <v>1</v>
      </c>
      <c r="M2907" t="b">
        <v>0</v>
      </c>
      <c r="N2907" t="inlineStr">
        <is>
          <t>alt</t>
        </is>
      </c>
      <c r="O2907" t="n">
        <v>65</v>
      </c>
      <c r="P2907" t="n">
        <v>0.003418</v>
      </c>
      <c r="Q2907" t="n">
        <v>15</v>
      </c>
      <c r="R2907" t="n">
        <v>0.00928</v>
      </c>
      <c r="S2907">
        <f>IMAGE("https://mitra.stanford.edu/kundaje/oak/projects/neuro-variants/variant_position/credible/roussos_2024/variant_figures/roussos_2024.childhood.GABA/rs12641122_count_position.png",4,220,900)</f>
        <v/>
      </c>
      <c r="T2907">
        <f>IMAGE("https://mitra.stanford.edu/kundaje/oak/projects/neuro-variants/variant_position/credible/roussos_2024/variant_figures/roussos_2024.childhood.GABA/rs12641122_profile_position.png",4,220,900)</f>
        <v/>
      </c>
    </row>
    <row r="2908">
      <c r="A2908" t="inlineStr">
        <is>
          <t>chr4</t>
        </is>
      </c>
      <c r="B2908" t="n">
        <v>33652135</v>
      </c>
      <c r="C2908" t="inlineStr">
        <is>
          <t>C</t>
        </is>
      </c>
      <c r="D2908" t="inlineStr">
        <is>
          <t>T</t>
        </is>
      </c>
      <c r="E2908" t="inlineStr">
        <is>
          <t>rs717947</t>
        </is>
      </c>
      <c r="F2908" t="n">
        <v>-0.1027362957999999</v>
      </c>
      <c r="G2908" t="n">
        <v>0.0272634203484033</v>
      </c>
      <c r="H2908" t="n">
        <v>0.0170840420529782</v>
      </c>
      <c r="I2908" t="n">
        <v>0.1416882364248206</v>
      </c>
      <c r="J2908" t="n">
        <v>0.047557119222634</v>
      </c>
      <c r="K2908" t="n">
        <v>0.5003089144337662</v>
      </c>
      <c r="L2908" t="b">
        <v>0</v>
      </c>
      <c r="M2908" t="b">
        <v>0</v>
      </c>
      <c r="N2908" t="inlineStr">
        <is>
          <t>ref</t>
        </is>
      </c>
      <c r="O2908" t="n">
        <v>-100</v>
      </c>
      <c r="P2908" t="n">
        <v>0.004227</v>
      </c>
      <c r="Q2908" t="n">
        <v>95</v>
      </c>
      <c r="R2908" t="n">
        <v>0.0708</v>
      </c>
      <c r="S2908">
        <f>IMAGE("https://mitra.stanford.edu/kundaje/oak/projects/neuro-variants/variant_position/credible/roussos_2024/variant_figures/roussos_2024.childhood.GABA/rs717947_count_position.png",4,220,900)</f>
        <v/>
      </c>
      <c r="T2908">
        <f>IMAGE("https://mitra.stanford.edu/kundaje/oak/projects/neuro-variants/variant_position/credible/roussos_2024/variant_figures/roussos_2024.childhood.GABA/rs717947_profile_position.png",4,220,900)</f>
        <v/>
      </c>
    </row>
    <row r="2909">
      <c r="A2909" t="inlineStr">
        <is>
          <t>chr4</t>
        </is>
      </c>
      <c r="B2909" t="n">
        <v>33653670</v>
      </c>
      <c r="C2909" t="inlineStr">
        <is>
          <t>A</t>
        </is>
      </c>
      <c r="D2909" t="inlineStr">
        <is>
          <t>C</t>
        </is>
      </c>
      <c r="E2909" t="inlineStr">
        <is>
          <t>rs16989137</t>
        </is>
      </c>
      <c r="F2909" t="n">
        <v>0.0042802754599999</v>
      </c>
      <c r="G2909" t="n">
        <v>0.5138594471651394</v>
      </c>
      <c r="H2909" t="n">
        <v>0.0164354857922042</v>
      </c>
      <c r="I2909" t="n">
        <v>0.1610837652166532</v>
      </c>
      <c r="J2909" t="n">
        <v>0.0274769114782936</v>
      </c>
      <c r="K2909" t="n">
        <v>0.5962840744674328</v>
      </c>
      <c r="L2909" t="b">
        <v>0</v>
      </c>
      <c r="M2909" t="b">
        <v>0</v>
      </c>
      <c r="N2909" t="inlineStr">
        <is>
          <t>alt</t>
        </is>
      </c>
      <c r="O2909" t="n">
        <v>40</v>
      </c>
      <c r="P2909" t="n">
        <v>0.002785</v>
      </c>
      <c r="Q2909" t="n">
        <v>90</v>
      </c>
      <c r="R2909" t="n">
        <v>0.0688</v>
      </c>
      <c r="S2909">
        <f>IMAGE("https://mitra.stanford.edu/kundaje/oak/projects/neuro-variants/variant_position/credible/roussos_2024/variant_figures/roussos_2024.childhood.GABA/rs16989137_count_position.png",4,220,900)</f>
        <v/>
      </c>
      <c r="T2909">
        <f>IMAGE("https://mitra.stanford.edu/kundaje/oak/projects/neuro-variants/variant_position/credible/roussos_2024/variant_figures/roussos_2024.childhood.GABA/rs16989137_profile_position.png",4,220,900)</f>
        <v/>
      </c>
    </row>
    <row r="2910">
      <c r="A2910" t="inlineStr">
        <is>
          <t>chr4</t>
        </is>
      </c>
      <c r="B2910" t="n">
        <v>33675316</v>
      </c>
      <c r="C2910" t="inlineStr">
        <is>
          <t>T</t>
        </is>
      </c>
      <c r="D2910" t="inlineStr">
        <is>
          <t>G</t>
        </is>
      </c>
      <c r="E2910" t="inlineStr">
        <is>
          <t>rs12649881</t>
        </is>
      </c>
      <c r="F2910" t="n">
        <v>-0.008576636219999999</v>
      </c>
      <c r="G2910" t="n">
        <v>0.6655043329875249</v>
      </c>
      <c r="H2910" t="n">
        <v>0.0362817821670958</v>
      </c>
      <c r="I2910" t="n">
        <v>0.0056418277759067</v>
      </c>
      <c r="J2910" t="n">
        <v>0.0075914640531087</v>
      </c>
      <c r="K2910" t="n">
        <v>0.7892003668719606</v>
      </c>
      <c r="L2910" t="b">
        <v>0</v>
      </c>
      <c r="M2910" t="b">
        <v>0</v>
      </c>
      <c r="N2910" t="inlineStr">
        <is>
          <t>ref</t>
        </is>
      </c>
      <c r="O2910" t="n">
        <v>-100</v>
      </c>
      <c r="P2910" t="n">
        <v>0.01028</v>
      </c>
      <c r="Q2910" t="n">
        <v>75</v>
      </c>
      <c r="R2910" t="n">
        <v>0.0408</v>
      </c>
      <c r="S2910">
        <f>IMAGE("https://mitra.stanford.edu/kundaje/oak/projects/neuro-variants/variant_position/credible/roussos_2024/variant_figures/roussos_2024.childhood.GABA/rs12649881_count_position.png",4,220,900)</f>
        <v/>
      </c>
      <c r="T2910">
        <f>IMAGE("https://mitra.stanford.edu/kundaje/oak/projects/neuro-variants/variant_position/credible/roussos_2024/variant_figures/roussos_2024.childhood.GABA/rs12649881_profile_position.png",4,220,900)</f>
        <v/>
      </c>
    </row>
    <row r="2911">
      <c r="A2911" t="inlineStr">
        <is>
          <t>chr4</t>
        </is>
      </c>
      <c r="B2911" t="n">
        <v>33677917</v>
      </c>
      <c r="C2911" t="inlineStr">
        <is>
          <t>G</t>
        </is>
      </c>
      <c r="D2911" t="inlineStr">
        <is>
          <t>A</t>
        </is>
      </c>
      <c r="E2911" t="inlineStr">
        <is>
          <t>rs28430802</t>
        </is>
      </c>
      <c r="F2911" t="n">
        <v>-0.0538434454</v>
      </c>
      <c r="G2911" t="n">
        <v>0.1258171194459964</v>
      </c>
      <c r="H2911" t="n">
        <v>0.0113861697558244</v>
      </c>
      <c r="I2911" t="n">
        <v>0.4890292687534494</v>
      </c>
      <c r="J2911" t="n">
        <v>0.003567464555716</v>
      </c>
      <c r="K2911" t="n">
        <v>0.8494421128171021</v>
      </c>
      <c r="L2911" t="b">
        <v>0</v>
      </c>
      <c r="M2911" t="b">
        <v>0</v>
      </c>
      <c r="N2911" t="inlineStr">
        <is>
          <t>ref</t>
        </is>
      </c>
      <c r="O2911" t="n">
        <v>85</v>
      </c>
      <c r="P2911" t="n">
        <v>0.00801</v>
      </c>
      <c r="Q2911" t="n">
        <v>50</v>
      </c>
      <c r="R2911" t="n">
        <v>0.1523</v>
      </c>
      <c r="S2911">
        <f>IMAGE("https://mitra.stanford.edu/kundaje/oak/projects/neuro-variants/variant_position/credible/roussos_2024/variant_figures/roussos_2024.childhood.GABA/rs28430802_count_position.png",4,220,900)</f>
        <v/>
      </c>
      <c r="T2911">
        <f>IMAGE("https://mitra.stanford.edu/kundaje/oak/projects/neuro-variants/variant_position/credible/roussos_2024/variant_figures/roussos_2024.childhood.GABA/rs28430802_profile_position.png",4,220,900)</f>
        <v/>
      </c>
    </row>
    <row r="2912">
      <c r="A2912" t="inlineStr">
        <is>
          <t>chr4</t>
        </is>
      </c>
      <c r="B2912" t="n">
        <v>33679486</v>
      </c>
      <c r="C2912" t="inlineStr">
        <is>
          <t>C</t>
        </is>
      </c>
      <c r="D2912" t="inlineStr">
        <is>
          <t>T</t>
        </is>
      </c>
      <c r="E2912" t="inlineStr">
        <is>
          <t>rs16989149</t>
        </is>
      </c>
      <c r="F2912" t="n">
        <v>0.00177737426</v>
      </c>
      <c r="G2912" t="n">
        <v>0.7123118450037565</v>
      </c>
      <c r="H2912" t="n">
        <v>0.0143060235887199</v>
      </c>
      <c r="I2912" t="n">
        <v>0.2639652327907169</v>
      </c>
      <c r="J2912" t="n">
        <v>0.05760717053046</v>
      </c>
      <c r="K2912" t="n">
        <v>0.4575613630376428</v>
      </c>
      <c r="L2912" t="b">
        <v>0</v>
      </c>
      <c r="M2912" t="b">
        <v>0</v>
      </c>
      <c r="N2912" t="inlineStr">
        <is>
          <t>alt</t>
        </is>
      </c>
      <c r="O2912" t="n">
        <v>-85</v>
      </c>
      <c r="P2912" t="n">
        <v>0.001991</v>
      </c>
      <c r="Q2912" t="n">
        <v>75</v>
      </c>
      <c r="R2912" t="n">
        <v>0.04517</v>
      </c>
      <c r="S2912">
        <f>IMAGE("https://mitra.stanford.edu/kundaje/oak/projects/neuro-variants/variant_position/credible/roussos_2024/variant_figures/roussos_2024.childhood.GABA/rs16989149_count_position.png",4,220,900)</f>
        <v/>
      </c>
      <c r="T2912">
        <f>IMAGE("https://mitra.stanford.edu/kundaje/oak/projects/neuro-variants/variant_position/credible/roussos_2024/variant_figures/roussos_2024.childhood.GABA/rs16989149_profile_position.png",4,220,900)</f>
        <v/>
      </c>
    </row>
    <row r="2913">
      <c r="A2913" t="inlineStr">
        <is>
          <t>chr4</t>
        </is>
      </c>
      <c r="B2913" t="n">
        <v>33680838</v>
      </c>
      <c r="C2913" t="inlineStr">
        <is>
          <t>G</t>
        </is>
      </c>
      <c r="D2913" t="inlineStr">
        <is>
          <t>T</t>
        </is>
      </c>
      <c r="E2913" t="inlineStr">
        <is>
          <t>rs28379456</t>
        </is>
      </c>
      <c r="F2913" t="n">
        <v>0.008488849674</v>
      </c>
      <c r="G2913" t="n">
        <v>0.6514696428165948</v>
      </c>
      <c r="H2913" t="n">
        <v>0.0217460001447952</v>
      </c>
      <c r="I2913" t="n">
        <v>0.0521516492064425</v>
      </c>
      <c r="J2913" t="n">
        <v>0.0219189126929278</v>
      </c>
      <c r="K2913" t="n">
        <v>0.6418894696240464</v>
      </c>
      <c r="L2913" t="b">
        <v>0</v>
      </c>
      <c r="M2913" t="b">
        <v>0</v>
      </c>
      <c r="N2913" t="inlineStr">
        <is>
          <t>alt</t>
        </is>
      </c>
      <c r="O2913" t="n">
        <v>100</v>
      </c>
      <c r="P2913" t="n">
        <v>0.005722</v>
      </c>
      <c r="Q2913" t="n">
        <v>95</v>
      </c>
      <c r="R2913" t="n">
        <v>0.1298</v>
      </c>
      <c r="S2913">
        <f>IMAGE("https://mitra.stanford.edu/kundaje/oak/projects/neuro-variants/variant_position/credible/roussos_2024/variant_figures/roussos_2024.childhood.GABA/rs28379456_count_position.png",4,220,900)</f>
        <v/>
      </c>
      <c r="T2913">
        <f>IMAGE("https://mitra.stanford.edu/kundaje/oak/projects/neuro-variants/variant_position/credible/roussos_2024/variant_figures/roussos_2024.childhood.GABA/rs28379456_profile_position.png",4,220,900)</f>
        <v/>
      </c>
    </row>
    <row r="2914">
      <c r="A2914" t="inlineStr">
        <is>
          <t>chr4</t>
        </is>
      </c>
      <c r="B2914" t="n">
        <v>33682286</v>
      </c>
      <c r="C2914" t="inlineStr">
        <is>
          <t>T</t>
        </is>
      </c>
      <c r="D2914" t="inlineStr">
        <is>
          <t>G</t>
        </is>
      </c>
      <c r="E2914" t="inlineStr">
        <is>
          <t>rs35071135</t>
        </is>
      </c>
      <c r="F2914" t="n">
        <v>-0.00372018306</v>
      </c>
      <c r="G2914" t="n">
        <v>0.8250056213093221</v>
      </c>
      <c r="H2914" t="n">
        <v>0.0159894839005318</v>
      </c>
      <c r="I2914" t="n">
        <v>0.1799719622021404</v>
      </c>
      <c r="J2914" t="n">
        <v>0.0530606688865154</v>
      </c>
      <c r="K2914" t="n">
        <v>0.4731288571236835</v>
      </c>
      <c r="L2914" t="b">
        <v>0</v>
      </c>
      <c r="M2914" t="b">
        <v>0</v>
      </c>
      <c r="N2914" t="inlineStr">
        <is>
          <t>ref</t>
        </is>
      </c>
      <c r="O2914" t="n">
        <v>100</v>
      </c>
      <c r="P2914" t="n">
        <v>0.007763</v>
      </c>
      <c r="Q2914" t="n">
        <v>100</v>
      </c>
      <c r="R2914" t="n">
        <v>0.1727</v>
      </c>
      <c r="S2914">
        <f>IMAGE("https://mitra.stanford.edu/kundaje/oak/projects/neuro-variants/variant_position/credible/roussos_2024/variant_figures/roussos_2024.childhood.GABA/rs35071135_count_position.png",4,220,900)</f>
        <v/>
      </c>
      <c r="T2914">
        <f>IMAGE("https://mitra.stanford.edu/kundaje/oak/projects/neuro-variants/variant_position/credible/roussos_2024/variant_figures/roussos_2024.childhood.GABA/rs35071135_profile_position.png",4,220,900)</f>
        <v/>
      </c>
    </row>
    <row r="2915">
      <c r="A2915" t="inlineStr">
        <is>
          <t>chr4</t>
        </is>
      </c>
      <c r="B2915" t="n">
        <v>33691030</v>
      </c>
      <c r="C2915" t="inlineStr">
        <is>
          <t>T</t>
        </is>
      </c>
      <c r="D2915" t="inlineStr">
        <is>
          <t>G</t>
        </is>
      </c>
      <c r="E2915" t="inlineStr">
        <is>
          <t>rs1965242</t>
        </is>
      </c>
      <c r="F2915" t="n">
        <v>0.00893914711</v>
      </c>
      <c r="G2915" t="n">
        <v>0.6674285768702963</v>
      </c>
      <c r="H2915" t="n">
        <v>0.0191966648311659</v>
      </c>
      <c r="I2915" t="n">
        <v>0.0891495577096367</v>
      </c>
      <c r="J2915" t="n">
        <v>0.0485455801972733</v>
      </c>
      <c r="K2915" t="n">
        <v>0.4926337349596114</v>
      </c>
      <c r="L2915" t="b">
        <v>0</v>
      </c>
      <c r="M2915" t="b">
        <v>0</v>
      </c>
      <c r="N2915" t="inlineStr">
        <is>
          <t>alt</t>
        </is>
      </c>
      <c r="O2915" t="n">
        <v>85</v>
      </c>
      <c r="P2915" t="n">
        <v>0.004276</v>
      </c>
      <c r="Q2915" t="n">
        <v>-50</v>
      </c>
      <c r="R2915" t="n">
        <v>0.1228</v>
      </c>
      <c r="S2915">
        <f>IMAGE("https://mitra.stanford.edu/kundaje/oak/projects/neuro-variants/variant_position/credible/roussos_2024/variant_figures/roussos_2024.childhood.GABA/rs1965242_count_position.png",4,220,900)</f>
        <v/>
      </c>
      <c r="T2915">
        <f>IMAGE("https://mitra.stanford.edu/kundaje/oak/projects/neuro-variants/variant_position/credible/roussos_2024/variant_figures/roussos_2024.childhood.GABA/rs1965242_profile_position.png",4,220,900)</f>
        <v/>
      </c>
    </row>
    <row r="2916">
      <c r="A2916" t="inlineStr">
        <is>
          <t>chr4</t>
        </is>
      </c>
      <c r="B2916" t="n">
        <v>33691708</v>
      </c>
      <c r="C2916" t="inlineStr">
        <is>
          <t>A</t>
        </is>
      </c>
      <c r="D2916" t="inlineStr">
        <is>
          <t>G</t>
        </is>
      </c>
      <c r="E2916" t="inlineStr">
        <is>
          <t>rs12641809</t>
        </is>
      </c>
      <c r="F2916" t="n">
        <v>0.00217217476</v>
      </c>
      <c r="G2916" t="n">
        <v>0.8839964576573081</v>
      </c>
      <c r="H2916" t="n">
        <v>0.0241471886092034</v>
      </c>
      <c r="I2916" t="n">
        <v>0.0332011562084809</v>
      </c>
      <c r="J2916" t="n">
        <v>0.0269188079830788</v>
      </c>
      <c r="K2916" t="n">
        <v>0.6058487880530018</v>
      </c>
      <c r="L2916" t="b">
        <v>0</v>
      </c>
      <c r="M2916" t="b">
        <v>0</v>
      </c>
      <c r="N2916" t="inlineStr">
        <is>
          <t>alt</t>
        </is>
      </c>
      <c r="O2916" t="n">
        <v>65</v>
      </c>
      <c r="P2916" t="n">
        <v>0.004333</v>
      </c>
      <c r="Q2916" t="n">
        <v>-80</v>
      </c>
      <c r="R2916" t="n">
        <v>0.04962</v>
      </c>
      <c r="S2916">
        <f>IMAGE("https://mitra.stanford.edu/kundaje/oak/projects/neuro-variants/variant_position/credible/roussos_2024/variant_figures/roussos_2024.childhood.GABA/rs12641809_count_position.png",4,220,900)</f>
        <v/>
      </c>
      <c r="T2916">
        <f>IMAGE("https://mitra.stanford.edu/kundaje/oak/projects/neuro-variants/variant_position/credible/roussos_2024/variant_figures/roussos_2024.childhood.GABA/rs12641809_profile_position.png",4,220,900)</f>
        <v/>
      </c>
    </row>
    <row r="2917">
      <c r="A2917" t="inlineStr">
        <is>
          <t>chr4</t>
        </is>
      </c>
      <c r="B2917" t="n">
        <v>33696251</v>
      </c>
      <c r="C2917" t="inlineStr">
        <is>
          <t>A</t>
        </is>
      </c>
      <c r="D2917" t="inlineStr">
        <is>
          <t>G</t>
        </is>
      </c>
      <c r="E2917" t="inlineStr">
        <is>
          <t>rs67906834</t>
        </is>
      </c>
      <c r="F2917" t="n">
        <v>0.0792845014</v>
      </c>
      <c r="G2917" t="n">
        <v>0.0518996260575587</v>
      </c>
      <c r="H2917" t="n">
        <v>0.0109261359027145</v>
      </c>
      <c r="I2917" t="n">
        <v>0.5317632385809659</v>
      </c>
      <c r="J2917" t="n">
        <v>0.0508303491026365</v>
      </c>
      <c r="K2917" t="n">
        <v>0.482153432996012</v>
      </c>
      <c r="L2917" t="b">
        <v>0</v>
      </c>
      <c r="M2917" t="b">
        <v>0</v>
      </c>
      <c r="N2917" t="inlineStr">
        <is>
          <t>alt</t>
        </is>
      </c>
      <c r="O2917" t="n">
        <v>90</v>
      </c>
      <c r="P2917" t="n">
        <v>0.00496</v>
      </c>
      <c r="Q2917" t="n">
        <v>25</v>
      </c>
      <c r="R2917" t="n">
        <v>0.02246</v>
      </c>
      <c r="S2917">
        <f>IMAGE("https://mitra.stanford.edu/kundaje/oak/projects/neuro-variants/variant_position/credible/roussos_2024/variant_figures/roussos_2024.childhood.GABA/rs67906834_count_position.png",4,220,900)</f>
        <v/>
      </c>
      <c r="T2917">
        <f>IMAGE("https://mitra.stanford.edu/kundaje/oak/projects/neuro-variants/variant_position/credible/roussos_2024/variant_figures/roussos_2024.childhood.GABA/rs67906834_profile_position.png",4,220,900)</f>
        <v/>
      </c>
    </row>
    <row r="2918">
      <c r="A2918" t="inlineStr">
        <is>
          <t>chr4</t>
        </is>
      </c>
      <c r="B2918" t="n">
        <v>33699839</v>
      </c>
      <c r="C2918" t="inlineStr">
        <is>
          <t>G</t>
        </is>
      </c>
      <c r="D2918" t="inlineStr">
        <is>
          <t>A</t>
        </is>
      </c>
      <c r="E2918" t="inlineStr">
        <is>
          <t>rs73127069</t>
        </is>
      </c>
      <c r="F2918" t="n">
        <v>-0.0527460745999999</v>
      </c>
      <c r="G2918" t="n">
        <v>0.1311999540591835</v>
      </c>
      <c r="H2918" t="n">
        <v>0.0137048814373017</v>
      </c>
      <c r="I2918" t="n">
        <v>0.3029199842728418</v>
      </c>
      <c r="J2918" t="n">
        <v>0.0726665410148478</v>
      </c>
      <c r="K2918" t="n">
        <v>0.4438313038316028</v>
      </c>
      <c r="L2918" t="b">
        <v>0</v>
      </c>
      <c r="M2918" t="b">
        <v>0</v>
      </c>
      <c r="N2918" t="inlineStr">
        <is>
          <t>ref</t>
        </is>
      </c>
      <c r="O2918" t="n">
        <v>-100</v>
      </c>
      <c r="P2918" t="n">
        <v>0.00291</v>
      </c>
      <c r="Q2918" t="n">
        <v>-35</v>
      </c>
      <c r="R2918" t="n">
        <v>0.003418</v>
      </c>
      <c r="S2918">
        <f>IMAGE("https://mitra.stanford.edu/kundaje/oak/projects/neuro-variants/variant_position/credible/roussos_2024/variant_figures/roussos_2024.childhood.GABA/rs73127069_count_position.png",4,220,900)</f>
        <v/>
      </c>
      <c r="T2918">
        <f>IMAGE("https://mitra.stanford.edu/kundaje/oak/projects/neuro-variants/variant_position/credible/roussos_2024/variant_figures/roussos_2024.childhood.GABA/rs73127069_profile_position.png",4,220,900)</f>
        <v/>
      </c>
    </row>
    <row r="2919">
      <c r="A2919" t="inlineStr">
        <is>
          <t>chr4</t>
        </is>
      </c>
      <c r="B2919" t="n">
        <v>33702967</v>
      </c>
      <c r="C2919" t="inlineStr">
        <is>
          <t>A</t>
        </is>
      </c>
      <c r="D2919" t="inlineStr">
        <is>
          <t>G</t>
        </is>
      </c>
      <c r="E2919" t="inlineStr">
        <is>
          <t>rs67509867</t>
        </is>
      </c>
      <c r="F2919" t="n">
        <v>0.0342911806</v>
      </c>
      <c r="G2919" t="n">
        <v>0.2468976945239269</v>
      </c>
      <c r="H2919" t="n">
        <v>0.011453596101087</v>
      </c>
      <c r="I2919" t="n">
        <v>0.4827011412279499</v>
      </c>
      <c r="J2919" t="n">
        <v>0.0127117756696194</v>
      </c>
      <c r="K2919" t="n">
        <v>0.7079673075644963</v>
      </c>
      <c r="L2919" t="b">
        <v>0</v>
      </c>
      <c r="M2919" t="b">
        <v>0</v>
      </c>
      <c r="N2919" t="inlineStr">
        <is>
          <t>alt</t>
        </is>
      </c>
      <c r="O2919" t="n">
        <v>100</v>
      </c>
      <c r="P2919" t="n">
        <v>0.003258</v>
      </c>
      <c r="Q2919" t="n">
        <v>-100</v>
      </c>
      <c r="R2919" t="n">
        <v>0.10645</v>
      </c>
      <c r="S2919">
        <f>IMAGE("https://mitra.stanford.edu/kundaje/oak/projects/neuro-variants/variant_position/credible/roussos_2024/variant_figures/roussos_2024.childhood.GABA/rs67509867_count_position.png",4,220,900)</f>
        <v/>
      </c>
      <c r="T2919">
        <f>IMAGE("https://mitra.stanford.edu/kundaje/oak/projects/neuro-variants/variant_position/credible/roussos_2024/variant_figures/roussos_2024.childhood.GABA/rs67509867_profile_position.png",4,220,900)</f>
        <v/>
      </c>
    </row>
    <row r="2920">
      <c r="A2920" t="inlineStr">
        <is>
          <t>chr4</t>
        </is>
      </c>
      <c r="B2920" t="n">
        <v>33703438</v>
      </c>
      <c r="C2920" t="inlineStr">
        <is>
          <t>A</t>
        </is>
      </c>
      <c r="D2920" t="inlineStr">
        <is>
          <t>G</t>
        </is>
      </c>
      <c r="E2920" t="inlineStr">
        <is>
          <t>rs10019596</t>
        </is>
      </c>
      <c r="F2920" t="n">
        <v>0.1602043799999999</v>
      </c>
      <c r="G2920" t="n">
        <v>0.009799078785374201</v>
      </c>
      <c r="H2920" t="n">
        <v>0.0239009043793222</v>
      </c>
      <c r="I2920" t="n">
        <v>0.0371252968135905</v>
      </c>
      <c r="J2920" t="n">
        <v>0.0292988628510397</v>
      </c>
      <c r="K2920" t="n">
        <v>0.5872419385489839</v>
      </c>
      <c r="L2920" t="b">
        <v>1</v>
      </c>
      <c r="M2920" t="b">
        <v>1</v>
      </c>
      <c r="N2920" t="inlineStr">
        <is>
          <t>alt</t>
        </is>
      </c>
      <c r="O2920" t="n">
        <v>0</v>
      </c>
      <c r="P2920" t="n">
        <v>0</v>
      </c>
      <c r="Q2920" t="n">
        <v>-5</v>
      </c>
      <c r="R2920" t="n">
        <v>0.006836</v>
      </c>
      <c r="S2920">
        <f>IMAGE("https://mitra.stanford.edu/kundaje/oak/projects/neuro-variants/variant_position/credible/roussos_2024/variant_figures/roussos_2024.childhood.GABA/rs10019596_count_position.png",4,220,900)</f>
        <v/>
      </c>
      <c r="T2920">
        <f>IMAGE("https://mitra.stanford.edu/kundaje/oak/projects/neuro-variants/variant_position/credible/roussos_2024/variant_figures/roussos_2024.childhood.GABA/rs10019596_profile_position.png",4,220,900)</f>
        <v/>
      </c>
    </row>
    <row r="2921">
      <c r="A2921" t="inlineStr">
        <is>
          <t>chr4</t>
        </is>
      </c>
      <c r="B2921" t="n">
        <v>33704374</v>
      </c>
      <c r="C2921" t="inlineStr">
        <is>
          <t>T</t>
        </is>
      </c>
      <c r="D2921" t="inlineStr">
        <is>
          <t>G</t>
        </is>
      </c>
      <c r="E2921" t="inlineStr">
        <is>
          <t>rs13130383</t>
        </is>
      </c>
      <c r="F2921" t="n">
        <v>0.4502687000000001</v>
      </c>
      <c r="G2921" t="n">
        <v>0.0004193728995414</v>
      </c>
      <c r="H2921" t="n">
        <v>0.1058206639758842</v>
      </c>
      <c r="I2921" t="n">
        <v>0.0002368098715306</v>
      </c>
      <c r="J2921" t="n">
        <v>0.0114301271177566</v>
      </c>
      <c r="K2921" t="n">
        <v>0.7482896834834769</v>
      </c>
      <c r="L2921" t="b">
        <v>1</v>
      </c>
      <c r="M2921" t="b">
        <v>1</v>
      </c>
      <c r="N2921" t="inlineStr">
        <is>
          <t>alt</t>
        </is>
      </c>
      <c r="O2921" t="n">
        <v>-70</v>
      </c>
      <c r="P2921" t="n">
        <v>0.0027</v>
      </c>
      <c r="Q2921" t="n">
        <v>-80</v>
      </c>
      <c r="R2921" t="n">
        <v>0.05005</v>
      </c>
      <c r="S2921">
        <f>IMAGE("https://mitra.stanford.edu/kundaje/oak/projects/neuro-variants/variant_position/credible/roussos_2024/variant_figures/roussos_2024.childhood.GABA/rs13130383_count_position.png",4,220,900)</f>
        <v/>
      </c>
      <c r="T2921">
        <f>IMAGE("https://mitra.stanford.edu/kundaje/oak/projects/neuro-variants/variant_position/credible/roussos_2024/variant_figures/roussos_2024.childhood.GABA/rs13130383_profile_position.png",4,220,900)</f>
        <v/>
      </c>
    </row>
    <row r="2922">
      <c r="A2922" t="inlineStr">
        <is>
          <t>chr4</t>
        </is>
      </c>
      <c r="B2922" t="n">
        <v>33707202</v>
      </c>
      <c r="C2922" t="inlineStr">
        <is>
          <t>A</t>
        </is>
      </c>
      <c r="D2922" t="inlineStr">
        <is>
          <t>C</t>
        </is>
      </c>
      <c r="E2922" t="inlineStr">
        <is>
          <t>rs34151233</t>
        </is>
      </c>
      <c r="F2922" t="n">
        <v>0.0041764933199999</v>
      </c>
      <c r="G2922" t="n">
        <v>0.7799018587022484</v>
      </c>
      <c r="H2922" t="n">
        <v>0.0393343315309515</v>
      </c>
      <c r="I2922" t="n">
        <v>0.0040090444276141</v>
      </c>
      <c r="J2922" t="n">
        <v>0.0003853322443508</v>
      </c>
      <c r="K2922" t="n">
        <v>0.9443154194312536</v>
      </c>
      <c r="L2922" t="b">
        <v>0</v>
      </c>
      <c r="M2922" t="b">
        <v>0</v>
      </c>
      <c r="N2922" t="inlineStr">
        <is>
          <t>alt</t>
        </is>
      </c>
      <c r="O2922" t="n">
        <v>100</v>
      </c>
      <c r="P2922" t="n">
        <v>0.1565</v>
      </c>
      <c r="Q2922" t="n">
        <v>100</v>
      </c>
      <c r="R2922" t="n">
        <v>0.036</v>
      </c>
      <c r="S2922">
        <f>IMAGE("https://mitra.stanford.edu/kundaje/oak/projects/neuro-variants/variant_position/credible/roussos_2024/variant_figures/roussos_2024.childhood.GABA/rs34151233_count_position.png",4,220,900)</f>
        <v/>
      </c>
      <c r="T2922">
        <f>IMAGE("https://mitra.stanford.edu/kundaje/oak/projects/neuro-variants/variant_position/credible/roussos_2024/variant_figures/roussos_2024.childhood.GABA/rs34151233_profile_position.png",4,220,900)</f>
        <v/>
      </c>
    </row>
    <row r="2923">
      <c r="A2923" t="inlineStr">
        <is>
          <t>chr4</t>
        </is>
      </c>
      <c r="B2923" t="n">
        <v>33709195</v>
      </c>
      <c r="C2923" t="inlineStr">
        <is>
          <t>G</t>
        </is>
      </c>
      <c r="D2923" t="inlineStr">
        <is>
          <t>T</t>
        </is>
      </c>
      <c r="E2923" t="inlineStr">
        <is>
          <t>rs10025016</t>
        </is>
      </c>
      <c r="F2923" t="n">
        <v>-0.0164886970999999</v>
      </c>
      <c r="G2923" t="n">
        <v>0.5099794429251713</v>
      </c>
      <c r="H2923" t="n">
        <v>0.0241226810477739</v>
      </c>
      <c r="I2923" t="n">
        <v>0.0333189680631172</v>
      </c>
      <c r="J2923" t="n">
        <v>0.0035245335176226</v>
      </c>
      <c r="K2923" t="n">
        <v>0.8494103414533337</v>
      </c>
      <c r="L2923" t="b">
        <v>0</v>
      </c>
      <c r="M2923" t="b">
        <v>0</v>
      </c>
      <c r="N2923" t="inlineStr">
        <is>
          <t>ref</t>
        </is>
      </c>
      <c r="O2923" t="n">
        <v>30</v>
      </c>
      <c r="P2923" t="n">
        <v>0.001545</v>
      </c>
      <c r="Q2923" t="n">
        <v>-45</v>
      </c>
      <c r="R2923" t="n">
        <v>0.079</v>
      </c>
      <c r="S2923">
        <f>IMAGE("https://mitra.stanford.edu/kundaje/oak/projects/neuro-variants/variant_position/credible/roussos_2024/variant_figures/roussos_2024.childhood.GABA/rs10025016_count_position.png",4,220,900)</f>
        <v/>
      </c>
      <c r="T2923">
        <f>IMAGE("https://mitra.stanford.edu/kundaje/oak/projects/neuro-variants/variant_position/credible/roussos_2024/variant_figures/roussos_2024.childhood.GABA/rs10025016_profile_position.png",4,220,900)</f>
        <v/>
      </c>
    </row>
    <row r="2924">
      <c r="A2924" t="inlineStr">
        <is>
          <t>chr4</t>
        </is>
      </c>
      <c r="B2924" t="n">
        <v>33710208</v>
      </c>
      <c r="C2924" t="inlineStr">
        <is>
          <t>G</t>
        </is>
      </c>
      <c r="D2924" t="inlineStr">
        <is>
          <t>A</t>
        </is>
      </c>
      <c r="E2924" t="inlineStr">
        <is>
          <t>rs34365744</t>
        </is>
      </c>
      <c r="F2924" t="n">
        <v>-0.06279437860000001</v>
      </c>
      <c r="G2924" t="n">
        <v>0.0929611568190397</v>
      </c>
      <c r="H2924" t="n">
        <v>0.0147052006161514</v>
      </c>
      <c r="I2924" t="n">
        <v>0.2412011986435946</v>
      </c>
      <c r="J2924" t="n">
        <v>0.052918263491864</v>
      </c>
      <c r="K2924" t="n">
        <v>0.5057789917603948</v>
      </c>
      <c r="L2924" t="b">
        <v>0</v>
      </c>
      <c r="M2924" t="b">
        <v>0</v>
      </c>
      <c r="N2924" t="inlineStr">
        <is>
          <t>ref</t>
        </is>
      </c>
      <c r="O2924" t="n">
        <v>75</v>
      </c>
      <c r="P2924" t="n">
        <v>0.001335</v>
      </c>
      <c r="Q2924" t="n">
        <v>-95</v>
      </c>
      <c r="R2924" t="n">
        <v>0.0827</v>
      </c>
      <c r="S2924">
        <f>IMAGE("https://mitra.stanford.edu/kundaje/oak/projects/neuro-variants/variant_position/credible/roussos_2024/variant_figures/roussos_2024.childhood.GABA/rs34365744_count_position.png",4,220,900)</f>
        <v/>
      </c>
      <c r="T2924">
        <f>IMAGE("https://mitra.stanford.edu/kundaje/oak/projects/neuro-variants/variant_position/credible/roussos_2024/variant_figures/roussos_2024.childhood.GABA/rs34365744_profile_position.png",4,220,900)</f>
        <v/>
      </c>
    </row>
    <row r="2925">
      <c r="A2925" t="inlineStr">
        <is>
          <t>chr4</t>
        </is>
      </c>
      <c r="B2925" t="n">
        <v>33713717</v>
      </c>
      <c r="C2925" t="inlineStr">
        <is>
          <t>A</t>
        </is>
      </c>
      <c r="D2925" t="inlineStr">
        <is>
          <t>G</t>
        </is>
      </c>
      <c r="E2925" t="inlineStr">
        <is>
          <t>rs4475134</t>
        </is>
      </c>
      <c r="F2925" t="n">
        <v>-0.01067604692</v>
      </c>
      <c r="G2925" t="n">
        <v>0.550799639459596</v>
      </c>
      <c r="H2925" t="n">
        <v>0.0071639904863603</v>
      </c>
      <c r="I2925" t="n">
        <v>0.934722720999562</v>
      </c>
      <c r="J2925" t="n">
        <v>0.0212403928713534</v>
      </c>
      <c r="K2925" t="n">
        <v>0.6390160167834514</v>
      </c>
      <c r="L2925" t="b">
        <v>0</v>
      </c>
      <c r="M2925" t="b">
        <v>0</v>
      </c>
      <c r="N2925" t="inlineStr">
        <is>
          <t>ref</t>
        </is>
      </c>
      <c r="O2925" t="n">
        <v>80</v>
      </c>
      <c r="P2925" t="n">
        <v>0.004883</v>
      </c>
      <c r="Q2925" t="n">
        <v>-100</v>
      </c>
      <c r="R2925" t="n">
        <v>0.06616</v>
      </c>
      <c r="S2925">
        <f>IMAGE("https://mitra.stanford.edu/kundaje/oak/projects/neuro-variants/variant_position/credible/roussos_2024/variant_figures/roussos_2024.childhood.GABA/rs4475134_count_position.png",4,220,900)</f>
        <v/>
      </c>
      <c r="T2925">
        <f>IMAGE("https://mitra.stanford.edu/kundaje/oak/projects/neuro-variants/variant_position/credible/roussos_2024/variant_figures/roussos_2024.childhood.GABA/rs4475134_profile_position.png",4,220,900)</f>
        <v/>
      </c>
    </row>
    <row r="2926">
      <c r="A2926" t="inlineStr">
        <is>
          <t>chr4</t>
        </is>
      </c>
      <c r="B2926" t="n">
        <v>33714149</v>
      </c>
      <c r="C2926" t="inlineStr">
        <is>
          <t>A</t>
        </is>
      </c>
      <c r="D2926" t="inlineStr">
        <is>
          <t>C</t>
        </is>
      </c>
      <c r="E2926" t="inlineStr">
        <is>
          <t>rs9992483</t>
        </is>
      </c>
      <c r="F2926" t="n">
        <v>-0.0268676922</v>
      </c>
      <c r="G2926" t="n">
        <v>0.3384765634767584</v>
      </c>
      <c r="H2926" t="n">
        <v>0.022655773397121</v>
      </c>
      <c r="I2926" t="n">
        <v>0.0444037736692883</v>
      </c>
      <c r="J2926" t="n">
        <v>0.0029266402797846</v>
      </c>
      <c r="K2926" t="n">
        <v>0.8566129777112026</v>
      </c>
      <c r="L2926" t="b">
        <v>0</v>
      </c>
      <c r="M2926" t="b">
        <v>0</v>
      </c>
      <c r="N2926" t="inlineStr">
        <is>
          <t>ref</t>
        </is>
      </c>
      <c r="O2926" t="n">
        <v>-45</v>
      </c>
      <c r="P2926" t="n">
        <v>0.00393</v>
      </c>
      <c r="Q2926" t="n">
        <v>100</v>
      </c>
      <c r="R2926" t="n">
        <v>0.0475</v>
      </c>
      <c r="S2926">
        <f>IMAGE("https://mitra.stanford.edu/kundaje/oak/projects/neuro-variants/variant_position/credible/roussos_2024/variant_figures/roussos_2024.childhood.GABA/rs9992483_count_position.png",4,220,900)</f>
        <v/>
      </c>
      <c r="T2926">
        <f>IMAGE("https://mitra.stanford.edu/kundaje/oak/projects/neuro-variants/variant_position/credible/roussos_2024/variant_figures/roussos_2024.childhood.GABA/rs9992483_profile_position.png",4,220,900)</f>
        <v/>
      </c>
    </row>
    <row r="2927">
      <c r="A2927" t="inlineStr">
        <is>
          <t>chr4</t>
        </is>
      </c>
      <c r="B2927" t="n">
        <v>33714463</v>
      </c>
      <c r="C2927" t="inlineStr">
        <is>
          <t>T</t>
        </is>
      </c>
      <c r="D2927" t="inlineStr">
        <is>
          <t>G</t>
        </is>
      </c>
      <c r="E2927" t="inlineStr">
        <is>
          <t>rs9995588</t>
        </is>
      </c>
      <c r="F2927" t="n">
        <v>-0.01544048894</v>
      </c>
      <c r="G2927" t="n">
        <v>0.5200238984485949</v>
      </c>
      <c r="H2927" t="n">
        <v>0.0108895113271008</v>
      </c>
      <c r="I2927" t="n">
        <v>0.5479013080413124</v>
      </c>
      <c r="J2927" t="n">
        <v>0.004464827961718</v>
      </c>
      <c r="K2927" t="n">
        <v>0.8217212519755632</v>
      </c>
      <c r="L2927" t="b">
        <v>0</v>
      </c>
      <c r="M2927" t="b">
        <v>0</v>
      </c>
      <c r="N2927" t="inlineStr">
        <is>
          <t>ref</t>
        </is>
      </c>
      <c r="O2927" t="n">
        <v>95</v>
      </c>
      <c r="P2927" t="n">
        <v>0.0007324</v>
      </c>
      <c r="Q2927" t="n">
        <v>45</v>
      </c>
      <c r="R2927" t="n">
        <v>0.02971</v>
      </c>
      <c r="S2927">
        <f>IMAGE("https://mitra.stanford.edu/kundaje/oak/projects/neuro-variants/variant_position/credible/roussos_2024/variant_figures/roussos_2024.childhood.GABA/rs9995588_count_position.png",4,220,900)</f>
        <v/>
      </c>
      <c r="T2927">
        <f>IMAGE("https://mitra.stanford.edu/kundaje/oak/projects/neuro-variants/variant_position/credible/roussos_2024/variant_figures/roussos_2024.childhood.GABA/rs9995588_profile_position.png",4,220,900)</f>
        <v/>
      </c>
    </row>
    <row r="2928">
      <c r="A2928" t="inlineStr">
        <is>
          <t>chr4</t>
        </is>
      </c>
      <c r="B2928" t="n">
        <v>33717975</v>
      </c>
      <c r="C2928" t="inlineStr">
        <is>
          <t>C</t>
        </is>
      </c>
      <c r="D2928" t="inlineStr">
        <is>
          <t>T</t>
        </is>
      </c>
      <c r="E2928" t="inlineStr">
        <is>
          <t>rs1596581</t>
        </is>
      </c>
      <c r="F2928" t="n">
        <v>-0.01667588008</v>
      </c>
      <c r="G2928" t="n">
        <v>0.494506082793413</v>
      </c>
      <c r="H2928" t="n">
        <v>0.0134623434387664</v>
      </c>
      <c r="I2928" t="n">
        <v>0.3163757698341249</v>
      </c>
      <c r="J2928" t="n">
        <v>0.002644970785952</v>
      </c>
      <c r="K2928" t="n">
        <v>0.8675668497389405</v>
      </c>
      <c r="L2928" t="b">
        <v>0</v>
      </c>
      <c r="M2928" t="b">
        <v>0</v>
      </c>
      <c r="N2928" t="inlineStr">
        <is>
          <t>ref</t>
        </is>
      </c>
      <c r="O2928" t="n">
        <v>100</v>
      </c>
      <c r="P2928" t="n">
        <v>0.05353</v>
      </c>
      <c r="Q2928" t="n">
        <v>-40</v>
      </c>
      <c r="R2928" t="n">
        <v>0.03296</v>
      </c>
      <c r="S2928">
        <f>IMAGE("https://mitra.stanford.edu/kundaje/oak/projects/neuro-variants/variant_position/credible/roussos_2024/variant_figures/roussos_2024.childhood.GABA/rs1596581_count_position.png",4,220,900)</f>
        <v/>
      </c>
      <c r="T2928">
        <f>IMAGE("https://mitra.stanford.edu/kundaje/oak/projects/neuro-variants/variant_position/credible/roussos_2024/variant_figures/roussos_2024.childhood.GABA/rs1596581_profile_position.png",4,220,900)</f>
        <v/>
      </c>
    </row>
    <row r="2929">
      <c r="A2929" t="inlineStr">
        <is>
          <t>chr4</t>
        </is>
      </c>
      <c r="B2929" t="n">
        <v>33729254</v>
      </c>
      <c r="C2929" t="inlineStr">
        <is>
          <t>G</t>
        </is>
      </c>
      <c r="D2929" t="inlineStr">
        <is>
          <t>C</t>
        </is>
      </c>
      <c r="E2929" t="inlineStr">
        <is>
          <t>rs67655711</t>
        </is>
      </c>
      <c r="F2929" t="n">
        <v>-0.0243798294</v>
      </c>
      <c r="G2929" t="n">
        <v>0.3652761553179865</v>
      </c>
      <c r="H2929" t="n">
        <v>0.0118784698393049</v>
      </c>
      <c r="I2929" t="n">
        <v>0.4374627618878886</v>
      </c>
      <c r="J2929" t="n">
        <v>0.0008806098301605</v>
      </c>
      <c r="K2929" t="n">
        <v>0.9286654896110822</v>
      </c>
      <c r="L2929" t="b">
        <v>0</v>
      </c>
      <c r="M2929" t="b">
        <v>0</v>
      </c>
      <c r="N2929" t="inlineStr">
        <is>
          <t>ref</t>
        </is>
      </c>
      <c r="O2929" t="n">
        <v>45</v>
      </c>
      <c r="P2929" t="n">
        <v>0.001574</v>
      </c>
      <c r="Q2929" t="n">
        <v>-70</v>
      </c>
      <c r="R2929" t="n">
        <v>0.03812</v>
      </c>
      <c r="S2929">
        <f>IMAGE("https://mitra.stanford.edu/kundaje/oak/projects/neuro-variants/variant_position/credible/roussos_2024/variant_figures/roussos_2024.childhood.GABA/rs67655711_count_position.png",4,220,900)</f>
        <v/>
      </c>
      <c r="T2929">
        <f>IMAGE("https://mitra.stanford.edu/kundaje/oak/projects/neuro-variants/variant_position/credible/roussos_2024/variant_figures/roussos_2024.childhood.GABA/rs67655711_profile_position.png",4,220,900)</f>
        <v/>
      </c>
    </row>
    <row r="2930">
      <c r="A2930" t="inlineStr">
        <is>
          <t>chr4</t>
        </is>
      </c>
      <c r="B2930" t="n">
        <v>33729400</v>
      </c>
      <c r="C2930" t="inlineStr">
        <is>
          <t>C</t>
        </is>
      </c>
      <c r="D2930" t="inlineStr">
        <is>
          <t>T</t>
        </is>
      </c>
      <c r="E2930" t="inlineStr">
        <is>
          <t>rs35304177</t>
        </is>
      </c>
      <c r="F2930" t="n">
        <v>-0.0379182824</v>
      </c>
      <c r="G2930" t="n">
        <v>0.2197595511741653</v>
      </c>
      <c r="H2930" t="n">
        <v>0.0195599992015038</v>
      </c>
      <c r="I2930" t="n">
        <v>0.0868200515658034</v>
      </c>
      <c r="J2930" t="n">
        <v>0.0010376746036731</v>
      </c>
      <c r="K2930" t="n">
        <v>0.9231857254052416</v>
      </c>
      <c r="L2930" t="b">
        <v>0</v>
      </c>
      <c r="M2930" t="b">
        <v>0</v>
      </c>
      <c r="N2930" t="inlineStr">
        <is>
          <t>ref</t>
        </is>
      </c>
      <c r="O2930" t="n">
        <v>-100</v>
      </c>
      <c r="P2930" t="n">
        <v>0.00532</v>
      </c>
      <c r="Q2930" t="n">
        <v>-80</v>
      </c>
      <c r="R2930" t="n">
        <v>0.05322</v>
      </c>
      <c r="S2930">
        <f>IMAGE("https://mitra.stanford.edu/kundaje/oak/projects/neuro-variants/variant_position/credible/roussos_2024/variant_figures/roussos_2024.childhood.GABA/rs35304177_count_position.png",4,220,900)</f>
        <v/>
      </c>
      <c r="T2930">
        <f>IMAGE("https://mitra.stanford.edu/kundaje/oak/projects/neuro-variants/variant_position/credible/roussos_2024/variant_figures/roussos_2024.childhood.GABA/rs35304177_profile_position.png",4,220,900)</f>
        <v/>
      </c>
    </row>
    <row r="2931">
      <c r="A2931" t="inlineStr">
        <is>
          <t>chr4</t>
        </is>
      </c>
      <c r="B2931" t="n">
        <v>33730103</v>
      </c>
      <c r="C2931" t="inlineStr">
        <is>
          <t>T</t>
        </is>
      </c>
      <c r="D2931" t="inlineStr">
        <is>
          <t>C</t>
        </is>
      </c>
      <c r="E2931" t="inlineStr">
        <is>
          <t>rs28530710</t>
        </is>
      </c>
      <c r="F2931" t="n">
        <v>-0.0101990997</v>
      </c>
      <c r="G2931" t="n">
        <v>0.6330337600417525</v>
      </c>
      <c r="H2931" t="n">
        <v>0.0162392914856524</v>
      </c>
      <c r="I2931" t="n">
        <v>0.1699325986562266</v>
      </c>
      <c r="J2931" t="n">
        <v>0.0125034030700927</v>
      </c>
      <c r="K2931" t="n">
        <v>0.7216194530127967</v>
      </c>
      <c r="L2931" t="b">
        <v>0</v>
      </c>
      <c r="M2931" t="b">
        <v>0</v>
      </c>
      <c r="N2931" t="inlineStr">
        <is>
          <t>ref</t>
        </is>
      </c>
      <c r="O2931" t="n">
        <v>-85</v>
      </c>
      <c r="P2931" t="n">
        <v>0.00406</v>
      </c>
      <c r="Q2931" t="n">
        <v>-45</v>
      </c>
      <c r="R2931" t="n">
        <v>0.01747</v>
      </c>
      <c r="S2931">
        <f>IMAGE("https://mitra.stanford.edu/kundaje/oak/projects/neuro-variants/variant_position/credible/roussos_2024/variant_figures/roussos_2024.childhood.GABA/rs28530710_count_position.png",4,220,900)</f>
        <v/>
      </c>
      <c r="T2931">
        <f>IMAGE("https://mitra.stanford.edu/kundaje/oak/projects/neuro-variants/variant_position/credible/roussos_2024/variant_figures/roussos_2024.childhood.GABA/rs28530710_profile_position.png",4,220,900)</f>
        <v/>
      </c>
    </row>
    <row r="2932">
      <c r="A2932" t="inlineStr">
        <is>
          <t>chr4</t>
        </is>
      </c>
      <c r="B2932" t="n">
        <v>33731591</v>
      </c>
      <c r="C2932" t="inlineStr">
        <is>
          <t>C</t>
        </is>
      </c>
      <c r="D2932" t="inlineStr">
        <is>
          <t>T</t>
        </is>
      </c>
      <c r="E2932" t="inlineStr">
        <is>
          <t>rs28801803</t>
        </is>
      </c>
      <c r="F2932" t="n">
        <v>0.00023837076</v>
      </c>
      <c r="G2932" t="n">
        <v>0.6717524836410742</v>
      </c>
      <c r="H2932" t="n">
        <v>0.009264171984275199</v>
      </c>
      <c r="I2932" t="n">
        <v>0.7175351230778199</v>
      </c>
      <c r="J2932" t="n">
        <v>0.1112877217231052</v>
      </c>
      <c r="K2932" t="n">
        <v>0.3493813195363939</v>
      </c>
      <c r="L2932" t="b">
        <v>0</v>
      </c>
      <c r="M2932" t="b">
        <v>0</v>
      </c>
      <c r="N2932" t="inlineStr">
        <is>
          <t>alt</t>
        </is>
      </c>
      <c r="O2932" t="n">
        <v>-95</v>
      </c>
      <c r="P2932" t="n">
        <v>0.001099</v>
      </c>
      <c r="Q2932" t="n">
        <v>30</v>
      </c>
      <c r="R2932" t="n">
        <v>0.05273</v>
      </c>
      <c r="S2932">
        <f>IMAGE("https://mitra.stanford.edu/kundaje/oak/projects/neuro-variants/variant_position/credible/roussos_2024/variant_figures/roussos_2024.childhood.GABA/rs28801803_count_position.png",4,220,900)</f>
        <v/>
      </c>
      <c r="T2932">
        <f>IMAGE("https://mitra.stanford.edu/kundaje/oak/projects/neuro-variants/variant_position/credible/roussos_2024/variant_figures/roussos_2024.childhood.GABA/rs28801803_profile_position.png",4,220,900)</f>
        <v/>
      </c>
    </row>
    <row r="2933">
      <c r="A2933" t="inlineStr">
        <is>
          <t>chr4</t>
        </is>
      </c>
      <c r="B2933" t="n">
        <v>33732965</v>
      </c>
      <c r="C2933" t="inlineStr">
        <is>
          <t>T</t>
        </is>
      </c>
      <c r="D2933" t="inlineStr">
        <is>
          <t>C</t>
        </is>
      </c>
      <c r="E2933" t="inlineStr">
        <is>
          <t>rs28780405</t>
        </is>
      </c>
      <c r="F2933" t="n">
        <v>-0.1475432252</v>
      </c>
      <c r="G2933" t="n">
        <v>0.0111385151857472</v>
      </c>
      <c r="H2933" t="n">
        <v>0.0338350872730888</v>
      </c>
      <c r="I2933" t="n">
        <v>0.008177775124461001</v>
      </c>
      <c r="J2933" t="n">
        <v>0.0477487382463193</v>
      </c>
      <c r="K2933" t="n">
        <v>0.5418994532627854</v>
      </c>
      <c r="L2933" t="b">
        <v>1</v>
      </c>
      <c r="M2933" t="b">
        <v>0</v>
      </c>
      <c r="N2933" t="inlineStr">
        <is>
          <t>ref</t>
        </is>
      </c>
      <c r="O2933" t="n">
        <v>70</v>
      </c>
      <c r="P2933" t="n">
        <v>0.0003662</v>
      </c>
      <c r="Q2933" t="n">
        <v>85</v>
      </c>
      <c r="R2933" t="n">
        <v>0.04443</v>
      </c>
      <c r="S2933">
        <f>IMAGE("https://mitra.stanford.edu/kundaje/oak/projects/neuro-variants/variant_position/credible/roussos_2024/variant_figures/roussos_2024.childhood.GABA/rs28780405_count_position.png",4,220,900)</f>
        <v/>
      </c>
      <c r="T2933">
        <f>IMAGE("https://mitra.stanford.edu/kundaje/oak/projects/neuro-variants/variant_position/credible/roussos_2024/variant_figures/roussos_2024.childhood.GABA/rs28780405_profile_position.png",4,220,900)</f>
        <v/>
      </c>
    </row>
    <row r="2934">
      <c r="A2934" t="inlineStr">
        <is>
          <t>chr4</t>
        </is>
      </c>
      <c r="B2934" t="n">
        <v>33733709</v>
      </c>
      <c r="C2934" t="inlineStr">
        <is>
          <t>G</t>
        </is>
      </c>
      <c r="D2934" t="inlineStr">
        <is>
          <t>A</t>
        </is>
      </c>
      <c r="E2934" t="inlineStr">
        <is>
          <t>rs61139508</t>
        </is>
      </c>
      <c r="F2934" t="n">
        <v>-0.1873228039999999</v>
      </c>
      <c r="G2934" t="n">
        <v>0.0056598884727048</v>
      </c>
      <c r="H2934" t="n">
        <v>0.034149828672556</v>
      </c>
      <c r="I2934" t="n">
        <v>0.0072981070108473</v>
      </c>
      <c r="J2934" t="n">
        <v>0.0541098615735795</v>
      </c>
      <c r="K2934" t="n">
        <v>0.5019408450939962</v>
      </c>
      <c r="L2934" t="b">
        <v>1</v>
      </c>
      <c r="M2934" t="b">
        <v>1</v>
      </c>
      <c r="N2934" t="inlineStr">
        <is>
          <t>ref</t>
        </is>
      </c>
      <c r="O2934" t="n">
        <v>85</v>
      </c>
      <c r="P2934" t="n">
        <v>0.00426</v>
      </c>
      <c r="Q2934" t="n">
        <v>-10</v>
      </c>
      <c r="R2934" t="n">
        <v>0.01941</v>
      </c>
      <c r="S2934">
        <f>IMAGE("https://mitra.stanford.edu/kundaje/oak/projects/neuro-variants/variant_position/credible/roussos_2024/variant_figures/roussos_2024.childhood.GABA/rs61139508_count_position.png",4,220,900)</f>
        <v/>
      </c>
      <c r="T2934">
        <f>IMAGE("https://mitra.stanford.edu/kundaje/oak/projects/neuro-variants/variant_position/credible/roussos_2024/variant_figures/roussos_2024.childhood.GABA/rs61139508_profile_position.png",4,220,900)</f>
        <v/>
      </c>
    </row>
    <row r="2935">
      <c r="A2935" t="inlineStr">
        <is>
          <t>chr4</t>
        </is>
      </c>
      <c r="B2935" t="n">
        <v>33733813</v>
      </c>
      <c r="C2935" t="inlineStr">
        <is>
          <t>C</t>
        </is>
      </c>
      <c r="D2935" t="inlineStr">
        <is>
          <t>G</t>
        </is>
      </c>
      <c r="E2935" t="inlineStr">
        <is>
          <t>rs10017591</t>
        </is>
      </c>
      <c r="F2935" t="n">
        <v>-0.094075624</v>
      </c>
      <c r="G2935" t="n">
        <v>0.037416166103798</v>
      </c>
      <c r="H2935" t="n">
        <v>0.0168297909189224</v>
      </c>
      <c r="I2935" t="n">
        <v>0.1573473324518001</v>
      </c>
      <c r="J2935" t="n">
        <v>0.0561810223869656</v>
      </c>
      <c r="K2935" t="n">
        <v>0.4948571622762277</v>
      </c>
      <c r="L2935" t="b">
        <v>0</v>
      </c>
      <c r="M2935" t="b">
        <v>0</v>
      </c>
      <c r="N2935" t="inlineStr">
        <is>
          <t>ref</t>
        </is>
      </c>
      <c r="O2935" t="n">
        <v>-35</v>
      </c>
      <c r="P2935" t="n">
        <v>0.00477</v>
      </c>
      <c r="Q2935" t="n">
        <v>-40</v>
      </c>
      <c r="R2935" t="n">
        <v>0.026</v>
      </c>
      <c r="S2935">
        <f>IMAGE("https://mitra.stanford.edu/kundaje/oak/projects/neuro-variants/variant_position/credible/roussos_2024/variant_figures/roussos_2024.childhood.GABA/rs10017591_count_position.png",4,220,900)</f>
        <v/>
      </c>
      <c r="T2935">
        <f>IMAGE("https://mitra.stanford.edu/kundaje/oak/projects/neuro-variants/variant_position/credible/roussos_2024/variant_figures/roussos_2024.childhood.GABA/rs10017591_profile_position.png",4,220,900)</f>
        <v/>
      </c>
    </row>
    <row r="2936">
      <c r="A2936" t="inlineStr">
        <is>
          <t>chr4</t>
        </is>
      </c>
      <c r="B2936" t="n">
        <v>33735000</v>
      </c>
      <c r="C2936" t="inlineStr">
        <is>
          <t>A</t>
        </is>
      </c>
      <c r="D2936" t="inlineStr">
        <is>
          <t>G</t>
        </is>
      </c>
      <c r="E2936" t="inlineStr">
        <is>
          <t>rs28764846</t>
        </is>
      </c>
      <c r="F2936" t="n">
        <v>0.0750697849999999</v>
      </c>
      <c r="G2936" t="n">
        <v>0.0573466220307484</v>
      </c>
      <c r="H2936" t="n">
        <v>0.0178627479465347</v>
      </c>
      <c r="I2936" t="n">
        <v>0.1194379451616063</v>
      </c>
      <c r="J2936" t="n">
        <v>0.0980167954597808</v>
      </c>
      <c r="K2936" t="n">
        <v>0.3678922817488665</v>
      </c>
      <c r="L2936" t="b">
        <v>0</v>
      </c>
      <c r="M2936" t="b">
        <v>0</v>
      </c>
      <c r="N2936" t="inlineStr">
        <is>
          <t>alt</t>
        </is>
      </c>
      <c r="O2936" t="n">
        <v>90</v>
      </c>
      <c r="P2936" t="n">
        <v>0.002127</v>
      </c>
      <c r="Q2936" t="n">
        <v>-20</v>
      </c>
      <c r="R2936" t="n">
        <v>0.03052</v>
      </c>
      <c r="S2936">
        <f>IMAGE("https://mitra.stanford.edu/kundaje/oak/projects/neuro-variants/variant_position/credible/roussos_2024/variant_figures/roussos_2024.childhood.GABA/rs28764846_count_position.png",4,220,900)</f>
        <v/>
      </c>
      <c r="T2936">
        <f>IMAGE("https://mitra.stanford.edu/kundaje/oak/projects/neuro-variants/variant_position/credible/roussos_2024/variant_figures/roussos_2024.childhood.GABA/rs28764846_profile_position.png",4,220,900)</f>
        <v/>
      </c>
    </row>
    <row r="2937">
      <c r="A2937" t="inlineStr">
        <is>
          <t>chr4</t>
        </is>
      </c>
      <c r="B2937" t="n">
        <v>33739693</v>
      </c>
      <c r="C2937" t="inlineStr">
        <is>
          <t>T</t>
        </is>
      </c>
      <c r="D2937" t="inlineStr">
        <is>
          <t>A</t>
        </is>
      </c>
      <c r="E2937" t="inlineStr">
        <is>
          <t>rs9996627</t>
        </is>
      </c>
      <c r="F2937" t="n">
        <v>-0.00653921574</v>
      </c>
      <c r="G2937" t="n">
        <v>0.7544378706193378</v>
      </c>
      <c r="H2937" t="n">
        <v>0.0189575000188057</v>
      </c>
      <c r="I2937" t="n">
        <v>0.0929840166860141</v>
      </c>
      <c r="J2937" t="n">
        <v>0.0208843793847248</v>
      </c>
      <c r="K2937" t="n">
        <v>0.6398331457395696</v>
      </c>
      <c r="L2937" t="b">
        <v>0</v>
      </c>
      <c r="M2937" t="b">
        <v>0</v>
      </c>
      <c r="N2937" t="inlineStr">
        <is>
          <t>ref</t>
        </is>
      </c>
      <c r="O2937" t="n">
        <v>-100</v>
      </c>
      <c r="P2937" t="n">
        <v>0.00537</v>
      </c>
      <c r="Q2937" t="n">
        <v>-100</v>
      </c>
      <c r="R2937" t="n">
        <v>0.109</v>
      </c>
      <c r="S2937">
        <f>IMAGE("https://mitra.stanford.edu/kundaje/oak/projects/neuro-variants/variant_position/credible/roussos_2024/variant_figures/roussos_2024.childhood.GABA/rs9996627_count_position.png",4,220,900)</f>
        <v/>
      </c>
      <c r="T2937">
        <f>IMAGE("https://mitra.stanford.edu/kundaje/oak/projects/neuro-variants/variant_position/credible/roussos_2024/variant_figures/roussos_2024.childhood.GABA/rs9996627_profile_position.png",4,220,900)</f>
        <v/>
      </c>
    </row>
    <row r="2938">
      <c r="A2938" t="inlineStr">
        <is>
          <t>chr4</t>
        </is>
      </c>
      <c r="B2938" t="n">
        <v>33742285</v>
      </c>
      <c r="C2938" t="inlineStr">
        <is>
          <t>T</t>
        </is>
      </c>
      <c r="D2938" t="inlineStr">
        <is>
          <t>C</t>
        </is>
      </c>
      <c r="E2938" t="inlineStr">
        <is>
          <t>rs7674046</t>
        </is>
      </c>
      <c r="F2938" t="n">
        <v>-0.003405651692</v>
      </c>
      <c r="G2938" t="n">
        <v>0.8044373511225428</v>
      </c>
      <c r="H2938" t="n">
        <v>0.015120774446472</v>
      </c>
      <c r="I2938" t="n">
        <v>0.2176275121622132</v>
      </c>
      <c r="J2938" t="n">
        <v>0.1064166195472345</v>
      </c>
      <c r="K2938" t="n">
        <v>0.3558113663199616</v>
      </c>
      <c r="L2938" t="b">
        <v>0</v>
      </c>
      <c r="M2938" t="b">
        <v>0</v>
      </c>
      <c r="N2938" t="inlineStr">
        <is>
          <t>ref</t>
        </is>
      </c>
      <c r="O2938" t="n">
        <v>-85</v>
      </c>
      <c r="P2938" t="n">
        <v>0.003826</v>
      </c>
      <c r="Q2938" t="n">
        <v>95</v>
      </c>
      <c r="R2938" t="n">
        <v>0.124</v>
      </c>
      <c r="S2938">
        <f>IMAGE("https://mitra.stanford.edu/kundaje/oak/projects/neuro-variants/variant_position/credible/roussos_2024/variant_figures/roussos_2024.childhood.GABA/rs7674046_count_position.png",4,220,900)</f>
        <v/>
      </c>
      <c r="T2938">
        <f>IMAGE("https://mitra.stanford.edu/kundaje/oak/projects/neuro-variants/variant_position/credible/roussos_2024/variant_figures/roussos_2024.childhood.GABA/rs7674046_profile_position.png",4,220,900)</f>
        <v/>
      </c>
    </row>
    <row r="2939">
      <c r="A2939" t="inlineStr">
        <is>
          <t>chr4</t>
        </is>
      </c>
      <c r="B2939" t="n">
        <v>33744538</v>
      </c>
      <c r="C2939" t="inlineStr">
        <is>
          <t>T</t>
        </is>
      </c>
      <c r="D2939" t="inlineStr">
        <is>
          <t>C</t>
        </is>
      </c>
      <c r="E2939" t="inlineStr">
        <is>
          <t>rs13113238</t>
        </is>
      </c>
      <c r="F2939" t="n">
        <v>0.1059851139999999</v>
      </c>
      <c r="G2939" t="n">
        <v>0.0268217128839714</v>
      </c>
      <c r="H2939" t="n">
        <v>0.0149230106062873</v>
      </c>
      <c r="I2939" t="n">
        <v>0.2272260888966952</v>
      </c>
      <c r="J2939" t="n">
        <v>0.0100783229670582</v>
      </c>
      <c r="K2939" t="n">
        <v>0.7354242580616062</v>
      </c>
      <c r="L2939" t="b">
        <v>0</v>
      </c>
      <c r="M2939" t="b">
        <v>0</v>
      </c>
      <c r="N2939" t="inlineStr">
        <is>
          <t>alt</t>
        </is>
      </c>
      <c r="O2939" t="n">
        <v>-95</v>
      </c>
      <c r="P2939" t="n">
        <v>0.00801</v>
      </c>
      <c r="Q2939" t="n">
        <v>5</v>
      </c>
      <c r="R2939" t="n">
        <v>0.00232</v>
      </c>
      <c r="S2939">
        <f>IMAGE("https://mitra.stanford.edu/kundaje/oak/projects/neuro-variants/variant_position/credible/roussos_2024/variant_figures/roussos_2024.childhood.GABA/rs13113238_count_position.png",4,220,900)</f>
        <v/>
      </c>
      <c r="T2939">
        <f>IMAGE("https://mitra.stanford.edu/kundaje/oak/projects/neuro-variants/variant_position/credible/roussos_2024/variant_figures/roussos_2024.childhood.GABA/rs13113238_profile_position.png",4,220,900)</f>
        <v/>
      </c>
    </row>
    <row r="2940">
      <c r="A2940" t="inlineStr">
        <is>
          <t>chr4</t>
        </is>
      </c>
      <c r="B2940" t="n">
        <v>33745786</v>
      </c>
      <c r="C2940" t="inlineStr">
        <is>
          <t>A</t>
        </is>
      </c>
      <c r="D2940" t="inlineStr">
        <is>
          <t>G</t>
        </is>
      </c>
      <c r="E2940" t="inlineStr">
        <is>
          <t>rs7693464</t>
        </is>
      </c>
      <c r="F2940" t="n">
        <v>0.00956004746</v>
      </c>
      <c r="G2940" t="n">
        <v>0.4465296025309271</v>
      </c>
      <c r="H2940" t="n">
        <v>0.0116333964853854</v>
      </c>
      <c r="I2940" t="n">
        <v>0.4662775671443537</v>
      </c>
      <c r="J2940" t="n">
        <v>0.0096113170404807</v>
      </c>
      <c r="K2940" t="n">
        <v>0.7479210277552587</v>
      </c>
      <c r="L2940" t="b">
        <v>0</v>
      </c>
      <c r="M2940" t="b">
        <v>0</v>
      </c>
      <c r="N2940" t="inlineStr">
        <is>
          <t>alt</t>
        </is>
      </c>
      <c r="O2940" t="n">
        <v>5</v>
      </c>
      <c r="P2940" t="n">
        <v>0.000618</v>
      </c>
      <c r="Q2940" t="n">
        <v>0</v>
      </c>
      <c r="R2940" t="n">
        <v>0</v>
      </c>
      <c r="S2940">
        <f>IMAGE("https://mitra.stanford.edu/kundaje/oak/projects/neuro-variants/variant_position/credible/roussos_2024/variant_figures/roussos_2024.childhood.GABA/rs7693464_count_position.png",4,220,900)</f>
        <v/>
      </c>
      <c r="T2940">
        <f>IMAGE("https://mitra.stanford.edu/kundaje/oak/projects/neuro-variants/variant_position/credible/roussos_2024/variant_figures/roussos_2024.childhood.GABA/rs7693464_profile_position.png",4,220,900)</f>
        <v/>
      </c>
    </row>
    <row r="2941">
      <c r="A2941" t="inlineStr">
        <is>
          <t>chr4</t>
        </is>
      </c>
      <c r="B2941" t="n">
        <v>33746904</v>
      </c>
      <c r="C2941" t="inlineStr">
        <is>
          <t>A</t>
        </is>
      </c>
      <c r="D2941" t="inlineStr">
        <is>
          <t>C</t>
        </is>
      </c>
      <c r="E2941" t="inlineStr">
        <is>
          <t>rs1373494</t>
        </is>
      </c>
      <c r="F2941" t="n">
        <v>0.0502320274</v>
      </c>
      <c r="G2941" t="n">
        <v>0.1424919598078527</v>
      </c>
      <c r="H2941" t="n">
        <v>0.0115729681043301</v>
      </c>
      <c r="I2941" t="n">
        <v>0.4488062378837522</v>
      </c>
      <c r="J2941" t="n">
        <v>0.0414200749722518</v>
      </c>
      <c r="K2941" t="n">
        <v>0.5286922446992075</v>
      </c>
      <c r="L2941" t="b">
        <v>0</v>
      </c>
      <c r="M2941" t="b">
        <v>0</v>
      </c>
      <c r="N2941" t="inlineStr">
        <is>
          <t>alt</t>
        </is>
      </c>
      <c r="O2941" t="n">
        <v>100</v>
      </c>
      <c r="P2941" t="n">
        <v>0.00975</v>
      </c>
      <c r="Q2941" t="n">
        <v>-10</v>
      </c>
      <c r="R2941" t="n">
        <v>0.03003</v>
      </c>
      <c r="S2941">
        <f>IMAGE("https://mitra.stanford.edu/kundaje/oak/projects/neuro-variants/variant_position/credible/roussos_2024/variant_figures/roussos_2024.childhood.GABA/rs1373494_count_position.png",4,220,900)</f>
        <v/>
      </c>
      <c r="T2941">
        <f>IMAGE("https://mitra.stanford.edu/kundaje/oak/projects/neuro-variants/variant_position/credible/roussos_2024/variant_figures/roussos_2024.childhood.GABA/rs1373494_profile_position.png",4,220,900)</f>
        <v/>
      </c>
    </row>
    <row r="2942">
      <c r="A2942" t="inlineStr">
        <is>
          <t>chr4</t>
        </is>
      </c>
      <c r="B2942" t="n">
        <v>33751346</v>
      </c>
      <c r="C2942" t="inlineStr">
        <is>
          <t>C</t>
        </is>
      </c>
      <c r="D2942" t="inlineStr">
        <is>
          <t>T</t>
        </is>
      </c>
      <c r="E2942" t="inlineStr">
        <is>
          <t>rs1822683</t>
        </is>
      </c>
      <c r="F2942" t="n">
        <v>0.000821323036</v>
      </c>
      <c r="G2942" t="n">
        <v>0.8874133556234084</v>
      </c>
      <c r="H2942" t="n">
        <v>0.0122418559156728</v>
      </c>
      <c r="I2942" t="n">
        <v>0.4119093447643807</v>
      </c>
      <c r="J2942" t="n">
        <v>0.0015737890305961</v>
      </c>
      <c r="K2942" t="n">
        <v>0.8936085288078014</v>
      </c>
      <c r="L2942" t="b">
        <v>0</v>
      </c>
      <c r="M2942" t="b">
        <v>0</v>
      </c>
      <c r="N2942" t="inlineStr">
        <is>
          <t>alt</t>
        </is>
      </c>
      <c r="O2942" t="n">
        <v>-100</v>
      </c>
      <c r="P2942" t="n">
        <v>0.003183</v>
      </c>
      <c r="Q2942" t="n">
        <v>-100</v>
      </c>
      <c r="R2942" t="n">
        <v>0.0517</v>
      </c>
      <c r="S2942">
        <f>IMAGE("https://mitra.stanford.edu/kundaje/oak/projects/neuro-variants/variant_position/credible/roussos_2024/variant_figures/roussos_2024.childhood.GABA/rs1822683_count_position.png",4,220,900)</f>
        <v/>
      </c>
      <c r="T2942">
        <f>IMAGE("https://mitra.stanford.edu/kundaje/oak/projects/neuro-variants/variant_position/credible/roussos_2024/variant_figures/roussos_2024.childhood.GABA/rs1822683_profile_position.png",4,220,900)</f>
        <v/>
      </c>
    </row>
    <row r="2943">
      <c r="A2943" t="inlineStr">
        <is>
          <t>chr4</t>
        </is>
      </c>
      <c r="B2943" t="n">
        <v>33772700</v>
      </c>
      <c r="C2943" t="inlineStr">
        <is>
          <t>G</t>
        </is>
      </c>
      <c r="D2943" t="inlineStr">
        <is>
          <t>A</t>
        </is>
      </c>
      <c r="E2943" t="inlineStr">
        <is>
          <t>rs3863828</t>
        </is>
      </c>
      <c r="F2943" t="n">
        <v>0.0178240538</v>
      </c>
      <c r="G2943" t="n">
        <v>0.1694785116580312</v>
      </c>
      <c r="H2943" t="n">
        <v>0.0113678416255128</v>
      </c>
      <c r="I2943" t="n">
        <v>0.4648676207814058</v>
      </c>
      <c r="J2943" t="n">
        <v>0.030225545014764</v>
      </c>
      <c r="K2943" t="n">
        <v>0.5757034257261112</v>
      </c>
      <c r="L2943" t="b">
        <v>0</v>
      </c>
      <c r="M2943" t="b">
        <v>0</v>
      </c>
      <c r="N2943" t="inlineStr">
        <is>
          <t>alt</t>
        </is>
      </c>
      <c r="O2943" t="n">
        <v>-95</v>
      </c>
      <c r="P2943" t="n">
        <v>0.01625</v>
      </c>
      <c r="Q2943" t="n">
        <v>40</v>
      </c>
      <c r="R2943" t="n">
        <v>0.08325</v>
      </c>
      <c r="S2943">
        <f>IMAGE("https://mitra.stanford.edu/kundaje/oak/projects/neuro-variants/variant_position/credible/roussos_2024/variant_figures/roussos_2024.childhood.GABA/rs3863828_count_position.png",4,220,900)</f>
        <v/>
      </c>
      <c r="T2943">
        <f>IMAGE("https://mitra.stanford.edu/kundaje/oak/projects/neuro-variants/variant_position/credible/roussos_2024/variant_figures/roussos_2024.childhood.GABA/rs3863828_profile_position.png",4,220,900)</f>
        <v/>
      </c>
    </row>
    <row r="2944">
      <c r="A2944" t="inlineStr">
        <is>
          <t>chr4</t>
        </is>
      </c>
      <c r="B2944" t="n">
        <v>33778147</v>
      </c>
      <c r="C2944" t="inlineStr">
        <is>
          <t>A</t>
        </is>
      </c>
      <c r="D2944" t="inlineStr">
        <is>
          <t>G</t>
        </is>
      </c>
      <c r="E2944" t="inlineStr">
        <is>
          <t>rs28538874</t>
        </is>
      </c>
      <c r="F2944" t="n">
        <v>0.0404375328</v>
      </c>
      <c r="G2944" t="n">
        <v>0.1970305346212477</v>
      </c>
      <c r="H2944" t="n">
        <v>0.0199665841919758</v>
      </c>
      <c r="I2944" t="n">
        <v>0.0754652206838595</v>
      </c>
      <c r="J2944" t="n">
        <v>2.722456074218341e-05</v>
      </c>
      <c r="K2944" t="n">
        <v>0.9944369157279784</v>
      </c>
      <c r="L2944" t="b">
        <v>0</v>
      </c>
      <c r="M2944" t="b">
        <v>0</v>
      </c>
      <c r="N2944" t="inlineStr">
        <is>
          <t>alt</t>
        </is>
      </c>
      <c r="O2944" t="n">
        <v>60</v>
      </c>
      <c r="P2944" t="n">
        <v>0.00447</v>
      </c>
      <c r="Q2944" t="n">
        <v>95</v>
      </c>
      <c r="R2944" t="n">
        <v>0.1085</v>
      </c>
      <c r="S2944">
        <f>IMAGE("https://mitra.stanford.edu/kundaje/oak/projects/neuro-variants/variant_position/credible/roussos_2024/variant_figures/roussos_2024.childhood.GABA/rs28538874_count_position.png",4,220,900)</f>
        <v/>
      </c>
      <c r="T2944">
        <f>IMAGE("https://mitra.stanford.edu/kundaje/oak/projects/neuro-variants/variant_position/credible/roussos_2024/variant_figures/roussos_2024.childhood.GABA/rs28538874_profile_position.png",4,220,900)</f>
        <v/>
      </c>
    </row>
    <row r="2945">
      <c r="A2945" t="inlineStr">
        <is>
          <t>chr4</t>
        </is>
      </c>
      <c r="B2945" t="n">
        <v>33793271</v>
      </c>
      <c r="C2945" t="inlineStr">
        <is>
          <t>C</t>
        </is>
      </c>
      <c r="D2945" t="inlineStr">
        <is>
          <t>T</t>
        </is>
      </c>
      <c r="E2945" t="inlineStr">
        <is>
          <t>rs66770627</t>
        </is>
      </c>
      <c r="F2945" t="n">
        <v>0.0021705972599999</v>
      </c>
      <c r="G2945" t="n">
        <v>0.8546930934171055</v>
      </c>
      <c r="H2945" t="n">
        <v>0.0183215621528104</v>
      </c>
      <c r="I2945" t="n">
        <v>0.1078362881765901</v>
      </c>
      <c r="J2945" t="n">
        <v>0.0117494921572322</v>
      </c>
      <c r="K2945" t="n">
        <v>0.7235693547737788</v>
      </c>
      <c r="L2945" t="b">
        <v>0</v>
      </c>
      <c r="M2945" t="b">
        <v>0</v>
      </c>
      <c r="N2945" t="inlineStr">
        <is>
          <t>alt</t>
        </is>
      </c>
      <c r="O2945" t="n">
        <v>-100</v>
      </c>
      <c r="P2945" t="n">
        <v>0.026</v>
      </c>
      <c r="Q2945" t="n">
        <v>-100</v>
      </c>
      <c r="R2945" t="n">
        <v>0.07043000000000001</v>
      </c>
      <c r="S2945">
        <f>IMAGE("https://mitra.stanford.edu/kundaje/oak/projects/neuro-variants/variant_position/credible/roussos_2024/variant_figures/roussos_2024.childhood.GABA/rs66770627_count_position.png",4,220,900)</f>
        <v/>
      </c>
      <c r="T2945">
        <f>IMAGE("https://mitra.stanford.edu/kundaje/oak/projects/neuro-variants/variant_position/credible/roussos_2024/variant_figures/roussos_2024.childhood.GABA/rs66770627_profile_position.png",4,220,900)</f>
        <v/>
      </c>
    </row>
    <row r="2946">
      <c r="A2946" t="inlineStr">
        <is>
          <t>chr4</t>
        </is>
      </c>
      <c r="B2946" t="n">
        <v>33797580</v>
      </c>
      <c r="C2946" t="inlineStr">
        <is>
          <t>C</t>
        </is>
      </c>
      <c r="D2946" t="inlineStr">
        <is>
          <t>T</t>
        </is>
      </c>
      <c r="E2946" t="inlineStr">
        <is>
          <t>rs6832462</t>
        </is>
      </c>
      <c r="F2946" t="n">
        <v>-0.060559286</v>
      </c>
      <c r="G2946" t="n">
        <v>0.09729993521643621</v>
      </c>
      <c r="H2946" t="n">
        <v>0.014064437271276</v>
      </c>
      <c r="I2946" t="n">
        <v>0.2788373876937298</v>
      </c>
      <c r="J2946" t="n">
        <v>8.795627316702704e-05</v>
      </c>
      <c r="K2946" t="n">
        <v>0.9765998668020068</v>
      </c>
      <c r="L2946" t="b">
        <v>0</v>
      </c>
      <c r="M2946" t="b">
        <v>0</v>
      </c>
      <c r="N2946" t="inlineStr">
        <is>
          <t>ref</t>
        </is>
      </c>
      <c r="O2946" t="n">
        <v>5</v>
      </c>
      <c r="P2946" t="n">
        <v>3.05e-05</v>
      </c>
      <c r="Q2946" t="n">
        <v>100</v>
      </c>
      <c r="R2946" t="n">
        <v>0.02557</v>
      </c>
      <c r="S2946">
        <f>IMAGE("https://mitra.stanford.edu/kundaje/oak/projects/neuro-variants/variant_position/credible/roussos_2024/variant_figures/roussos_2024.childhood.GABA/rs6832462_count_position.png",4,220,900)</f>
        <v/>
      </c>
      <c r="T2946">
        <f>IMAGE("https://mitra.stanford.edu/kundaje/oak/projects/neuro-variants/variant_position/credible/roussos_2024/variant_figures/roussos_2024.childhood.GABA/rs6832462_profile_position.png",4,220,900)</f>
        <v/>
      </c>
    </row>
    <row r="2947">
      <c r="A2947" t="inlineStr">
        <is>
          <t>chr4</t>
        </is>
      </c>
      <c r="B2947" t="n">
        <v>33804523</v>
      </c>
      <c r="C2947" t="inlineStr">
        <is>
          <t>A</t>
        </is>
      </c>
      <c r="D2947" t="inlineStr">
        <is>
          <t>G</t>
        </is>
      </c>
      <c r="E2947" t="inlineStr">
        <is>
          <t>rs59554896</t>
        </is>
      </c>
      <c r="F2947" t="n">
        <v>-0.008692634560000001</v>
      </c>
      <c r="G2947" t="n">
        <v>0.6843529668758722</v>
      </c>
      <c r="H2947" t="n">
        <v>0.0174706325414964</v>
      </c>
      <c r="I2947" t="n">
        <v>0.1333248742674601</v>
      </c>
      <c r="J2947" t="n">
        <v>0.0007696173902116</v>
      </c>
      <c r="K2947" t="n">
        <v>0.925414544807219</v>
      </c>
      <c r="L2947" t="b">
        <v>0</v>
      </c>
      <c r="M2947" t="b">
        <v>0</v>
      </c>
      <c r="N2947" t="inlineStr">
        <is>
          <t>ref</t>
        </is>
      </c>
      <c r="O2947" t="n">
        <v>15</v>
      </c>
      <c r="P2947" t="n">
        <v>0.000931</v>
      </c>
      <c r="Q2947" t="n">
        <v>100</v>
      </c>
      <c r="R2947" t="n">
        <v>0.0619</v>
      </c>
      <c r="S2947">
        <f>IMAGE("https://mitra.stanford.edu/kundaje/oak/projects/neuro-variants/variant_position/credible/roussos_2024/variant_figures/roussos_2024.childhood.GABA/rs59554896_count_position.png",4,220,900)</f>
        <v/>
      </c>
      <c r="T2947">
        <f>IMAGE("https://mitra.stanford.edu/kundaje/oak/projects/neuro-variants/variant_position/credible/roussos_2024/variant_figures/roussos_2024.childhood.GABA/rs59554896_profile_position.png",4,220,900)</f>
        <v/>
      </c>
    </row>
    <row r="2948">
      <c r="A2948" t="inlineStr">
        <is>
          <t>chr4</t>
        </is>
      </c>
      <c r="B2948" t="n">
        <v>33805577</v>
      </c>
      <c r="C2948" t="inlineStr">
        <is>
          <t>C</t>
        </is>
      </c>
      <c r="D2948" t="inlineStr">
        <is>
          <t>A</t>
        </is>
      </c>
      <c r="E2948" t="inlineStr">
        <is>
          <t>rs67910708</t>
        </is>
      </c>
      <c r="F2948" t="n">
        <v>0.0211584336</v>
      </c>
      <c r="G2948" t="n">
        <v>0.3903390899933872</v>
      </c>
      <c r="H2948" t="n">
        <v>0.0197128531714322</v>
      </c>
      <c r="I2948" t="n">
        <v>0.0788417480107564</v>
      </c>
      <c r="J2948" t="n">
        <v>0.0050019894871311</v>
      </c>
      <c r="K2948" t="n">
        <v>0.8163867576352466</v>
      </c>
      <c r="L2948" t="b">
        <v>0</v>
      </c>
      <c r="M2948" t="b">
        <v>0</v>
      </c>
      <c r="N2948" t="inlineStr">
        <is>
          <t>alt</t>
        </is>
      </c>
      <c r="O2948" t="n">
        <v>85</v>
      </c>
      <c r="P2948" t="n">
        <v>0.003021</v>
      </c>
      <c r="Q2948" t="n">
        <v>100</v>
      </c>
      <c r="R2948" t="n">
        <v>0.08057</v>
      </c>
      <c r="S2948">
        <f>IMAGE("https://mitra.stanford.edu/kundaje/oak/projects/neuro-variants/variant_position/credible/roussos_2024/variant_figures/roussos_2024.childhood.GABA/rs67910708_count_position.png",4,220,900)</f>
        <v/>
      </c>
      <c r="T2948">
        <f>IMAGE("https://mitra.stanford.edu/kundaje/oak/projects/neuro-variants/variant_position/credible/roussos_2024/variant_figures/roussos_2024.childhood.GABA/rs67910708_profile_position.png",4,220,900)</f>
        <v/>
      </c>
    </row>
    <row r="2949">
      <c r="A2949" t="inlineStr">
        <is>
          <t>chr4</t>
        </is>
      </c>
      <c r="B2949" t="n">
        <v>33806081</v>
      </c>
      <c r="C2949" t="inlineStr">
        <is>
          <t>G</t>
        </is>
      </c>
      <c r="D2949" t="inlineStr">
        <is>
          <t>A</t>
        </is>
      </c>
      <c r="E2949" t="inlineStr">
        <is>
          <t>rs58656292</t>
        </is>
      </c>
      <c r="F2949" t="n">
        <v>0.05938299127</v>
      </c>
      <c r="G2949" t="n">
        <v>0.1541802712275306</v>
      </c>
      <c r="H2949" t="n">
        <v>0.0236707554284474</v>
      </c>
      <c r="I2949" t="n">
        <v>0.0508766613316145</v>
      </c>
      <c r="J2949" t="n">
        <v>0.0190865112772506</v>
      </c>
      <c r="K2949" t="n">
        <v>0.6688893666916164</v>
      </c>
      <c r="L2949" t="b">
        <v>0</v>
      </c>
      <c r="M2949" t="b">
        <v>0</v>
      </c>
      <c r="N2949" t="inlineStr">
        <is>
          <t>alt</t>
        </is>
      </c>
      <c r="O2949" t="n">
        <v>30</v>
      </c>
      <c r="P2949" t="n">
        <v>0.000641</v>
      </c>
      <c r="Q2949" t="n">
        <v>-75</v>
      </c>
      <c r="R2949" t="n">
        <v>0.03516</v>
      </c>
      <c r="S2949">
        <f>IMAGE("https://mitra.stanford.edu/kundaje/oak/projects/neuro-variants/variant_position/credible/roussos_2024/variant_figures/roussos_2024.childhood.GABA/rs58656292_count_position.png",4,220,900)</f>
        <v/>
      </c>
      <c r="T2949">
        <f>IMAGE("https://mitra.stanford.edu/kundaje/oak/projects/neuro-variants/variant_position/credible/roussos_2024/variant_figures/roussos_2024.childhood.GABA/rs58656292_profile_position.png",4,220,900)</f>
        <v/>
      </c>
    </row>
    <row r="2950">
      <c r="A2950" t="inlineStr">
        <is>
          <t>chr4</t>
        </is>
      </c>
      <c r="B2950" t="n">
        <v>33808769</v>
      </c>
      <c r="C2950" t="inlineStr">
        <is>
          <t>A</t>
        </is>
      </c>
      <c r="D2950" t="inlineStr">
        <is>
          <t>C</t>
        </is>
      </c>
      <c r="E2950" t="inlineStr">
        <is>
          <t>rs13104973</t>
        </is>
      </c>
      <c r="F2950" t="n">
        <v>-0.01915457888</v>
      </c>
      <c r="G2950" t="n">
        <v>0.4751444464763519</v>
      </c>
      <c r="H2950" t="n">
        <v>0.0122426905732466</v>
      </c>
      <c r="I2950" t="n">
        <v>0.3975834836565872</v>
      </c>
      <c r="J2950" t="n">
        <v>0.0103484743774998</v>
      </c>
      <c r="K2950" t="n">
        <v>0.7333837896824611</v>
      </c>
      <c r="L2950" t="b">
        <v>0</v>
      </c>
      <c r="M2950" t="b">
        <v>0</v>
      </c>
      <c r="N2950" t="inlineStr">
        <is>
          <t>ref</t>
        </is>
      </c>
      <c r="O2950" t="n">
        <v>-100</v>
      </c>
      <c r="P2950" t="n">
        <v>0.004128</v>
      </c>
      <c r="Q2950" t="n">
        <v>100</v>
      </c>
      <c r="R2950" t="n">
        <v>0.047</v>
      </c>
      <c r="S2950">
        <f>IMAGE("https://mitra.stanford.edu/kundaje/oak/projects/neuro-variants/variant_position/credible/roussos_2024/variant_figures/roussos_2024.childhood.GABA/rs13104973_count_position.png",4,220,900)</f>
        <v/>
      </c>
      <c r="T2950">
        <f>IMAGE("https://mitra.stanford.edu/kundaje/oak/projects/neuro-variants/variant_position/credible/roussos_2024/variant_figures/roussos_2024.childhood.GABA/rs13104973_profile_position.png",4,220,900)</f>
        <v/>
      </c>
    </row>
    <row r="2951">
      <c r="A2951" t="inlineStr">
        <is>
          <t>chr4</t>
        </is>
      </c>
      <c r="B2951" t="n">
        <v>33817320</v>
      </c>
      <c r="C2951" t="inlineStr">
        <is>
          <t>T</t>
        </is>
      </c>
      <c r="D2951" t="inlineStr">
        <is>
          <t>C</t>
        </is>
      </c>
      <c r="E2951" t="inlineStr">
        <is>
          <t>rs3910837</t>
        </is>
      </c>
      <c r="F2951" t="n">
        <v>-0.0107610154</v>
      </c>
      <c r="G2951" t="n">
        <v>0.3103440438315358</v>
      </c>
      <c r="H2951" t="n">
        <v>0.0187330172168086</v>
      </c>
      <c r="I2951" t="n">
        <v>0.0991964629864079</v>
      </c>
      <c r="J2951" t="n">
        <v>0.0252800988460973</v>
      </c>
      <c r="K2951" t="n">
        <v>0.6140753409831758</v>
      </c>
      <c r="L2951" t="b">
        <v>0</v>
      </c>
      <c r="M2951" t="b">
        <v>0</v>
      </c>
      <c r="N2951" t="inlineStr">
        <is>
          <t>ref</t>
        </is>
      </c>
      <c r="O2951" t="n">
        <v>100</v>
      </c>
      <c r="P2951" t="n">
        <v>0.0015335</v>
      </c>
      <c r="Q2951" t="n">
        <v>65</v>
      </c>
      <c r="R2951" t="n">
        <v>0.04602</v>
      </c>
      <c r="S2951">
        <f>IMAGE("https://mitra.stanford.edu/kundaje/oak/projects/neuro-variants/variant_position/credible/roussos_2024/variant_figures/roussos_2024.childhood.GABA/rs3910837_count_position.png",4,220,900)</f>
        <v/>
      </c>
      <c r="T2951">
        <f>IMAGE("https://mitra.stanford.edu/kundaje/oak/projects/neuro-variants/variant_position/credible/roussos_2024/variant_figures/roussos_2024.childhood.GABA/rs3910837_profile_position.png",4,220,900)</f>
        <v/>
      </c>
    </row>
    <row r="2952">
      <c r="A2952" t="inlineStr">
        <is>
          <t>chr4</t>
        </is>
      </c>
      <c r="B2952" t="n">
        <v>33820204</v>
      </c>
      <c r="C2952" t="inlineStr">
        <is>
          <t>T</t>
        </is>
      </c>
      <c r="D2952" t="inlineStr">
        <is>
          <t>G</t>
        </is>
      </c>
      <c r="E2952" t="inlineStr">
        <is>
          <t>rs7689692</t>
        </is>
      </c>
      <c r="F2952" t="n">
        <v>0.00736328018</v>
      </c>
      <c r="G2952" t="n">
        <v>0.7118428549876057</v>
      </c>
      <c r="H2952" t="n">
        <v>0.0218338089538023</v>
      </c>
      <c r="I2952" t="n">
        <v>0.0522287670509286</v>
      </c>
      <c r="J2952" t="n">
        <v>0.0004010387217021</v>
      </c>
      <c r="K2952" t="n">
        <v>0.9471433762162624</v>
      </c>
      <c r="L2952" t="b">
        <v>0</v>
      </c>
      <c r="M2952" t="b">
        <v>0</v>
      </c>
      <c r="N2952" t="inlineStr">
        <is>
          <t>alt</t>
        </is>
      </c>
      <c r="O2952" t="n">
        <v>30</v>
      </c>
      <c r="P2952" t="n">
        <v>0.001102</v>
      </c>
      <c r="Q2952" t="n">
        <v>75</v>
      </c>
      <c r="R2952" t="n">
        <v>0.008670000000000001</v>
      </c>
      <c r="S2952">
        <f>IMAGE("https://mitra.stanford.edu/kundaje/oak/projects/neuro-variants/variant_position/credible/roussos_2024/variant_figures/roussos_2024.childhood.GABA/rs7689692_count_position.png",4,220,900)</f>
        <v/>
      </c>
      <c r="T2952">
        <f>IMAGE("https://mitra.stanford.edu/kundaje/oak/projects/neuro-variants/variant_position/credible/roussos_2024/variant_figures/roussos_2024.childhood.GABA/rs7689692_profile_position.png",4,220,900)</f>
        <v/>
      </c>
    </row>
    <row r="2953">
      <c r="A2953" t="inlineStr">
        <is>
          <t>chr4</t>
        </is>
      </c>
      <c r="B2953" t="n">
        <v>33881744</v>
      </c>
      <c r="C2953" t="inlineStr">
        <is>
          <t>T</t>
        </is>
      </c>
      <c r="D2953" t="inlineStr">
        <is>
          <t>C</t>
        </is>
      </c>
      <c r="E2953" t="inlineStr">
        <is>
          <t>rs10008587</t>
        </is>
      </c>
      <c r="F2953" t="n">
        <v>0.0731015392</v>
      </c>
      <c r="G2953" t="n">
        <v>0.06391616581151841</v>
      </c>
      <c r="H2953" t="n">
        <v>0.0127470071309808</v>
      </c>
      <c r="I2953" t="n">
        <v>0.3745907411761232</v>
      </c>
      <c r="J2953" t="n">
        <v>0.038068312705493</v>
      </c>
      <c r="K2953" t="n">
        <v>0.5432963782363081</v>
      </c>
      <c r="L2953" t="b">
        <v>0</v>
      </c>
      <c r="M2953" t="b">
        <v>0</v>
      </c>
      <c r="N2953" t="inlineStr">
        <is>
          <t>alt</t>
        </is>
      </c>
      <c r="O2953" t="n">
        <v>-100</v>
      </c>
      <c r="P2953" t="n">
        <v>0.0137</v>
      </c>
      <c r="Q2953" t="n">
        <v>25</v>
      </c>
      <c r="R2953" t="n">
        <v>0.01486</v>
      </c>
      <c r="S2953">
        <f>IMAGE("https://mitra.stanford.edu/kundaje/oak/projects/neuro-variants/variant_position/credible/roussos_2024/variant_figures/roussos_2024.childhood.GABA/rs10008587_count_position.png",4,220,900)</f>
        <v/>
      </c>
      <c r="T2953">
        <f>IMAGE("https://mitra.stanford.edu/kundaje/oak/projects/neuro-variants/variant_position/credible/roussos_2024/variant_figures/roussos_2024.childhood.GABA/rs10008587_profile_position.png",4,220,900)</f>
        <v/>
      </c>
    </row>
    <row r="2954">
      <c r="A2954" t="inlineStr">
        <is>
          <t>chr4</t>
        </is>
      </c>
      <c r="B2954" t="n">
        <v>33911934</v>
      </c>
      <c r="C2954" t="inlineStr">
        <is>
          <t>C</t>
        </is>
      </c>
      <c r="D2954" t="inlineStr">
        <is>
          <t>A</t>
        </is>
      </c>
      <c r="E2954" t="inlineStr">
        <is>
          <t>rs12640723</t>
        </is>
      </c>
      <c r="F2954" t="n">
        <v>0.006037254172</v>
      </c>
      <c r="G2954" t="n">
        <v>0.7422028503872877</v>
      </c>
      <c r="H2954" t="n">
        <v>0.0236927315135096</v>
      </c>
      <c r="I2954" t="n">
        <v>0.0361651606599472</v>
      </c>
      <c r="J2954" t="n">
        <v>0.0437833762643713</v>
      </c>
      <c r="K2954" t="n">
        <v>0.5143812716548455</v>
      </c>
      <c r="L2954" t="b">
        <v>0</v>
      </c>
      <c r="M2954" t="b">
        <v>0</v>
      </c>
      <c r="N2954" t="inlineStr">
        <is>
          <t>alt</t>
        </is>
      </c>
      <c r="O2954" t="n">
        <v>100</v>
      </c>
      <c r="P2954" t="n">
        <v>0.01404</v>
      </c>
      <c r="Q2954" t="n">
        <v>100</v>
      </c>
      <c r="R2954" t="n">
        <v>0.2878</v>
      </c>
      <c r="S2954">
        <f>IMAGE("https://mitra.stanford.edu/kundaje/oak/projects/neuro-variants/variant_position/credible/roussos_2024/variant_figures/roussos_2024.childhood.GABA/rs12640723_count_position.png",4,220,900)</f>
        <v/>
      </c>
      <c r="T2954">
        <f>IMAGE("https://mitra.stanford.edu/kundaje/oak/projects/neuro-variants/variant_position/credible/roussos_2024/variant_figures/roussos_2024.childhood.GABA/rs12640723_profile_position.png",4,220,900)</f>
        <v/>
      </c>
    </row>
    <row r="2955">
      <c r="A2955" t="inlineStr">
        <is>
          <t>chr4</t>
        </is>
      </c>
      <c r="B2955" t="n">
        <v>33920005</v>
      </c>
      <c r="C2955" t="inlineStr">
        <is>
          <t>T</t>
        </is>
      </c>
      <c r="D2955" t="inlineStr">
        <is>
          <t>G</t>
        </is>
      </c>
      <c r="E2955" t="inlineStr">
        <is>
          <t>rs7683507</t>
        </is>
      </c>
      <c r="F2955" t="n">
        <v>0.00046131753</v>
      </c>
      <c r="G2955" t="n">
        <v>0.8014293370095196</v>
      </c>
      <c r="H2955" t="n">
        <v>0.0279917570815101</v>
      </c>
      <c r="I2955" t="n">
        <v>0.0174458135169267</v>
      </c>
      <c r="J2955" t="n">
        <v>0.0221367091788653</v>
      </c>
      <c r="K2955" t="n">
        <v>0.6268469333297113</v>
      </c>
      <c r="L2955" t="b">
        <v>1</v>
      </c>
      <c r="M2955" t="b">
        <v>0</v>
      </c>
      <c r="N2955" t="inlineStr">
        <is>
          <t>alt</t>
        </is>
      </c>
      <c r="O2955" t="n">
        <v>20</v>
      </c>
      <c r="P2955" t="n">
        <v>0.003565</v>
      </c>
      <c r="Q2955" t="n">
        <v>60</v>
      </c>
      <c r="R2955" t="n">
        <v>0.01813</v>
      </c>
      <c r="S2955">
        <f>IMAGE("https://mitra.stanford.edu/kundaje/oak/projects/neuro-variants/variant_position/credible/roussos_2024/variant_figures/roussos_2024.childhood.GABA/rs7683507_count_position.png",4,220,900)</f>
        <v/>
      </c>
      <c r="T2955">
        <f>IMAGE("https://mitra.stanford.edu/kundaje/oak/projects/neuro-variants/variant_position/credible/roussos_2024/variant_figures/roussos_2024.childhood.GABA/rs7683507_profile_position.png",4,220,900)</f>
        <v/>
      </c>
    </row>
    <row r="2956">
      <c r="A2956" t="inlineStr">
        <is>
          <t>chr4</t>
        </is>
      </c>
      <c r="B2956" t="n">
        <v>33935499</v>
      </c>
      <c r="C2956" t="inlineStr">
        <is>
          <t>G</t>
        </is>
      </c>
      <c r="D2956" t="inlineStr">
        <is>
          <t>A</t>
        </is>
      </c>
      <c r="E2956" t="inlineStr">
        <is>
          <t>rs28691127</t>
        </is>
      </c>
      <c r="F2956" t="n">
        <v>-0.00307167146</v>
      </c>
      <c r="G2956" t="n">
        <v>0.7594432083416115</v>
      </c>
      <c r="H2956" t="n">
        <v>0.0219516446278829</v>
      </c>
      <c r="I2956" t="n">
        <v>0.0502319537502113</v>
      </c>
      <c r="J2956" t="n">
        <v>0.007159012376704</v>
      </c>
      <c r="K2956" t="n">
        <v>0.7762674444803584</v>
      </c>
      <c r="L2956" t="b">
        <v>0</v>
      </c>
      <c r="M2956" t="b">
        <v>0</v>
      </c>
      <c r="N2956" t="inlineStr">
        <is>
          <t>ref</t>
        </is>
      </c>
      <c r="O2956" t="n">
        <v>-100</v>
      </c>
      <c r="P2956" t="n">
        <v>0.009310000000000001</v>
      </c>
      <c r="Q2956" t="n">
        <v>15</v>
      </c>
      <c r="R2956" t="n">
        <v>0.01888</v>
      </c>
      <c r="S2956">
        <f>IMAGE("https://mitra.stanford.edu/kundaje/oak/projects/neuro-variants/variant_position/credible/roussos_2024/variant_figures/roussos_2024.childhood.GABA/rs28691127_count_position.png",4,220,900)</f>
        <v/>
      </c>
      <c r="T2956">
        <f>IMAGE("https://mitra.stanford.edu/kundaje/oak/projects/neuro-variants/variant_position/credible/roussos_2024/variant_figures/roussos_2024.childhood.GABA/rs28691127_profile_position.png",4,220,900)</f>
        <v/>
      </c>
    </row>
    <row r="2957">
      <c r="A2957" t="inlineStr">
        <is>
          <t>chr4</t>
        </is>
      </c>
      <c r="B2957" t="n">
        <v>33965964</v>
      </c>
      <c r="C2957" t="inlineStr">
        <is>
          <t>C</t>
        </is>
      </c>
      <c r="D2957" t="inlineStr">
        <is>
          <t>A</t>
        </is>
      </c>
      <c r="E2957" t="inlineStr">
        <is>
          <t>rs16989276</t>
        </is>
      </c>
      <c r="F2957" t="n">
        <v>-0.002540836114</v>
      </c>
      <c r="G2957" t="n">
        <v>0.7269696362762246</v>
      </c>
      <c r="H2957" t="n">
        <v>0.009328850745712099</v>
      </c>
      <c r="I2957" t="n">
        <v>0.7092031050257718</v>
      </c>
      <c r="J2957" t="n">
        <v>0.0005015601767501</v>
      </c>
      <c r="K2957" t="n">
        <v>0.9449661837770827</v>
      </c>
      <c r="L2957" t="b">
        <v>0</v>
      </c>
      <c r="M2957" t="b">
        <v>0</v>
      </c>
      <c r="N2957" t="inlineStr">
        <is>
          <t>ref</t>
        </is>
      </c>
      <c r="O2957" t="n">
        <v>65</v>
      </c>
      <c r="P2957" t="n">
        <v>0.00505</v>
      </c>
      <c r="Q2957" t="n">
        <v>70</v>
      </c>
      <c r="R2957" t="n">
        <v>0.05133</v>
      </c>
      <c r="S2957">
        <f>IMAGE("https://mitra.stanford.edu/kundaje/oak/projects/neuro-variants/variant_position/credible/roussos_2024/variant_figures/roussos_2024.childhood.GABA/rs16989276_count_position.png",4,220,900)</f>
        <v/>
      </c>
      <c r="T2957">
        <f>IMAGE("https://mitra.stanford.edu/kundaje/oak/projects/neuro-variants/variant_position/credible/roussos_2024/variant_figures/roussos_2024.childhood.GABA/rs16989276_profile_position.png",4,220,900)</f>
        <v/>
      </c>
    </row>
    <row r="2958">
      <c r="A2958" t="inlineStr">
        <is>
          <t>chr4</t>
        </is>
      </c>
      <c r="B2958" t="n">
        <v>33967089</v>
      </c>
      <c r="C2958" t="inlineStr">
        <is>
          <t>G</t>
        </is>
      </c>
      <c r="D2958" t="inlineStr">
        <is>
          <t>A</t>
        </is>
      </c>
      <c r="E2958" t="inlineStr">
        <is>
          <t>rs34920686</t>
        </is>
      </c>
      <c r="F2958" t="n">
        <v>-0.070729562</v>
      </c>
      <c r="G2958" t="n">
        <v>0.07553381318639291</v>
      </c>
      <c r="H2958" t="n">
        <v>0.0133927334143909</v>
      </c>
      <c r="I2958" t="n">
        <v>0.3168497626913759</v>
      </c>
      <c r="J2958" t="n">
        <v>0.0003968503277418</v>
      </c>
      <c r="K2958" t="n">
        <v>0.9497227138417732</v>
      </c>
      <c r="L2958" t="b">
        <v>0</v>
      </c>
      <c r="M2958" t="b">
        <v>0</v>
      </c>
      <c r="N2958" t="inlineStr">
        <is>
          <t>ref</t>
        </is>
      </c>
      <c r="O2958" t="n">
        <v>-100</v>
      </c>
      <c r="P2958" t="n">
        <v>0.001595</v>
      </c>
      <c r="Q2958" t="n">
        <v>95</v>
      </c>
      <c r="R2958" t="n">
        <v>0.1335</v>
      </c>
      <c r="S2958">
        <f>IMAGE("https://mitra.stanford.edu/kundaje/oak/projects/neuro-variants/variant_position/credible/roussos_2024/variant_figures/roussos_2024.childhood.GABA/rs34920686_count_position.png",4,220,900)</f>
        <v/>
      </c>
      <c r="T2958">
        <f>IMAGE("https://mitra.stanford.edu/kundaje/oak/projects/neuro-variants/variant_position/credible/roussos_2024/variant_figures/roussos_2024.childhood.GABA/rs34920686_profile_position.png",4,220,900)</f>
        <v/>
      </c>
    </row>
    <row r="2959">
      <c r="A2959" t="inlineStr">
        <is>
          <t>chr4</t>
        </is>
      </c>
      <c r="B2959" t="n">
        <v>33973377</v>
      </c>
      <c r="C2959" t="inlineStr">
        <is>
          <t>C</t>
        </is>
      </c>
      <c r="D2959" t="inlineStr">
        <is>
          <t>T</t>
        </is>
      </c>
      <c r="E2959" t="inlineStr">
        <is>
          <t>rs6814473</t>
        </is>
      </c>
      <c r="F2959" t="n">
        <v>-0.0152432354</v>
      </c>
      <c r="G2959" t="n">
        <v>0.5176113794963344</v>
      </c>
      <c r="H2959" t="n">
        <v>0.0097674044059922</v>
      </c>
      <c r="I2959" t="n">
        <v>0.6716009416586475</v>
      </c>
      <c r="J2959" t="n">
        <v>0.0162279323993214</v>
      </c>
      <c r="K2959" t="n">
        <v>0.6755232850392037</v>
      </c>
      <c r="L2959" t="b">
        <v>0</v>
      </c>
      <c r="M2959" t="b">
        <v>0</v>
      </c>
      <c r="N2959" t="inlineStr">
        <is>
          <t>ref</t>
        </is>
      </c>
      <c r="O2959" t="n">
        <v>-100</v>
      </c>
      <c r="P2959" t="n">
        <v>0.00872</v>
      </c>
      <c r="Q2959" t="n">
        <v>-100</v>
      </c>
      <c r="R2959" t="n">
        <v>0.11707</v>
      </c>
      <c r="S2959">
        <f>IMAGE("https://mitra.stanford.edu/kundaje/oak/projects/neuro-variants/variant_position/credible/roussos_2024/variant_figures/roussos_2024.childhood.GABA/rs6814473_count_position.png",4,220,900)</f>
        <v/>
      </c>
      <c r="T2959">
        <f>IMAGE("https://mitra.stanford.edu/kundaje/oak/projects/neuro-variants/variant_position/credible/roussos_2024/variant_figures/roussos_2024.childhood.GABA/rs6814473_profile_position.png",4,220,900)</f>
        <v/>
      </c>
    </row>
    <row r="2960">
      <c r="A2960" t="inlineStr">
        <is>
          <t>chr4</t>
        </is>
      </c>
      <c r="B2960" t="n">
        <v>34012097</v>
      </c>
      <c r="C2960" t="inlineStr">
        <is>
          <t>T</t>
        </is>
      </c>
      <c r="D2960" t="inlineStr">
        <is>
          <t>C</t>
        </is>
      </c>
      <c r="E2960" t="inlineStr">
        <is>
          <t>rs35883430</t>
        </is>
      </c>
      <c r="F2960" t="n">
        <v>-0.00357409286</v>
      </c>
      <c r="G2960" t="n">
        <v>0.7667001118248612</v>
      </c>
      <c r="H2960" t="n">
        <v>0.0184355921775211</v>
      </c>
      <c r="I2960" t="n">
        <v>0.1052063165223253</v>
      </c>
      <c r="J2960" t="n">
        <v>0.010936943728927</v>
      </c>
      <c r="K2960" t="n">
        <v>0.7298039834641116</v>
      </c>
      <c r="L2960" t="b">
        <v>0</v>
      </c>
      <c r="M2960" t="b">
        <v>0</v>
      </c>
      <c r="N2960" t="inlineStr">
        <is>
          <t>ref</t>
        </is>
      </c>
      <c r="O2960" t="n">
        <v>-60</v>
      </c>
      <c r="P2960" t="n">
        <v>0.002197</v>
      </c>
      <c r="Q2960" t="n">
        <v>0</v>
      </c>
      <c r="R2960" t="n">
        <v>0</v>
      </c>
      <c r="S2960">
        <f>IMAGE("https://mitra.stanford.edu/kundaje/oak/projects/neuro-variants/variant_position/credible/roussos_2024/variant_figures/roussos_2024.childhood.GABA/rs35883430_count_position.png",4,220,900)</f>
        <v/>
      </c>
      <c r="T2960">
        <f>IMAGE("https://mitra.stanford.edu/kundaje/oak/projects/neuro-variants/variant_position/credible/roussos_2024/variant_figures/roussos_2024.childhood.GABA/rs35883430_profile_position.png",4,220,900)</f>
        <v/>
      </c>
    </row>
    <row r="2961">
      <c r="A2961" t="inlineStr">
        <is>
          <t>chr4</t>
        </is>
      </c>
      <c r="B2961" t="n">
        <v>34022109</v>
      </c>
      <c r="C2961" t="inlineStr">
        <is>
          <t>C</t>
        </is>
      </c>
      <c r="D2961" t="inlineStr">
        <is>
          <t>G</t>
        </is>
      </c>
      <c r="E2961" t="inlineStr">
        <is>
          <t>rs7665880</t>
        </is>
      </c>
      <c r="F2961" t="n">
        <v>-0.0473657678</v>
      </c>
      <c r="G2961" t="n">
        <v>0.153019638109355</v>
      </c>
      <c r="H2961" t="n">
        <v>0.0135972847797118</v>
      </c>
      <c r="I2961" t="n">
        <v>0.3110569544607837</v>
      </c>
      <c r="J2961" t="n">
        <v>0.1020156645934116</v>
      </c>
      <c r="K2961" t="n">
        <v>0.3488432347869483</v>
      </c>
      <c r="L2961" t="b">
        <v>0</v>
      </c>
      <c r="M2961" t="b">
        <v>0</v>
      </c>
      <c r="N2961" t="inlineStr">
        <is>
          <t>ref</t>
        </is>
      </c>
      <c r="O2961" t="n">
        <v>80</v>
      </c>
      <c r="P2961" t="n">
        <v>0.01016</v>
      </c>
      <c r="Q2961" t="n">
        <v>85</v>
      </c>
      <c r="R2961" t="n">
        <v>0.1559</v>
      </c>
      <c r="S2961">
        <f>IMAGE("https://mitra.stanford.edu/kundaje/oak/projects/neuro-variants/variant_position/credible/roussos_2024/variant_figures/roussos_2024.childhood.GABA/rs7665880_count_position.png",4,220,900)</f>
        <v/>
      </c>
      <c r="T2961">
        <f>IMAGE("https://mitra.stanford.edu/kundaje/oak/projects/neuro-variants/variant_position/credible/roussos_2024/variant_figures/roussos_2024.childhood.GABA/rs7665880_profile_position.png",4,220,900)</f>
        <v/>
      </c>
    </row>
    <row r="2962">
      <c r="A2962" t="inlineStr">
        <is>
          <t>chr4</t>
        </is>
      </c>
      <c r="B2962" t="n">
        <v>34022788</v>
      </c>
      <c r="C2962" t="inlineStr">
        <is>
          <t>T</t>
        </is>
      </c>
      <c r="D2962" t="inlineStr">
        <is>
          <t>G</t>
        </is>
      </c>
      <c r="E2962" t="inlineStr">
        <is>
          <t>rs13130693</t>
        </is>
      </c>
      <c r="F2962" t="n">
        <v>-0.023818985426</v>
      </c>
      <c r="G2962" t="n">
        <v>0.3956096304656334</v>
      </c>
      <c r="H2962" t="n">
        <v>0.0265463449976517</v>
      </c>
      <c r="I2962" t="n">
        <v>0.0215321743624388</v>
      </c>
      <c r="J2962" t="n">
        <v>0.0506596720487528</v>
      </c>
      <c r="K2962" t="n">
        <v>0.4837202222465965</v>
      </c>
      <c r="L2962" t="b">
        <v>0</v>
      </c>
      <c r="M2962" t="b">
        <v>0</v>
      </c>
      <c r="N2962" t="inlineStr">
        <is>
          <t>ref</t>
        </is>
      </c>
      <c r="O2962" t="n">
        <v>-35</v>
      </c>
      <c r="P2962" t="n">
        <v>0.001963</v>
      </c>
      <c r="Q2962" t="n">
        <v>-75</v>
      </c>
      <c r="R2962" t="n">
        <v>0.0997</v>
      </c>
      <c r="S2962">
        <f>IMAGE("https://mitra.stanford.edu/kundaje/oak/projects/neuro-variants/variant_position/credible/roussos_2024/variant_figures/roussos_2024.childhood.GABA/rs13130693_count_position.png",4,220,900)</f>
        <v/>
      </c>
      <c r="T2962">
        <f>IMAGE("https://mitra.stanford.edu/kundaje/oak/projects/neuro-variants/variant_position/credible/roussos_2024/variant_figures/roussos_2024.childhood.GABA/rs13130693_profile_position.png",4,220,900)</f>
        <v/>
      </c>
    </row>
    <row r="2963">
      <c r="A2963" t="inlineStr">
        <is>
          <t>chr4</t>
        </is>
      </c>
      <c r="B2963" t="n">
        <v>34025177</v>
      </c>
      <c r="C2963" t="inlineStr">
        <is>
          <t>C</t>
        </is>
      </c>
      <c r="D2963" t="inlineStr">
        <is>
          <t>A</t>
        </is>
      </c>
      <c r="E2963" t="inlineStr">
        <is>
          <t>rs12647107</t>
        </is>
      </c>
      <c r="F2963" t="n">
        <v>0.0572296354</v>
      </c>
      <c r="G2963" t="n">
        <v>0.11631193398361</v>
      </c>
      <c r="H2963" t="n">
        <v>0.0158863492631818</v>
      </c>
      <c r="I2963" t="n">
        <v>0.1835511110400092</v>
      </c>
      <c r="J2963" t="n">
        <v>0.02369269753513</v>
      </c>
      <c r="K2963" t="n">
        <v>0.6513743559114484</v>
      </c>
      <c r="L2963" t="b">
        <v>0</v>
      </c>
      <c r="M2963" t="b">
        <v>0</v>
      </c>
      <c r="N2963" t="inlineStr">
        <is>
          <t>alt</t>
        </is>
      </c>
      <c r="O2963" t="n">
        <v>-90</v>
      </c>
      <c r="P2963" t="n">
        <v>0.01264</v>
      </c>
      <c r="Q2963" t="n">
        <v>-55</v>
      </c>
      <c r="R2963" t="n">
        <v>0.02277</v>
      </c>
      <c r="S2963">
        <f>IMAGE("https://mitra.stanford.edu/kundaje/oak/projects/neuro-variants/variant_position/credible/roussos_2024/variant_figures/roussos_2024.childhood.GABA/rs12647107_count_position.png",4,220,900)</f>
        <v/>
      </c>
      <c r="T2963">
        <f>IMAGE("https://mitra.stanford.edu/kundaje/oak/projects/neuro-variants/variant_position/credible/roussos_2024/variant_figures/roussos_2024.childhood.GABA/rs12647107_profile_position.png",4,220,900)</f>
        <v/>
      </c>
    </row>
    <row r="2964">
      <c r="A2964" t="inlineStr">
        <is>
          <t>chr4</t>
        </is>
      </c>
      <c r="B2964" t="n">
        <v>34039357</v>
      </c>
      <c r="C2964" t="inlineStr">
        <is>
          <t>C</t>
        </is>
      </c>
      <c r="D2964" t="inlineStr">
        <is>
          <t>G</t>
        </is>
      </c>
      <c r="E2964" t="inlineStr">
        <is>
          <t>rs35930604</t>
        </is>
      </c>
      <c r="F2964" t="n">
        <v>0.1236765052</v>
      </c>
      <c r="G2964" t="n">
        <v>0.0180199417627088</v>
      </c>
      <c r="H2964" t="n">
        <v>0.0157128180870093</v>
      </c>
      <c r="I2964" t="n">
        <v>0.1923678420712094</v>
      </c>
      <c r="J2964" t="n">
        <v>0.3215827940776109</v>
      </c>
      <c r="K2964" t="n">
        <v>0.1229011859809613</v>
      </c>
      <c r="L2964" t="b">
        <v>1</v>
      </c>
      <c r="M2964" t="b">
        <v>0</v>
      </c>
      <c r="N2964" t="inlineStr">
        <is>
          <t>alt</t>
        </is>
      </c>
      <c r="O2964" t="n">
        <v>100</v>
      </c>
      <c r="P2964" t="n">
        <v>0.002747</v>
      </c>
      <c r="Q2964" t="n">
        <v>-35</v>
      </c>
      <c r="R2964" t="n">
        <v>0.03857</v>
      </c>
      <c r="S2964">
        <f>IMAGE("https://mitra.stanford.edu/kundaje/oak/projects/neuro-variants/variant_position/credible/roussos_2024/variant_figures/roussos_2024.childhood.GABA/rs35930604_count_position.png",4,220,900)</f>
        <v/>
      </c>
      <c r="T2964">
        <f>IMAGE("https://mitra.stanford.edu/kundaje/oak/projects/neuro-variants/variant_position/credible/roussos_2024/variant_figures/roussos_2024.childhood.GABA/rs35930604_profile_position.png",4,220,900)</f>
        <v/>
      </c>
    </row>
    <row r="2965">
      <c r="A2965" t="inlineStr">
        <is>
          <t>chr4</t>
        </is>
      </c>
      <c r="B2965" t="n">
        <v>34039921</v>
      </c>
      <c r="C2965" t="inlineStr">
        <is>
          <t>G</t>
        </is>
      </c>
      <c r="D2965" t="inlineStr">
        <is>
          <t>A</t>
        </is>
      </c>
      <c r="E2965" t="inlineStr">
        <is>
          <t>rs67951022</t>
        </is>
      </c>
      <c r="F2965" t="n">
        <v>-0.00194482676</v>
      </c>
      <c r="G2965" t="n">
        <v>0.4198517814069669</v>
      </c>
      <c r="H2965" t="n">
        <v>0.0189386144216854</v>
      </c>
      <c r="I2965" t="n">
        <v>0.0945310029324232</v>
      </c>
      <c r="J2965" t="n">
        <v>0.5120165022722036</v>
      </c>
      <c r="K2965" t="n">
        <v>0.0490894037495144</v>
      </c>
      <c r="L2965" t="b">
        <v>0</v>
      </c>
      <c r="M2965" t="b">
        <v>0</v>
      </c>
      <c r="N2965" t="inlineStr">
        <is>
          <t>ref</t>
        </is>
      </c>
      <c r="O2965" t="n">
        <v>30</v>
      </c>
      <c r="P2965" t="n">
        <v>0.005173</v>
      </c>
      <c r="Q2965" t="n">
        <v>60</v>
      </c>
      <c r="R2965" t="n">
        <v>0.04785</v>
      </c>
      <c r="S2965">
        <f>IMAGE("https://mitra.stanford.edu/kundaje/oak/projects/neuro-variants/variant_position/credible/roussos_2024/variant_figures/roussos_2024.childhood.GABA/rs67951022_count_position.png",4,220,900)</f>
        <v/>
      </c>
      <c r="T2965">
        <f>IMAGE("https://mitra.stanford.edu/kundaje/oak/projects/neuro-variants/variant_position/credible/roussos_2024/variant_figures/roussos_2024.childhood.GABA/rs67951022_profile_position.png",4,220,900)</f>
        <v/>
      </c>
    </row>
    <row r="2966">
      <c r="A2966" t="inlineStr">
        <is>
          <t>chr4</t>
        </is>
      </c>
      <c r="B2966" t="n">
        <v>34041165</v>
      </c>
      <c r="C2966" t="inlineStr">
        <is>
          <t>A</t>
        </is>
      </c>
      <c r="D2966" t="inlineStr">
        <is>
          <t>G</t>
        </is>
      </c>
      <c r="E2966" t="inlineStr">
        <is>
          <t>rs6531289</t>
        </is>
      </c>
      <c r="F2966" t="n">
        <v>0.108532413</v>
      </c>
      <c r="G2966" t="n">
        <v>0.0233948330076989</v>
      </c>
      <c r="H2966" t="n">
        <v>0.0137276619216796</v>
      </c>
      <c r="I2966" t="n">
        <v>0.3049762734890429</v>
      </c>
      <c r="J2966" t="n">
        <v>0.0142195974953403</v>
      </c>
      <c r="K2966" t="n">
        <v>0.6976928928113315</v>
      </c>
      <c r="L2966" t="b">
        <v>0</v>
      </c>
      <c r="M2966" t="b">
        <v>0</v>
      </c>
      <c r="N2966" t="inlineStr">
        <is>
          <t>alt</t>
        </is>
      </c>
      <c r="O2966" t="n">
        <v>35</v>
      </c>
      <c r="P2966" t="n">
        <v>0.006264</v>
      </c>
      <c r="Q2966" t="n">
        <v>-50</v>
      </c>
      <c r="R2966" t="n">
        <v>0.08690000000000001</v>
      </c>
      <c r="S2966">
        <f>IMAGE("https://mitra.stanford.edu/kundaje/oak/projects/neuro-variants/variant_position/credible/roussos_2024/variant_figures/roussos_2024.childhood.GABA/rs6531289_count_position.png",4,220,900)</f>
        <v/>
      </c>
      <c r="T2966">
        <f>IMAGE("https://mitra.stanford.edu/kundaje/oak/projects/neuro-variants/variant_position/credible/roussos_2024/variant_figures/roussos_2024.childhood.GABA/rs6531289_profile_position.png",4,220,900)</f>
        <v/>
      </c>
    </row>
    <row r="2967">
      <c r="A2967" t="inlineStr">
        <is>
          <t>chr4</t>
        </is>
      </c>
      <c r="B2967" t="n">
        <v>34065590</v>
      </c>
      <c r="C2967" t="inlineStr">
        <is>
          <t>T</t>
        </is>
      </c>
      <c r="D2967" t="inlineStr">
        <is>
          <t>C</t>
        </is>
      </c>
      <c r="E2967" t="inlineStr">
        <is>
          <t>rs6824096</t>
        </is>
      </c>
      <c r="F2967" t="n">
        <v>0.019282176</v>
      </c>
      <c r="G2967" t="n">
        <v>0.4274193269913062</v>
      </c>
      <c r="H2967" t="n">
        <v>0.0131446363482351</v>
      </c>
      <c r="I2967" t="n">
        <v>0.3427772347707384</v>
      </c>
      <c r="J2967" t="n">
        <v>0.0035475696844044</v>
      </c>
      <c r="K2967" t="n">
        <v>0.8384093559591397</v>
      </c>
      <c r="L2967" t="b">
        <v>0</v>
      </c>
      <c r="M2967" t="b">
        <v>0</v>
      </c>
      <c r="N2967" t="inlineStr">
        <is>
          <t>alt</t>
        </is>
      </c>
      <c r="O2967" t="n">
        <v>-100</v>
      </c>
      <c r="P2967" t="n">
        <v>0.01102</v>
      </c>
      <c r="Q2967" t="n">
        <v>-100</v>
      </c>
      <c r="R2967" t="n">
        <v>0.08295</v>
      </c>
      <c r="S2967">
        <f>IMAGE("https://mitra.stanford.edu/kundaje/oak/projects/neuro-variants/variant_position/credible/roussos_2024/variant_figures/roussos_2024.childhood.GABA/rs6824096_count_position.png",4,220,900)</f>
        <v/>
      </c>
      <c r="T2967">
        <f>IMAGE("https://mitra.stanford.edu/kundaje/oak/projects/neuro-variants/variant_position/credible/roussos_2024/variant_figures/roussos_2024.childhood.GABA/rs6824096_profile_position.png",4,220,900)</f>
        <v/>
      </c>
    </row>
    <row r="2968">
      <c r="A2968" t="inlineStr">
        <is>
          <t>chr4</t>
        </is>
      </c>
      <c r="B2968" t="n">
        <v>34066372</v>
      </c>
      <c r="C2968" t="inlineStr">
        <is>
          <t>G</t>
        </is>
      </c>
      <c r="D2968" t="inlineStr">
        <is>
          <t>A</t>
        </is>
      </c>
      <c r="E2968" t="inlineStr">
        <is>
          <t>rs59339146</t>
        </is>
      </c>
      <c r="F2968" t="n">
        <v>0.0230684316</v>
      </c>
      <c r="G2968" t="n">
        <v>0.3625666233453142</v>
      </c>
      <c r="H2968" t="n">
        <v>0.0138541000748798</v>
      </c>
      <c r="I2968" t="n">
        <v>0.2948710011688096</v>
      </c>
      <c r="J2968" t="n">
        <v>0.0158457414504407</v>
      </c>
      <c r="K2968" t="n">
        <v>0.6850801768619902</v>
      </c>
      <c r="L2968" t="b">
        <v>0</v>
      </c>
      <c r="M2968" t="b">
        <v>0</v>
      </c>
      <c r="N2968" t="inlineStr">
        <is>
          <t>alt</t>
        </is>
      </c>
      <c r="O2968" t="n">
        <v>30</v>
      </c>
      <c r="P2968" t="n">
        <v>0.00502</v>
      </c>
      <c r="Q2968" t="n">
        <v>-90</v>
      </c>
      <c r="R2968" t="n">
        <v>0.0475</v>
      </c>
      <c r="S2968">
        <f>IMAGE("https://mitra.stanford.edu/kundaje/oak/projects/neuro-variants/variant_position/credible/roussos_2024/variant_figures/roussos_2024.childhood.GABA/rs59339146_count_position.png",4,220,900)</f>
        <v/>
      </c>
      <c r="T2968">
        <f>IMAGE("https://mitra.stanford.edu/kundaje/oak/projects/neuro-variants/variant_position/credible/roussos_2024/variant_figures/roussos_2024.childhood.GABA/rs59339146_profile_position.png",4,220,900)</f>
        <v/>
      </c>
    </row>
    <row r="2969">
      <c r="A2969" t="inlineStr">
        <is>
          <t>chr4</t>
        </is>
      </c>
      <c r="B2969" t="n">
        <v>34068348</v>
      </c>
      <c r="C2969" t="inlineStr">
        <is>
          <t>T</t>
        </is>
      </c>
      <c r="D2969" t="inlineStr">
        <is>
          <t>A</t>
        </is>
      </c>
      <c r="E2969" t="inlineStr">
        <is>
          <t>rs35776025</t>
        </is>
      </c>
      <c r="F2969" t="n">
        <v>-0.0742184</v>
      </c>
      <c r="G2969" t="n">
        <v>0.0670086948967067</v>
      </c>
      <c r="H2969" t="n">
        <v>0.0185966474981635</v>
      </c>
      <c r="I2969" t="n">
        <v>0.1015728731204698</v>
      </c>
      <c r="J2969" t="n">
        <v>0.071347196917342</v>
      </c>
      <c r="K2969" t="n">
        <v>0.4233005155452266</v>
      </c>
      <c r="L2969" t="b">
        <v>0</v>
      </c>
      <c r="M2969" t="b">
        <v>0</v>
      </c>
      <c r="N2969" t="inlineStr">
        <is>
          <t>ref</t>
        </is>
      </c>
      <c r="O2969" t="n">
        <v>-100</v>
      </c>
      <c r="P2969" t="n">
        <v>0.01019</v>
      </c>
      <c r="Q2969" t="n">
        <v>-55</v>
      </c>
      <c r="R2969" t="n">
        <v>0.08434999999999999</v>
      </c>
      <c r="S2969">
        <f>IMAGE("https://mitra.stanford.edu/kundaje/oak/projects/neuro-variants/variant_position/credible/roussos_2024/variant_figures/roussos_2024.childhood.GABA/rs35776025_count_position.png",4,220,900)</f>
        <v/>
      </c>
      <c r="T2969">
        <f>IMAGE("https://mitra.stanford.edu/kundaje/oak/projects/neuro-variants/variant_position/credible/roussos_2024/variant_figures/roussos_2024.childhood.GABA/rs35776025_profile_position.png",4,220,900)</f>
        <v/>
      </c>
    </row>
    <row r="2970">
      <c r="A2970" t="inlineStr">
        <is>
          <t>chr4</t>
        </is>
      </c>
      <c r="B2970" t="n">
        <v>34068367</v>
      </c>
      <c r="C2970" t="inlineStr">
        <is>
          <t>T</t>
        </is>
      </c>
      <c r="D2970" t="inlineStr">
        <is>
          <t>C</t>
        </is>
      </c>
      <c r="E2970" t="inlineStr">
        <is>
          <t>rs6844408</t>
        </is>
      </c>
      <c r="F2970" t="n">
        <v>0.048075117</v>
      </c>
      <c r="G2970" t="n">
        <v>0.1641122227824185</v>
      </c>
      <c r="H2970" t="n">
        <v>0.0123308066233465</v>
      </c>
      <c r="I2970" t="n">
        <v>0.411203085463548</v>
      </c>
      <c r="J2970" t="n">
        <v>0.0790695482817113</v>
      </c>
      <c r="K2970" t="n">
        <v>0.4033347649571916</v>
      </c>
      <c r="L2970" t="b">
        <v>0</v>
      </c>
      <c r="M2970" t="b">
        <v>0</v>
      </c>
      <c r="N2970" t="inlineStr">
        <is>
          <t>alt</t>
        </is>
      </c>
      <c r="O2970" t="n">
        <v>-100</v>
      </c>
      <c r="P2970" t="n">
        <v>0.01007</v>
      </c>
      <c r="Q2970" t="n">
        <v>-75</v>
      </c>
      <c r="R2970" t="n">
        <v>0.11487</v>
      </c>
      <c r="S2970">
        <f>IMAGE("https://mitra.stanford.edu/kundaje/oak/projects/neuro-variants/variant_position/credible/roussos_2024/variant_figures/roussos_2024.childhood.GABA/rs6844408_count_position.png",4,220,900)</f>
        <v/>
      </c>
      <c r="T2970">
        <f>IMAGE("https://mitra.stanford.edu/kundaje/oak/projects/neuro-variants/variant_position/credible/roussos_2024/variant_figures/roussos_2024.childhood.GABA/rs6844408_profile_position.png",4,220,900)</f>
        <v/>
      </c>
    </row>
    <row r="2971">
      <c r="A2971" t="inlineStr">
        <is>
          <t>chr4</t>
        </is>
      </c>
      <c r="B2971" t="n">
        <v>34069768</v>
      </c>
      <c r="C2971" t="inlineStr">
        <is>
          <t>T</t>
        </is>
      </c>
      <c r="D2971" t="inlineStr">
        <is>
          <t>C</t>
        </is>
      </c>
      <c r="E2971" t="inlineStr">
        <is>
          <t>rs10461117</t>
        </is>
      </c>
      <c r="F2971" t="n">
        <v>-0.00183063672</v>
      </c>
      <c r="G2971" t="n">
        <v>0.8095341207052452</v>
      </c>
      <c r="H2971" t="n">
        <v>0.0295811905950336</v>
      </c>
      <c r="I2971" t="n">
        <v>0.0137960055474889</v>
      </c>
      <c r="J2971" t="n">
        <v>0.0053621913677199</v>
      </c>
      <c r="K2971" t="n">
        <v>0.8074005732972355</v>
      </c>
      <c r="L2971" t="b">
        <v>0</v>
      </c>
      <c r="M2971" t="b">
        <v>0</v>
      </c>
      <c r="N2971" t="inlineStr">
        <is>
          <t>ref</t>
        </is>
      </c>
      <c r="O2971" t="n">
        <v>-85</v>
      </c>
      <c r="P2971" t="n">
        <v>0.005707</v>
      </c>
      <c r="Q2971" t="n">
        <v>-15</v>
      </c>
      <c r="R2971" t="n">
        <v>0.03394</v>
      </c>
      <c r="S2971">
        <f>IMAGE("https://mitra.stanford.edu/kundaje/oak/projects/neuro-variants/variant_position/credible/roussos_2024/variant_figures/roussos_2024.childhood.GABA/rs10461117_count_position.png",4,220,900)</f>
        <v/>
      </c>
      <c r="T2971">
        <f>IMAGE("https://mitra.stanford.edu/kundaje/oak/projects/neuro-variants/variant_position/credible/roussos_2024/variant_figures/roussos_2024.childhood.GABA/rs10461117_profile_position.png",4,220,900)</f>
        <v/>
      </c>
    </row>
    <row r="2972">
      <c r="A2972" t="inlineStr">
        <is>
          <t>chr4</t>
        </is>
      </c>
      <c r="B2972" t="n">
        <v>34073046</v>
      </c>
      <c r="C2972" t="inlineStr">
        <is>
          <t>A</t>
        </is>
      </c>
      <c r="D2972" t="inlineStr">
        <is>
          <t>C</t>
        </is>
      </c>
      <c r="E2972" t="inlineStr">
        <is>
          <t>rs113731541</t>
        </is>
      </c>
      <c r="F2972" t="n">
        <v>-0.0133150272999999</v>
      </c>
      <c r="G2972" t="n">
        <v>0.532909663594375</v>
      </c>
      <c r="H2972" t="n">
        <v>0.0449891236529241</v>
      </c>
      <c r="I2972" t="n">
        <v>0.0026251465000667</v>
      </c>
      <c r="J2972" t="n">
        <v>0.0158206110866787</v>
      </c>
      <c r="K2972" t="n">
        <v>0.6816857285425119</v>
      </c>
      <c r="L2972" t="b">
        <v>1</v>
      </c>
      <c r="M2972" t="b">
        <v>0</v>
      </c>
      <c r="N2972" t="inlineStr">
        <is>
          <t>ref</t>
        </is>
      </c>
      <c r="O2972" t="n">
        <v>-100</v>
      </c>
      <c r="P2972" t="n">
        <v>0.008514000000000001</v>
      </c>
      <c r="Q2972" t="n">
        <v>-100</v>
      </c>
      <c r="R2972" t="n">
        <v>0.04257</v>
      </c>
      <c r="S2972">
        <f>IMAGE("https://mitra.stanford.edu/kundaje/oak/projects/neuro-variants/variant_position/credible/roussos_2024/variant_figures/roussos_2024.childhood.GABA/rs113731541_count_position.png",4,220,900)</f>
        <v/>
      </c>
      <c r="T2972">
        <f>IMAGE("https://mitra.stanford.edu/kundaje/oak/projects/neuro-variants/variant_position/credible/roussos_2024/variant_figures/roussos_2024.childhood.GABA/rs113731541_profile_position.png",4,220,900)</f>
        <v/>
      </c>
    </row>
    <row r="2973">
      <c r="A2973" t="inlineStr">
        <is>
          <t>chr4</t>
        </is>
      </c>
      <c r="B2973" t="n">
        <v>34073066</v>
      </c>
      <c r="C2973" t="inlineStr">
        <is>
          <t>C</t>
        </is>
      </c>
      <c r="D2973" t="inlineStr">
        <is>
          <t>A</t>
        </is>
      </c>
      <c r="E2973" t="inlineStr">
        <is>
          <t>rs34334195</t>
        </is>
      </c>
      <c r="F2973" t="n">
        <v>0.0125848347199999</v>
      </c>
      <c r="G2973" t="n">
        <v>0.5757916223974625</v>
      </c>
      <c r="H2973" t="n">
        <v>0.0231599303834171</v>
      </c>
      <c r="I2973" t="n">
        <v>0.0396724110844976</v>
      </c>
      <c r="J2973" t="n">
        <v>0.0160509727544972</v>
      </c>
      <c r="K2973" t="n">
        <v>0.6787511471065557</v>
      </c>
      <c r="L2973" t="b">
        <v>0</v>
      </c>
      <c r="M2973" t="b">
        <v>0</v>
      </c>
      <c r="N2973" t="inlineStr">
        <is>
          <t>alt</t>
        </is>
      </c>
      <c r="O2973" t="n">
        <v>-85</v>
      </c>
      <c r="P2973" t="n">
        <v>0.01004</v>
      </c>
      <c r="Q2973" t="n">
        <v>70</v>
      </c>
      <c r="R2973" t="n">
        <v>0.02719</v>
      </c>
      <c r="S2973">
        <f>IMAGE("https://mitra.stanford.edu/kundaje/oak/projects/neuro-variants/variant_position/credible/roussos_2024/variant_figures/roussos_2024.childhood.GABA/rs34334195_count_position.png",4,220,900)</f>
        <v/>
      </c>
      <c r="T2973">
        <f>IMAGE("https://mitra.stanford.edu/kundaje/oak/projects/neuro-variants/variant_position/credible/roussos_2024/variant_figures/roussos_2024.childhood.GABA/rs34334195_profile_position.png",4,220,900)</f>
        <v/>
      </c>
    </row>
    <row r="2974">
      <c r="A2974" t="inlineStr">
        <is>
          <t>chr4</t>
        </is>
      </c>
      <c r="B2974" t="n">
        <v>34073564</v>
      </c>
      <c r="C2974" t="inlineStr">
        <is>
          <t>T</t>
        </is>
      </c>
      <c r="D2974" t="inlineStr">
        <is>
          <t>C</t>
        </is>
      </c>
      <c r="E2974" t="inlineStr">
        <is>
          <t>rs35361741</t>
        </is>
      </c>
      <c r="F2974" t="n">
        <v>-0.00749775842</v>
      </c>
      <c r="G2974" t="n">
        <v>0.6871499191714073</v>
      </c>
      <c r="H2974" t="n">
        <v>0.0232373302203805</v>
      </c>
      <c r="I2974" t="n">
        <v>0.0392959443468676</v>
      </c>
      <c r="J2974" t="n">
        <v>0.004228183702959</v>
      </c>
      <c r="K2974" t="n">
        <v>0.8246501517544167</v>
      </c>
      <c r="L2974" t="b">
        <v>0</v>
      </c>
      <c r="M2974" t="b">
        <v>0</v>
      </c>
      <c r="N2974" t="inlineStr">
        <is>
          <t>ref</t>
        </is>
      </c>
      <c r="O2974" t="n">
        <v>-75</v>
      </c>
      <c r="P2974" t="n">
        <v>0.012825</v>
      </c>
      <c r="Q2974" t="n">
        <v>100</v>
      </c>
      <c r="R2974" t="n">
        <v>0.01019</v>
      </c>
      <c r="S2974">
        <f>IMAGE("https://mitra.stanford.edu/kundaje/oak/projects/neuro-variants/variant_position/credible/roussos_2024/variant_figures/roussos_2024.childhood.GABA/rs35361741_count_position.png",4,220,900)</f>
        <v/>
      </c>
      <c r="T2974">
        <f>IMAGE("https://mitra.stanford.edu/kundaje/oak/projects/neuro-variants/variant_position/credible/roussos_2024/variant_figures/roussos_2024.childhood.GABA/rs35361741_profile_position.png",4,220,900)</f>
        <v/>
      </c>
    </row>
    <row r="2975">
      <c r="A2975" t="inlineStr">
        <is>
          <t>chr4</t>
        </is>
      </c>
      <c r="B2975" t="n">
        <v>34075163</v>
      </c>
      <c r="C2975" t="inlineStr">
        <is>
          <t>C</t>
        </is>
      </c>
      <c r="D2975" t="inlineStr">
        <is>
          <t>T</t>
        </is>
      </c>
      <c r="E2975" t="inlineStr">
        <is>
          <t>rs13146184</t>
        </is>
      </c>
      <c r="F2975" t="n">
        <v>-0.114024461</v>
      </c>
      <c r="G2975" t="n">
        <v>0.0220129499643036</v>
      </c>
      <c r="H2975" t="n">
        <v>0.0216794413728854</v>
      </c>
      <c r="I2975" t="n">
        <v>0.0600651493248606</v>
      </c>
      <c r="J2975" t="n">
        <v>0.0062836380389938</v>
      </c>
      <c r="K2975" t="n">
        <v>0.8065911625007212</v>
      </c>
      <c r="L2975" t="b">
        <v>0</v>
      </c>
      <c r="M2975" t="b">
        <v>0</v>
      </c>
      <c r="N2975" t="inlineStr">
        <is>
          <t>ref</t>
        </is>
      </c>
      <c r="O2975" t="n">
        <v>10</v>
      </c>
      <c r="P2975" t="n">
        <v>0.0016575</v>
      </c>
      <c r="Q2975" t="n">
        <v>-85</v>
      </c>
      <c r="R2975" t="n">
        <v>0.03564</v>
      </c>
      <c r="S2975">
        <f>IMAGE("https://mitra.stanford.edu/kundaje/oak/projects/neuro-variants/variant_position/credible/roussos_2024/variant_figures/roussos_2024.childhood.GABA/rs13146184_count_position.png",4,220,900)</f>
        <v/>
      </c>
      <c r="T2975">
        <f>IMAGE("https://mitra.stanford.edu/kundaje/oak/projects/neuro-variants/variant_position/credible/roussos_2024/variant_figures/roussos_2024.childhood.GABA/rs13146184_profile_position.png",4,220,900)</f>
        <v/>
      </c>
    </row>
    <row r="2976">
      <c r="A2976" t="inlineStr">
        <is>
          <t>chr4</t>
        </is>
      </c>
      <c r="B2976" t="n">
        <v>34077033</v>
      </c>
      <c r="C2976" t="inlineStr">
        <is>
          <t>C</t>
        </is>
      </c>
      <c r="D2976" t="inlineStr">
        <is>
          <t>A</t>
        </is>
      </c>
      <c r="E2976" t="inlineStr">
        <is>
          <t>rs3924935</t>
        </is>
      </c>
      <c r="F2976" t="n">
        <v>0.00770058842</v>
      </c>
      <c r="G2976" t="n">
        <v>0.6644987341737181</v>
      </c>
      <c r="H2976" t="n">
        <v>0.0227003905684444</v>
      </c>
      <c r="I2976" t="n">
        <v>0.0434989988941257</v>
      </c>
      <c r="J2976" t="n">
        <v>0.0092929990994952</v>
      </c>
      <c r="K2976" t="n">
        <v>0.7469922602556073</v>
      </c>
      <c r="L2976" t="b">
        <v>0</v>
      </c>
      <c r="M2976" t="b">
        <v>0</v>
      </c>
      <c r="N2976" t="inlineStr">
        <is>
          <t>alt</t>
        </is>
      </c>
      <c r="O2976" t="n">
        <v>100</v>
      </c>
      <c r="P2976" t="n">
        <v>0.01128</v>
      </c>
      <c r="Q2976" t="n">
        <v>85</v>
      </c>
      <c r="R2976" t="n">
        <v>0.2263</v>
      </c>
      <c r="S2976">
        <f>IMAGE("https://mitra.stanford.edu/kundaje/oak/projects/neuro-variants/variant_position/credible/roussos_2024/variant_figures/roussos_2024.childhood.GABA/rs3924935_count_position.png",4,220,900)</f>
        <v/>
      </c>
      <c r="T2976">
        <f>IMAGE("https://mitra.stanford.edu/kundaje/oak/projects/neuro-variants/variant_position/credible/roussos_2024/variant_figures/roussos_2024.childhood.GABA/rs3924935_profile_position.png",4,220,900)</f>
        <v/>
      </c>
    </row>
    <row r="2977">
      <c r="A2977" t="inlineStr">
        <is>
          <t>chr4</t>
        </is>
      </c>
      <c r="B2977" t="n">
        <v>34078601</v>
      </c>
      <c r="C2977" t="inlineStr">
        <is>
          <t>G</t>
        </is>
      </c>
      <c r="D2977" t="inlineStr">
        <is>
          <t>T</t>
        </is>
      </c>
      <c r="E2977" t="inlineStr">
        <is>
          <t>rs35921722</t>
        </is>
      </c>
      <c r="F2977" t="n">
        <v>-0.008399209180000001</v>
      </c>
      <c r="G2977" t="n">
        <v>0.6648365046962632</v>
      </c>
      <c r="H2977" t="n">
        <v>0.0235680716064337</v>
      </c>
      <c r="I2977" t="n">
        <v>0.0370952156733521</v>
      </c>
      <c r="J2977" t="n">
        <v>0.0272475969089652</v>
      </c>
      <c r="K2977" t="n">
        <v>0.6025207243086158</v>
      </c>
      <c r="L2977" t="b">
        <v>0</v>
      </c>
      <c r="M2977" t="b">
        <v>0</v>
      </c>
      <c r="N2977" t="inlineStr">
        <is>
          <t>ref</t>
        </is>
      </c>
      <c r="O2977" t="n">
        <v>100</v>
      </c>
      <c r="P2977" t="n">
        <v>0.00182</v>
      </c>
      <c r="Q2977" t="n">
        <v>40</v>
      </c>
      <c r="R2977" t="n">
        <v>0.05377</v>
      </c>
      <c r="S2977">
        <f>IMAGE("https://mitra.stanford.edu/kundaje/oak/projects/neuro-variants/variant_position/credible/roussos_2024/variant_figures/roussos_2024.childhood.GABA/rs35921722_count_position.png",4,220,900)</f>
        <v/>
      </c>
      <c r="T2977">
        <f>IMAGE("https://mitra.stanford.edu/kundaje/oak/projects/neuro-variants/variant_position/credible/roussos_2024/variant_figures/roussos_2024.childhood.GABA/rs35921722_profile_position.png",4,220,900)</f>
        <v/>
      </c>
    </row>
    <row r="2978">
      <c r="A2978" t="inlineStr">
        <is>
          <t>chr4</t>
        </is>
      </c>
      <c r="B2978" t="n">
        <v>34086572</v>
      </c>
      <c r="C2978" t="inlineStr">
        <is>
          <t>A</t>
        </is>
      </c>
      <c r="D2978" t="inlineStr">
        <is>
          <t>C</t>
        </is>
      </c>
      <c r="E2978" t="inlineStr">
        <is>
          <t>rs9985883</t>
        </is>
      </c>
      <c r="F2978" t="n">
        <v>-0.00049457618</v>
      </c>
      <c r="G2978" t="n">
        <v>0.766432627309879</v>
      </c>
      <c r="H2978" t="n">
        <v>0.0145807994038534</v>
      </c>
      <c r="I2978" t="n">
        <v>0.2503698807028851</v>
      </c>
      <c r="J2978" t="n">
        <v>0.001235576218299</v>
      </c>
      <c r="K2978" t="n">
        <v>0.9109197277614151</v>
      </c>
      <c r="L2978" t="b">
        <v>0</v>
      </c>
      <c r="M2978" t="b">
        <v>0</v>
      </c>
      <c r="N2978" t="inlineStr">
        <is>
          <t>ref</t>
        </is>
      </c>
      <c r="O2978" t="n">
        <v>-80</v>
      </c>
      <c r="P2978" t="n">
        <v>0.003876</v>
      </c>
      <c r="Q2978" t="n">
        <v>-100</v>
      </c>
      <c r="R2978" t="n">
        <v>0.2118</v>
      </c>
      <c r="S2978">
        <f>IMAGE("https://mitra.stanford.edu/kundaje/oak/projects/neuro-variants/variant_position/credible/roussos_2024/variant_figures/roussos_2024.childhood.GABA/rs9985883_count_position.png",4,220,900)</f>
        <v/>
      </c>
      <c r="T2978">
        <f>IMAGE("https://mitra.stanford.edu/kundaje/oak/projects/neuro-variants/variant_position/credible/roussos_2024/variant_figures/roussos_2024.childhood.GABA/rs9985883_profile_position.png",4,220,900)</f>
        <v/>
      </c>
    </row>
    <row r="2979">
      <c r="A2979" t="inlineStr">
        <is>
          <t>chr4</t>
        </is>
      </c>
      <c r="B2979" t="n">
        <v>34089846</v>
      </c>
      <c r="C2979" t="inlineStr">
        <is>
          <t>A</t>
        </is>
      </c>
      <c r="D2979" t="inlineStr">
        <is>
          <t>G</t>
        </is>
      </c>
      <c r="E2979" t="inlineStr">
        <is>
          <t>rs13152643</t>
        </is>
      </c>
      <c r="F2979" t="n">
        <v>0.206201874</v>
      </c>
      <c r="G2979" t="n">
        <v>0.0044063080504606</v>
      </c>
      <c r="H2979" t="n">
        <v>0.028584187494318</v>
      </c>
      <c r="I2979" t="n">
        <v>0.0196298534328675</v>
      </c>
      <c r="J2979" t="n">
        <v>0.0052229272685388</v>
      </c>
      <c r="K2979" t="n">
        <v>0.8067543453293857</v>
      </c>
      <c r="L2979" t="b">
        <v>1</v>
      </c>
      <c r="M2979" t="b">
        <v>1</v>
      </c>
      <c r="N2979" t="inlineStr">
        <is>
          <t>alt</t>
        </is>
      </c>
      <c r="O2979" t="n">
        <v>0</v>
      </c>
      <c r="P2979" t="n">
        <v>0</v>
      </c>
      <c r="Q2979" t="n">
        <v>25</v>
      </c>
      <c r="R2979" t="n">
        <v>0.02356</v>
      </c>
      <c r="S2979">
        <f>IMAGE("https://mitra.stanford.edu/kundaje/oak/projects/neuro-variants/variant_position/credible/roussos_2024/variant_figures/roussos_2024.childhood.GABA/rs13152643_count_position.png",4,220,900)</f>
        <v/>
      </c>
      <c r="T2979">
        <f>IMAGE("https://mitra.stanford.edu/kundaje/oak/projects/neuro-variants/variant_position/credible/roussos_2024/variant_figures/roussos_2024.childhood.GABA/rs13152643_profile_position.png",4,220,900)</f>
        <v/>
      </c>
    </row>
    <row r="2980">
      <c r="A2980" t="inlineStr">
        <is>
          <t>chr4</t>
        </is>
      </c>
      <c r="B2980" t="n">
        <v>34092585</v>
      </c>
      <c r="C2980" t="inlineStr">
        <is>
          <t>T</t>
        </is>
      </c>
      <c r="D2980" t="inlineStr">
        <is>
          <t>C</t>
        </is>
      </c>
      <c r="E2980" t="inlineStr">
        <is>
          <t>rs10022287</t>
        </is>
      </c>
      <c r="F2980" t="n">
        <v>-0.00699266302</v>
      </c>
      <c r="G2980" t="n">
        <v>0.734891733815626</v>
      </c>
      <c r="H2980" t="n">
        <v>0.0258622140520633</v>
      </c>
      <c r="I2980" t="n">
        <v>0.0262657050788489</v>
      </c>
      <c r="J2980" t="n">
        <v>0.002107809260539</v>
      </c>
      <c r="K2980" t="n">
        <v>0.8841877918380822</v>
      </c>
      <c r="L2980" t="b">
        <v>0</v>
      </c>
      <c r="M2980" t="b">
        <v>0</v>
      </c>
      <c r="N2980" t="inlineStr">
        <is>
          <t>ref</t>
        </is>
      </c>
      <c r="O2980" t="n">
        <v>-5</v>
      </c>
      <c r="P2980" t="n">
        <v>0.000311</v>
      </c>
      <c r="Q2980" t="n">
        <v>-70</v>
      </c>
      <c r="R2980" t="n">
        <v>0.02612</v>
      </c>
      <c r="S2980">
        <f>IMAGE("https://mitra.stanford.edu/kundaje/oak/projects/neuro-variants/variant_position/credible/roussos_2024/variant_figures/roussos_2024.childhood.GABA/rs10022287_count_position.png",4,220,900)</f>
        <v/>
      </c>
      <c r="T2980">
        <f>IMAGE("https://mitra.stanford.edu/kundaje/oak/projects/neuro-variants/variant_position/credible/roussos_2024/variant_figures/roussos_2024.childhood.GABA/rs10022287_profile_position.png",4,220,900)</f>
        <v/>
      </c>
    </row>
    <row r="2981">
      <c r="A2981" t="inlineStr">
        <is>
          <t>chr4</t>
        </is>
      </c>
      <c r="B2981" t="n">
        <v>34093031</v>
      </c>
      <c r="C2981" t="inlineStr">
        <is>
          <t>C</t>
        </is>
      </c>
      <c r="D2981" t="inlineStr">
        <is>
          <t>G</t>
        </is>
      </c>
      <c r="E2981" t="inlineStr">
        <is>
          <t>rs10010927</t>
        </is>
      </c>
      <c r="F2981" t="n">
        <v>-0.090933741</v>
      </c>
      <c r="G2981" t="n">
        <v>0.0445166806387374</v>
      </c>
      <c r="H2981" t="n">
        <v>0.0187327948690613</v>
      </c>
      <c r="I2981" t="n">
        <v>0.0974261850258157</v>
      </c>
      <c r="J2981" t="n">
        <v>0.0041695461875143</v>
      </c>
      <c r="K2981" t="n">
        <v>0.8352676596165747</v>
      </c>
      <c r="L2981" t="b">
        <v>0</v>
      </c>
      <c r="M2981" t="b">
        <v>0</v>
      </c>
      <c r="N2981" t="inlineStr">
        <is>
          <t>ref</t>
        </is>
      </c>
      <c r="O2981" t="n">
        <v>65</v>
      </c>
      <c r="P2981" t="n">
        <v>0.04343</v>
      </c>
      <c r="Q2981" t="n">
        <v>-15</v>
      </c>
      <c r="R2981" t="n">
        <v>0.01233</v>
      </c>
      <c r="S2981">
        <f>IMAGE("https://mitra.stanford.edu/kundaje/oak/projects/neuro-variants/variant_position/credible/roussos_2024/variant_figures/roussos_2024.childhood.GABA/rs10010927_count_position.png",4,220,900)</f>
        <v/>
      </c>
      <c r="T2981">
        <f>IMAGE("https://mitra.stanford.edu/kundaje/oak/projects/neuro-variants/variant_position/credible/roussos_2024/variant_figures/roussos_2024.childhood.GABA/rs10010927_profile_position.png",4,220,900)</f>
        <v/>
      </c>
    </row>
    <row r="2982">
      <c r="A2982" t="inlineStr">
        <is>
          <t>chr4</t>
        </is>
      </c>
      <c r="B2982" t="n">
        <v>34093997</v>
      </c>
      <c r="C2982" t="inlineStr">
        <is>
          <t>C</t>
        </is>
      </c>
      <c r="D2982" t="inlineStr">
        <is>
          <t>T</t>
        </is>
      </c>
      <c r="E2982" t="inlineStr">
        <is>
          <t>rs28473456</t>
        </is>
      </c>
      <c r="F2982" t="n">
        <v>-0.0582065546</v>
      </c>
      <c r="G2982" t="n">
        <v>0.110135711538496</v>
      </c>
      <c r="H2982" t="n">
        <v>0.0134235515677534</v>
      </c>
      <c r="I2982" t="n">
        <v>0.3194935794337906</v>
      </c>
      <c r="J2982" t="n">
        <v>0.0002219848798977</v>
      </c>
      <c r="K2982" t="n">
        <v>0.9636826278903624</v>
      </c>
      <c r="L2982" t="b">
        <v>0</v>
      </c>
      <c r="M2982" t="b">
        <v>0</v>
      </c>
      <c r="N2982" t="inlineStr">
        <is>
          <t>ref</t>
        </is>
      </c>
      <c r="O2982" t="n">
        <v>100</v>
      </c>
      <c r="P2982" t="n">
        <v>0.012955</v>
      </c>
      <c r="Q2982" t="n">
        <v>-20</v>
      </c>
      <c r="R2982" t="n">
        <v>0.02867</v>
      </c>
      <c r="S2982">
        <f>IMAGE("https://mitra.stanford.edu/kundaje/oak/projects/neuro-variants/variant_position/credible/roussos_2024/variant_figures/roussos_2024.childhood.GABA/rs28473456_count_position.png",4,220,900)</f>
        <v/>
      </c>
      <c r="T2982">
        <f>IMAGE("https://mitra.stanford.edu/kundaje/oak/projects/neuro-variants/variant_position/credible/roussos_2024/variant_figures/roussos_2024.childhood.GABA/rs28473456_profile_position.png",4,220,900)</f>
        <v/>
      </c>
    </row>
    <row r="2983">
      <c r="A2983" t="inlineStr">
        <is>
          <t>chr4</t>
        </is>
      </c>
      <c r="B2983" t="n">
        <v>34096803</v>
      </c>
      <c r="C2983" t="inlineStr">
        <is>
          <t>C</t>
        </is>
      </c>
      <c r="D2983" t="inlineStr">
        <is>
          <t>T</t>
        </is>
      </c>
      <c r="E2983" t="inlineStr">
        <is>
          <t>rs6854464</t>
        </is>
      </c>
      <c r="F2983" t="n">
        <v>-0.0563120584</v>
      </c>
      <c r="G2983" t="n">
        <v>0.1279536759770461</v>
      </c>
      <c r="H2983" t="n">
        <v>0.0136677614540499</v>
      </c>
      <c r="I2983" t="n">
        <v>0.307546258596335</v>
      </c>
      <c r="J2983" t="n">
        <v>0.0052522460262611</v>
      </c>
      <c r="K2983" t="n">
        <v>0.828552724903338</v>
      </c>
      <c r="L2983" t="b">
        <v>0</v>
      </c>
      <c r="M2983" t="b">
        <v>0</v>
      </c>
      <c r="N2983" t="inlineStr">
        <is>
          <t>ref</t>
        </is>
      </c>
      <c r="O2983" t="n">
        <v>100</v>
      </c>
      <c r="P2983" t="n">
        <v>0.00327</v>
      </c>
      <c r="Q2983" t="n">
        <v>-30</v>
      </c>
      <c r="R2983" t="n">
        <v>0.02429</v>
      </c>
      <c r="S2983">
        <f>IMAGE("https://mitra.stanford.edu/kundaje/oak/projects/neuro-variants/variant_position/credible/roussos_2024/variant_figures/roussos_2024.childhood.GABA/rs6854464_count_position.png",4,220,900)</f>
        <v/>
      </c>
      <c r="T2983">
        <f>IMAGE("https://mitra.stanford.edu/kundaje/oak/projects/neuro-variants/variant_position/credible/roussos_2024/variant_figures/roussos_2024.childhood.GABA/rs6854464_profile_position.png",4,220,900)</f>
        <v/>
      </c>
    </row>
    <row r="2984">
      <c r="A2984" t="inlineStr">
        <is>
          <t>chr4</t>
        </is>
      </c>
      <c r="B2984" t="n">
        <v>34106771</v>
      </c>
      <c r="C2984" t="inlineStr">
        <is>
          <t>A</t>
        </is>
      </c>
      <c r="D2984" t="inlineStr">
        <is>
          <t>G</t>
        </is>
      </c>
      <c r="E2984" t="inlineStr">
        <is>
          <t>rs34045875</t>
        </is>
      </c>
      <c r="F2984" t="n">
        <v>0.0815579612</v>
      </c>
      <c r="G2984" t="n">
        <v>0.0473675178977774</v>
      </c>
      <c r="H2984" t="n">
        <v>0.0138493732143584</v>
      </c>
      <c r="I2984" t="n">
        <v>0.2948484619919481</v>
      </c>
      <c r="J2984" t="n">
        <v>0.0045234654771627</v>
      </c>
      <c r="K2984" t="n">
        <v>0.832083073228381</v>
      </c>
      <c r="L2984" t="b">
        <v>0</v>
      </c>
      <c r="M2984" t="b">
        <v>0</v>
      </c>
      <c r="N2984" t="inlineStr">
        <is>
          <t>alt</t>
        </is>
      </c>
      <c r="O2984" t="n">
        <v>-20</v>
      </c>
      <c r="P2984" t="n">
        <v>0.0008809999999999999</v>
      </c>
      <c r="Q2984" t="n">
        <v>100</v>
      </c>
      <c r="R2984" t="n">
        <v>0.0896</v>
      </c>
      <c r="S2984">
        <f>IMAGE("https://mitra.stanford.edu/kundaje/oak/projects/neuro-variants/variant_position/credible/roussos_2024/variant_figures/roussos_2024.childhood.GABA/rs34045875_count_position.png",4,220,900)</f>
        <v/>
      </c>
      <c r="T2984">
        <f>IMAGE("https://mitra.stanford.edu/kundaje/oak/projects/neuro-variants/variant_position/credible/roussos_2024/variant_figures/roussos_2024.childhood.GABA/rs34045875_profile_position.png",4,220,900)</f>
        <v/>
      </c>
    </row>
    <row r="2985">
      <c r="A2985" t="inlineStr">
        <is>
          <t>chr4</t>
        </is>
      </c>
      <c r="B2985" t="n">
        <v>34108692</v>
      </c>
      <c r="C2985" t="inlineStr">
        <is>
          <t>T</t>
        </is>
      </c>
      <c r="D2985" t="inlineStr">
        <is>
          <t>C</t>
        </is>
      </c>
      <c r="E2985" t="inlineStr">
        <is>
          <t>rs13149553</t>
        </is>
      </c>
      <c r="F2985" t="n">
        <v>0.0269128384039999</v>
      </c>
      <c r="G2985" t="n">
        <v>0.3290741382586697</v>
      </c>
      <c r="H2985" t="n">
        <v>0.0132652598048002</v>
      </c>
      <c r="I2985" t="n">
        <v>0.333448199657312</v>
      </c>
      <c r="J2985" t="n">
        <v>0.0904577914598646</v>
      </c>
      <c r="K2985" t="n">
        <v>0.3694162311526176</v>
      </c>
      <c r="L2985" t="b">
        <v>0</v>
      </c>
      <c r="M2985" t="b">
        <v>0</v>
      </c>
      <c r="N2985" t="inlineStr">
        <is>
          <t>alt</t>
        </is>
      </c>
      <c r="O2985" t="n">
        <v>50</v>
      </c>
      <c r="P2985" t="n">
        <v>0.01988</v>
      </c>
      <c r="Q2985" t="n">
        <v>-90</v>
      </c>
      <c r="R2985" t="n">
        <v>0.1323</v>
      </c>
      <c r="S2985">
        <f>IMAGE("https://mitra.stanford.edu/kundaje/oak/projects/neuro-variants/variant_position/credible/roussos_2024/variant_figures/roussos_2024.childhood.GABA/rs13149553_count_position.png",4,220,900)</f>
        <v/>
      </c>
      <c r="T2985">
        <f>IMAGE("https://mitra.stanford.edu/kundaje/oak/projects/neuro-variants/variant_position/credible/roussos_2024/variant_figures/roussos_2024.childhood.GABA/rs13149553_profile_position.png",4,220,900)</f>
        <v/>
      </c>
    </row>
    <row r="2986">
      <c r="A2986" t="inlineStr">
        <is>
          <t>chr4</t>
        </is>
      </c>
      <c r="B2986" t="n">
        <v>34108823</v>
      </c>
      <c r="C2986" t="inlineStr">
        <is>
          <t>A</t>
        </is>
      </c>
      <c r="D2986" t="inlineStr">
        <is>
          <t>G</t>
        </is>
      </c>
      <c r="E2986" t="inlineStr">
        <is>
          <t>rs13149360</t>
        </is>
      </c>
      <c r="F2986" t="n">
        <v>-0.0002947151539999</v>
      </c>
      <c r="G2986" t="n">
        <v>0.7437438477749051</v>
      </c>
      <c r="H2986" t="n">
        <v>0.0273046422096939</v>
      </c>
      <c r="I2986" t="n">
        <v>0.0192683046696482</v>
      </c>
      <c r="J2986" t="n">
        <v>0.0650604175828778</v>
      </c>
      <c r="K2986" t="n">
        <v>0.4377074526254748</v>
      </c>
      <c r="L2986" t="b">
        <v>1</v>
      </c>
      <c r="M2986" t="b">
        <v>0</v>
      </c>
      <c r="N2986" t="inlineStr">
        <is>
          <t>ref</t>
        </is>
      </c>
      <c r="O2986" t="n">
        <v>-85</v>
      </c>
      <c r="P2986" t="n">
        <v>0.004242</v>
      </c>
      <c r="Q2986" t="n">
        <v>-100</v>
      </c>
      <c r="R2986" t="n">
        <v>0.09235</v>
      </c>
      <c r="S2986">
        <f>IMAGE("https://mitra.stanford.edu/kundaje/oak/projects/neuro-variants/variant_position/credible/roussos_2024/variant_figures/roussos_2024.childhood.GABA/rs13149360_count_position.png",4,220,900)</f>
        <v/>
      </c>
      <c r="T2986">
        <f>IMAGE("https://mitra.stanford.edu/kundaje/oak/projects/neuro-variants/variant_position/credible/roussos_2024/variant_figures/roussos_2024.childhood.GABA/rs13149360_profile_position.png",4,220,900)</f>
        <v/>
      </c>
    </row>
    <row r="2987">
      <c r="A2987" t="inlineStr">
        <is>
          <t>chr4</t>
        </is>
      </c>
      <c r="B2987" t="n">
        <v>34114145</v>
      </c>
      <c r="C2987" t="inlineStr">
        <is>
          <t>C</t>
        </is>
      </c>
      <c r="D2987" t="inlineStr">
        <is>
          <t>T</t>
        </is>
      </c>
      <c r="E2987" t="inlineStr">
        <is>
          <t>rs3924385</t>
        </is>
      </c>
      <c r="F2987" t="n">
        <v>-0.0577857392</v>
      </c>
      <c r="G2987" t="n">
        <v>0.1100331167866275</v>
      </c>
      <c r="H2987" t="n">
        <v>0.0133448334239211</v>
      </c>
      <c r="I2987" t="n">
        <v>0.3241580371909222</v>
      </c>
      <c r="J2987" t="n">
        <v>0.0003319302213565</v>
      </c>
      <c r="K2987" t="n">
        <v>0.9539797344685867</v>
      </c>
      <c r="L2987" t="b">
        <v>0</v>
      </c>
      <c r="M2987" t="b">
        <v>0</v>
      </c>
      <c r="N2987" t="inlineStr">
        <is>
          <t>ref</t>
        </is>
      </c>
      <c r="O2987" t="n">
        <v>95</v>
      </c>
      <c r="P2987" t="n">
        <v>0.05734</v>
      </c>
      <c r="Q2987" t="n">
        <v>-45</v>
      </c>
      <c r="R2987" t="n">
        <v>0.0569</v>
      </c>
      <c r="S2987">
        <f>IMAGE("https://mitra.stanford.edu/kundaje/oak/projects/neuro-variants/variant_position/credible/roussos_2024/variant_figures/roussos_2024.childhood.GABA/rs3924385_count_position.png",4,220,900)</f>
        <v/>
      </c>
      <c r="T2987">
        <f>IMAGE("https://mitra.stanford.edu/kundaje/oak/projects/neuro-variants/variant_position/credible/roussos_2024/variant_figures/roussos_2024.childhood.GABA/rs3924385_profile_position.png",4,220,900)</f>
        <v/>
      </c>
    </row>
    <row r="2988">
      <c r="A2988" t="inlineStr">
        <is>
          <t>chr4</t>
        </is>
      </c>
      <c r="B2988" t="n">
        <v>34117837</v>
      </c>
      <c r="C2988" t="inlineStr">
        <is>
          <t>C</t>
        </is>
      </c>
      <c r="D2988" t="inlineStr">
        <is>
          <t>T</t>
        </is>
      </c>
      <c r="E2988" t="inlineStr">
        <is>
          <t>rs28491432</t>
        </is>
      </c>
      <c r="F2988" t="n">
        <v>0.0024137286999999</v>
      </c>
      <c r="G2988" t="n">
        <v>0.1533625350978319</v>
      </c>
      <c r="H2988" t="n">
        <v>0.0120916025621643</v>
      </c>
      <c r="I2988" t="n">
        <v>0.4011086227363991</v>
      </c>
      <c r="J2988" t="n">
        <v>0.0341950953906724</v>
      </c>
      <c r="K2988" t="n">
        <v>0.553497685006462</v>
      </c>
      <c r="L2988" t="b">
        <v>0</v>
      </c>
      <c r="M2988" t="b">
        <v>0</v>
      </c>
      <c r="N2988" t="inlineStr">
        <is>
          <t>alt</t>
        </is>
      </c>
      <c r="O2988" t="n">
        <v>-100</v>
      </c>
      <c r="P2988" t="n">
        <v>0.00699</v>
      </c>
      <c r="Q2988" t="n">
        <v>75</v>
      </c>
      <c r="R2988" t="n">
        <v>0.1377</v>
      </c>
      <c r="S2988">
        <f>IMAGE("https://mitra.stanford.edu/kundaje/oak/projects/neuro-variants/variant_position/credible/roussos_2024/variant_figures/roussos_2024.childhood.GABA/rs28491432_count_position.png",4,220,900)</f>
        <v/>
      </c>
      <c r="T2988">
        <f>IMAGE("https://mitra.stanford.edu/kundaje/oak/projects/neuro-variants/variant_position/credible/roussos_2024/variant_figures/roussos_2024.childhood.GABA/rs28491432_profile_position.png",4,220,900)</f>
        <v/>
      </c>
    </row>
    <row r="2989">
      <c r="A2989" t="inlineStr">
        <is>
          <t>chr4</t>
        </is>
      </c>
      <c r="B2989" t="n">
        <v>34120165</v>
      </c>
      <c r="C2989" t="inlineStr">
        <is>
          <t>C</t>
        </is>
      </c>
      <c r="D2989" t="inlineStr">
        <is>
          <t>A</t>
        </is>
      </c>
      <c r="E2989" t="inlineStr">
        <is>
          <t>rs13126801</t>
        </is>
      </c>
      <c r="F2989" t="n">
        <v>0.071586282012</v>
      </c>
      <c r="G2989" t="n">
        <v>0.1109113734423076</v>
      </c>
      <c r="H2989" t="n">
        <v>0.0230108199365329</v>
      </c>
      <c r="I2989" t="n">
        <v>0.06301916126652871</v>
      </c>
      <c r="J2989" t="n">
        <v>0.0570092772926221</v>
      </c>
      <c r="K2989" t="n">
        <v>0.4703283481149156</v>
      </c>
      <c r="L2989" t="b">
        <v>0</v>
      </c>
      <c r="M2989" t="b">
        <v>0</v>
      </c>
      <c r="N2989" t="inlineStr">
        <is>
          <t>alt</t>
        </is>
      </c>
      <c r="O2989" t="n">
        <v>35</v>
      </c>
      <c r="P2989" t="n">
        <v>0.007965</v>
      </c>
      <c r="Q2989" t="n">
        <v>100</v>
      </c>
      <c r="R2989" t="n">
        <v>0.11084</v>
      </c>
      <c r="S2989">
        <f>IMAGE("https://mitra.stanford.edu/kundaje/oak/projects/neuro-variants/variant_position/credible/roussos_2024/variant_figures/roussos_2024.childhood.GABA/rs13126801_count_position.png",4,220,900)</f>
        <v/>
      </c>
      <c r="T2989">
        <f>IMAGE("https://mitra.stanford.edu/kundaje/oak/projects/neuro-variants/variant_position/credible/roussos_2024/variant_figures/roussos_2024.childhood.GABA/rs13126801_profile_position.png",4,220,900)</f>
        <v/>
      </c>
    </row>
    <row r="2990">
      <c r="A2990" t="inlineStr">
        <is>
          <t>chr4</t>
        </is>
      </c>
      <c r="B2990" t="n">
        <v>34121752</v>
      </c>
      <c r="C2990" t="inlineStr">
        <is>
          <t>T</t>
        </is>
      </c>
      <c r="D2990" t="inlineStr">
        <is>
          <t>C</t>
        </is>
      </c>
      <c r="E2990" t="inlineStr">
        <is>
          <t>rs80143073</t>
        </is>
      </c>
      <c r="F2990" t="n">
        <v>-0.01305734466</v>
      </c>
      <c r="G2990" t="n">
        <v>0.5614220829572634</v>
      </c>
      <c r="H2990" t="n">
        <v>0.0452124016199253</v>
      </c>
      <c r="I2990" t="n">
        <v>0.0024419074919385</v>
      </c>
      <c r="J2990" t="n">
        <v>0.0333008732801406</v>
      </c>
      <c r="K2990" t="n">
        <v>0.5659724622233681</v>
      </c>
      <c r="L2990" t="b">
        <v>1</v>
      </c>
      <c r="M2990" t="b">
        <v>0</v>
      </c>
      <c r="N2990" t="inlineStr">
        <is>
          <t>ref</t>
        </is>
      </c>
      <c r="O2990" t="n">
        <v>-80</v>
      </c>
      <c r="P2990" t="n">
        <v>0.01282</v>
      </c>
      <c r="Q2990" t="n">
        <v>-95</v>
      </c>
      <c r="R2990" t="n">
        <v>0.0408</v>
      </c>
      <c r="S2990">
        <f>IMAGE("https://mitra.stanford.edu/kundaje/oak/projects/neuro-variants/variant_position/credible/roussos_2024/variant_figures/roussos_2024.childhood.GABA/rs80143073_count_position.png",4,220,900)</f>
        <v/>
      </c>
      <c r="T2990">
        <f>IMAGE("https://mitra.stanford.edu/kundaje/oak/projects/neuro-variants/variant_position/credible/roussos_2024/variant_figures/roussos_2024.childhood.GABA/rs80143073_profile_position.png",4,220,900)</f>
        <v/>
      </c>
    </row>
    <row r="2991">
      <c r="A2991" t="inlineStr">
        <is>
          <t>chr4</t>
        </is>
      </c>
      <c r="B2991" t="n">
        <v>34126545</v>
      </c>
      <c r="C2991" t="inlineStr">
        <is>
          <t>A</t>
        </is>
      </c>
      <c r="D2991" t="inlineStr">
        <is>
          <t>G</t>
        </is>
      </c>
      <c r="E2991" t="inlineStr">
        <is>
          <t>rs28576298</t>
        </is>
      </c>
      <c r="F2991" t="n">
        <v>-0.009187786949399999</v>
      </c>
      <c r="G2991" t="n">
        <v>0.6915337903480528</v>
      </c>
      <c r="H2991" t="n">
        <v>0.0239428086561483</v>
      </c>
      <c r="I2991" t="n">
        <v>0.0342262340871695</v>
      </c>
      <c r="J2991" t="n">
        <v>0.009703461707608199</v>
      </c>
      <c r="K2991" t="n">
        <v>0.7570589408000311</v>
      </c>
      <c r="L2991" t="b">
        <v>0</v>
      </c>
      <c r="M2991" t="b">
        <v>0</v>
      </c>
      <c r="N2991" t="inlineStr">
        <is>
          <t>ref</t>
        </is>
      </c>
      <c r="O2991" t="n">
        <v>0</v>
      </c>
      <c r="P2991" t="n">
        <v>0</v>
      </c>
      <c r="Q2991" t="n">
        <v>-15</v>
      </c>
      <c r="R2991" t="n">
        <v>0.03296</v>
      </c>
      <c r="S2991">
        <f>IMAGE("https://mitra.stanford.edu/kundaje/oak/projects/neuro-variants/variant_position/credible/roussos_2024/variant_figures/roussos_2024.childhood.GABA/rs28576298_count_position.png",4,220,900)</f>
        <v/>
      </c>
      <c r="T2991">
        <f>IMAGE("https://mitra.stanford.edu/kundaje/oak/projects/neuro-variants/variant_position/credible/roussos_2024/variant_figures/roussos_2024.childhood.GABA/rs28576298_profile_position.png",4,220,900)</f>
        <v/>
      </c>
    </row>
    <row r="2992">
      <c r="A2992" t="inlineStr">
        <is>
          <t>chr4</t>
        </is>
      </c>
      <c r="B2992" t="n">
        <v>34130538</v>
      </c>
      <c r="C2992" t="inlineStr">
        <is>
          <t>C</t>
        </is>
      </c>
      <c r="D2992" t="inlineStr">
        <is>
          <t>A</t>
        </is>
      </c>
      <c r="E2992" t="inlineStr">
        <is>
          <t>rs59815841</t>
        </is>
      </c>
      <c r="F2992" t="n">
        <v>-0.00591149563</v>
      </c>
      <c r="G2992" t="n">
        <v>0.7390067001287932</v>
      </c>
      <c r="H2992" t="n">
        <v>0.0174315708618024</v>
      </c>
      <c r="I2992" t="n">
        <v>0.1292313223661124</v>
      </c>
      <c r="J2992" t="n">
        <v>0.0052637641096521</v>
      </c>
      <c r="K2992" t="n">
        <v>0.8136991048733773</v>
      </c>
      <c r="L2992" t="b">
        <v>0</v>
      </c>
      <c r="M2992" t="b">
        <v>0</v>
      </c>
      <c r="N2992" t="inlineStr">
        <is>
          <t>ref</t>
        </is>
      </c>
      <c r="O2992" t="n">
        <v>-80</v>
      </c>
      <c r="P2992" t="n">
        <v>0.005928</v>
      </c>
      <c r="Q2992" t="n">
        <v>100</v>
      </c>
      <c r="R2992" t="n">
        <v>0.0445</v>
      </c>
      <c r="S2992">
        <f>IMAGE("https://mitra.stanford.edu/kundaje/oak/projects/neuro-variants/variant_position/credible/roussos_2024/variant_figures/roussos_2024.childhood.GABA/rs59815841_count_position.png",4,220,900)</f>
        <v/>
      </c>
      <c r="T2992">
        <f>IMAGE("https://mitra.stanford.edu/kundaje/oak/projects/neuro-variants/variant_position/credible/roussos_2024/variant_figures/roussos_2024.childhood.GABA/rs59815841_profile_position.png",4,220,900)</f>
        <v/>
      </c>
    </row>
    <row r="2993">
      <c r="A2993" t="inlineStr">
        <is>
          <t>chr4</t>
        </is>
      </c>
      <c r="B2993" t="n">
        <v>34141538</v>
      </c>
      <c r="C2993" t="inlineStr">
        <is>
          <t>A</t>
        </is>
      </c>
      <c r="D2993" t="inlineStr">
        <is>
          <t>C</t>
        </is>
      </c>
      <c r="E2993" t="inlineStr">
        <is>
          <t>rs7697283</t>
        </is>
      </c>
      <c r="F2993" t="n">
        <v>-0.0417559607999999</v>
      </c>
      <c r="G2993" t="n">
        <v>0.2043630516833907</v>
      </c>
      <c r="H2993" t="n">
        <v>0.0288836568521706</v>
      </c>
      <c r="I2993" t="n">
        <v>0.0151835564635612</v>
      </c>
      <c r="J2993" t="n">
        <v>0.0023894787543715</v>
      </c>
      <c r="K2993" t="n">
        <v>0.8725021566210779</v>
      </c>
      <c r="L2993" t="b">
        <v>0</v>
      </c>
      <c r="M2993" t="b">
        <v>0</v>
      </c>
      <c r="N2993" t="inlineStr">
        <is>
          <t>ref</t>
        </is>
      </c>
      <c r="O2993" t="n">
        <v>-45</v>
      </c>
      <c r="P2993" t="n">
        <v>0.005714</v>
      </c>
      <c r="Q2993" t="n">
        <v>90</v>
      </c>
      <c r="R2993" t="n">
        <v>0.06464</v>
      </c>
      <c r="S2993">
        <f>IMAGE("https://mitra.stanford.edu/kundaje/oak/projects/neuro-variants/variant_position/credible/roussos_2024/variant_figures/roussos_2024.childhood.GABA/rs7697283_count_position.png",4,220,900)</f>
        <v/>
      </c>
      <c r="T2993">
        <f>IMAGE("https://mitra.stanford.edu/kundaje/oak/projects/neuro-variants/variant_position/credible/roussos_2024/variant_figures/roussos_2024.childhood.GABA/rs7697283_profile_position.png",4,220,900)</f>
        <v/>
      </c>
    </row>
    <row r="2994">
      <c r="A2994" t="inlineStr">
        <is>
          <t>chr4</t>
        </is>
      </c>
      <c r="B2994" t="n">
        <v>34145116</v>
      </c>
      <c r="C2994" t="inlineStr">
        <is>
          <t>C</t>
        </is>
      </c>
      <c r="D2994" t="inlineStr">
        <is>
          <t>G</t>
        </is>
      </c>
      <c r="E2994" t="inlineStr">
        <is>
          <t>rs9784438</t>
        </is>
      </c>
      <c r="F2994" t="n">
        <v>0.09393045479999999</v>
      </c>
      <c r="G2994" t="n">
        <v>0.0330341390228109</v>
      </c>
      <c r="H2994" t="n">
        <v>0.0168419537640599</v>
      </c>
      <c r="I2994" t="n">
        <v>0.1504931945059699</v>
      </c>
      <c r="J2994" t="n">
        <v>0.0933488303909865</v>
      </c>
      <c r="K2994" t="n">
        <v>0.3644681014575148</v>
      </c>
      <c r="L2994" t="b">
        <v>0</v>
      </c>
      <c r="M2994" t="b">
        <v>0</v>
      </c>
      <c r="N2994" t="inlineStr">
        <is>
          <t>alt</t>
        </is>
      </c>
      <c r="O2994" t="n">
        <v>5</v>
      </c>
      <c r="P2994" t="n">
        <v>0.001923</v>
      </c>
      <c r="Q2994" t="n">
        <v>20</v>
      </c>
      <c r="R2994" t="n">
        <v>0.02734</v>
      </c>
      <c r="S2994">
        <f>IMAGE("https://mitra.stanford.edu/kundaje/oak/projects/neuro-variants/variant_position/credible/roussos_2024/variant_figures/roussos_2024.childhood.GABA/rs9784438_count_position.png",4,220,900)</f>
        <v/>
      </c>
      <c r="T2994">
        <f>IMAGE("https://mitra.stanford.edu/kundaje/oak/projects/neuro-variants/variant_position/credible/roussos_2024/variant_figures/roussos_2024.childhood.GABA/rs9784438_profile_position.png",4,220,900)</f>
        <v/>
      </c>
    </row>
    <row r="2995">
      <c r="A2995" t="inlineStr">
        <is>
          <t>chr4</t>
        </is>
      </c>
      <c r="B2995" t="n">
        <v>34147877</v>
      </c>
      <c r="C2995" t="inlineStr">
        <is>
          <t>T</t>
        </is>
      </c>
      <c r="D2995" t="inlineStr">
        <is>
          <t>A</t>
        </is>
      </c>
      <c r="E2995" t="inlineStr">
        <is>
          <t>rs7434297</t>
        </is>
      </c>
      <c r="F2995" t="n">
        <v>-0.0114830808099999</v>
      </c>
      <c r="G2995" t="n">
        <v>0.5517096583729538</v>
      </c>
      <c r="H2995" t="n">
        <v>0.0126104182538278</v>
      </c>
      <c r="I2995" t="n">
        <v>0.3855380375759294</v>
      </c>
      <c r="J2995" t="n">
        <v>0.0136122803710916</v>
      </c>
      <c r="K2995" t="n">
        <v>0.6981072501632196</v>
      </c>
      <c r="L2995" t="b">
        <v>0</v>
      </c>
      <c r="M2995" t="b">
        <v>0</v>
      </c>
      <c r="N2995" t="inlineStr">
        <is>
          <t>ref</t>
        </is>
      </c>
      <c r="O2995" t="n">
        <v>20</v>
      </c>
      <c r="P2995" t="n">
        <v>0.001892</v>
      </c>
      <c r="Q2995" t="n">
        <v>15</v>
      </c>
      <c r="R2995" t="n">
        <v>0.0693</v>
      </c>
      <c r="S2995">
        <f>IMAGE("https://mitra.stanford.edu/kundaje/oak/projects/neuro-variants/variant_position/credible/roussos_2024/variant_figures/roussos_2024.childhood.GABA/rs7434297_count_position.png",4,220,900)</f>
        <v/>
      </c>
      <c r="T2995">
        <f>IMAGE("https://mitra.stanford.edu/kundaje/oak/projects/neuro-variants/variant_position/credible/roussos_2024/variant_figures/roussos_2024.childhood.GABA/rs7434297_profile_position.png",4,220,900)</f>
        <v/>
      </c>
    </row>
    <row r="2996">
      <c r="A2996" t="inlineStr">
        <is>
          <t>chr4</t>
        </is>
      </c>
      <c r="B2996" t="n">
        <v>34154339</v>
      </c>
      <c r="C2996" t="inlineStr">
        <is>
          <t>A</t>
        </is>
      </c>
      <c r="D2996" t="inlineStr">
        <is>
          <t>G</t>
        </is>
      </c>
      <c r="E2996" t="inlineStr">
        <is>
          <t>rs13146507</t>
        </is>
      </c>
      <c r="F2996" t="n">
        <v>-0.008849938599999999</v>
      </c>
      <c r="G2996" t="n">
        <v>0.675127741617447</v>
      </c>
      <c r="H2996" t="n">
        <v>0.0286702108536144</v>
      </c>
      <c r="I2996" t="n">
        <v>0.015592127780747</v>
      </c>
      <c r="J2996" t="n">
        <v>2.513036376201545e-05</v>
      </c>
      <c r="K2996" t="n">
        <v>0.9961770338167616</v>
      </c>
      <c r="L2996" t="b">
        <v>0</v>
      </c>
      <c r="M2996" t="b">
        <v>0</v>
      </c>
      <c r="N2996" t="inlineStr">
        <is>
          <t>ref</t>
        </is>
      </c>
      <c r="O2996" t="n">
        <v>-25</v>
      </c>
      <c r="P2996" t="n">
        <v>0.001205</v>
      </c>
      <c r="Q2996" t="n">
        <v>-100</v>
      </c>
      <c r="R2996" t="n">
        <v>0.05576</v>
      </c>
      <c r="S2996">
        <f>IMAGE("https://mitra.stanford.edu/kundaje/oak/projects/neuro-variants/variant_position/credible/roussos_2024/variant_figures/roussos_2024.childhood.GABA/rs13146507_count_position.png",4,220,900)</f>
        <v/>
      </c>
      <c r="T2996">
        <f>IMAGE("https://mitra.stanford.edu/kundaje/oak/projects/neuro-variants/variant_position/credible/roussos_2024/variant_figures/roussos_2024.childhood.GABA/rs13146507_profile_position.png",4,220,900)</f>
        <v/>
      </c>
    </row>
    <row r="2997">
      <c r="A2997" t="inlineStr">
        <is>
          <t>chr4</t>
        </is>
      </c>
      <c r="B2997" t="n">
        <v>34156746</v>
      </c>
      <c r="C2997" t="inlineStr">
        <is>
          <t>A</t>
        </is>
      </c>
      <c r="D2997" t="inlineStr">
        <is>
          <t>T</t>
        </is>
      </c>
      <c r="E2997" t="inlineStr">
        <is>
          <t>rs77453134</t>
        </is>
      </c>
      <c r="F2997" t="n">
        <v>-0.00797566416</v>
      </c>
      <c r="G2997" t="n">
        <v>0.6774329674539903</v>
      </c>
      <c r="H2997" t="n">
        <v>0.0191898607810832</v>
      </c>
      <c r="I2997" t="n">
        <v>0.0890732557256517</v>
      </c>
      <c r="J2997" t="n">
        <v>0.0014785030679985</v>
      </c>
      <c r="K2997" t="n">
        <v>0.8983714516640922</v>
      </c>
      <c r="L2997" t="b">
        <v>0</v>
      </c>
      <c r="M2997" t="b">
        <v>0</v>
      </c>
      <c r="N2997" t="inlineStr">
        <is>
          <t>ref</t>
        </is>
      </c>
      <c r="O2997" t="n">
        <v>-95</v>
      </c>
      <c r="P2997" t="n">
        <v>0.03726</v>
      </c>
      <c r="Q2997" t="n">
        <v>100</v>
      </c>
      <c r="R2997" t="n">
        <v>0.09247</v>
      </c>
      <c r="S2997">
        <f>IMAGE("https://mitra.stanford.edu/kundaje/oak/projects/neuro-variants/variant_position/credible/roussos_2024/variant_figures/roussos_2024.childhood.GABA/rs77453134_count_position.png",4,220,900)</f>
        <v/>
      </c>
      <c r="T2997">
        <f>IMAGE("https://mitra.stanford.edu/kundaje/oak/projects/neuro-variants/variant_position/credible/roussos_2024/variant_figures/roussos_2024.childhood.GABA/rs77453134_profile_position.png",4,220,900)</f>
        <v/>
      </c>
    </row>
    <row r="2998">
      <c r="A2998" t="inlineStr">
        <is>
          <t>chr4</t>
        </is>
      </c>
      <c r="B2998" t="n">
        <v>34156941</v>
      </c>
      <c r="C2998" t="inlineStr">
        <is>
          <t>A</t>
        </is>
      </c>
      <c r="D2998" t="inlineStr">
        <is>
          <t>G</t>
        </is>
      </c>
      <c r="E2998" t="inlineStr">
        <is>
          <t>rs10019288</t>
        </is>
      </c>
      <c r="F2998" t="n">
        <v>-0.0001006281999999</v>
      </c>
      <c r="G2998" t="n">
        <v>0.510062733589793</v>
      </c>
      <c r="H2998" t="n">
        <v>0.0129943569730519</v>
      </c>
      <c r="I2998" t="n">
        <v>0.3575796670528327</v>
      </c>
      <c r="J2998" t="n">
        <v>0.0009465770350358</v>
      </c>
      <c r="K2998" t="n">
        <v>0.920277813985068</v>
      </c>
      <c r="L2998" t="b">
        <v>0</v>
      </c>
      <c r="M2998" t="b">
        <v>0</v>
      </c>
      <c r="N2998" t="inlineStr">
        <is>
          <t>ref</t>
        </is>
      </c>
      <c r="O2998" t="n">
        <v>100</v>
      </c>
      <c r="P2998" t="n">
        <v>0.01492</v>
      </c>
      <c r="Q2998" t="n">
        <v>-85</v>
      </c>
      <c r="R2998" t="n">
        <v>0.00983</v>
      </c>
      <c r="S2998">
        <f>IMAGE("https://mitra.stanford.edu/kundaje/oak/projects/neuro-variants/variant_position/credible/roussos_2024/variant_figures/roussos_2024.childhood.GABA/rs10019288_count_position.png",4,220,900)</f>
        <v/>
      </c>
      <c r="T2998">
        <f>IMAGE("https://mitra.stanford.edu/kundaje/oak/projects/neuro-variants/variant_position/credible/roussos_2024/variant_figures/roussos_2024.childhood.GABA/rs10019288_profile_position.png",4,220,900)</f>
        <v/>
      </c>
    </row>
    <row r="2999">
      <c r="A2999" t="inlineStr">
        <is>
          <t>chr4</t>
        </is>
      </c>
      <c r="B2999" t="n">
        <v>34164475</v>
      </c>
      <c r="C2999" t="inlineStr">
        <is>
          <t>C</t>
        </is>
      </c>
      <c r="D2999" t="inlineStr">
        <is>
          <t>G</t>
        </is>
      </c>
      <c r="E2999" t="inlineStr">
        <is>
          <t>rs13102895</t>
        </is>
      </c>
      <c r="F2999" t="n">
        <v>-0.0660904868</v>
      </c>
      <c r="G2999" t="n">
        <v>0.0826131921740083</v>
      </c>
      <c r="H2999" t="n">
        <v>0.0197494600753108</v>
      </c>
      <c r="I2999" t="n">
        <v>0.078085464705291</v>
      </c>
      <c r="J2999" t="n">
        <v>0.0031297773868609</v>
      </c>
      <c r="K2999" t="n">
        <v>0.8492681425232036</v>
      </c>
      <c r="L2999" t="b">
        <v>0</v>
      </c>
      <c r="M2999" t="b">
        <v>0</v>
      </c>
      <c r="N2999" t="inlineStr">
        <is>
          <t>ref</t>
        </is>
      </c>
      <c r="O2999" t="n">
        <v>-15</v>
      </c>
      <c r="P2999" t="n">
        <v>0.00224</v>
      </c>
      <c r="Q2999" t="n">
        <v>-100</v>
      </c>
      <c r="R2999" t="n">
        <v>0.1064</v>
      </c>
      <c r="S2999">
        <f>IMAGE("https://mitra.stanford.edu/kundaje/oak/projects/neuro-variants/variant_position/credible/roussos_2024/variant_figures/roussos_2024.childhood.GABA/rs13102895_count_position.png",4,220,900)</f>
        <v/>
      </c>
      <c r="T2999">
        <f>IMAGE("https://mitra.stanford.edu/kundaje/oak/projects/neuro-variants/variant_position/credible/roussos_2024/variant_figures/roussos_2024.childhood.GABA/rs13102895_profile_position.png",4,220,900)</f>
        <v/>
      </c>
    </row>
    <row r="3000">
      <c r="A3000" t="inlineStr">
        <is>
          <t>chr4</t>
        </is>
      </c>
      <c r="B3000" t="n">
        <v>34164875</v>
      </c>
      <c r="C3000" t="inlineStr">
        <is>
          <t>A</t>
        </is>
      </c>
      <c r="D3000" t="inlineStr">
        <is>
          <t>G</t>
        </is>
      </c>
      <c r="E3000" t="inlineStr">
        <is>
          <t>rs7435170</t>
        </is>
      </c>
      <c r="F3000" t="n">
        <v>-0.0106718662</v>
      </c>
      <c r="G3000" t="n">
        <v>0.6256581076097176</v>
      </c>
      <c r="H3000" t="n">
        <v>0.0234681455327603</v>
      </c>
      <c r="I3000" t="n">
        <v>0.0381267520870685</v>
      </c>
      <c r="J3000" t="n">
        <v>0.0001999958116059</v>
      </c>
      <c r="K3000" t="n">
        <v>0.9617294016730368</v>
      </c>
      <c r="L3000" t="b">
        <v>0</v>
      </c>
      <c r="M3000" t="b">
        <v>0</v>
      </c>
      <c r="N3000" t="inlineStr">
        <is>
          <t>ref</t>
        </is>
      </c>
      <c r="O3000" t="n">
        <v>-90</v>
      </c>
      <c r="P3000" t="n">
        <v>0.0009790000000000001</v>
      </c>
      <c r="Q3000" t="n">
        <v>-100</v>
      </c>
      <c r="R3000" t="n">
        <v>0.04233</v>
      </c>
      <c r="S3000">
        <f>IMAGE("https://mitra.stanford.edu/kundaje/oak/projects/neuro-variants/variant_position/credible/roussos_2024/variant_figures/roussos_2024.childhood.GABA/rs7435170_count_position.png",4,220,900)</f>
        <v/>
      </c>
      <c r="T3000">
        <f>IMAGE("https://mitra.stanford.edu/kundaje/oak/projects/neuro-variants/variant_position/credible/roussos_2024/variant_figures/roussos_2024.childhood.GABA/rs7435170_profile_position.png",4,220,900)</f>
        <v/>
      </c>
    </row>
    <row r="3001">
      <c r="A3001" t="inlineStr">
        <is>
          <t>chr4</t>
        </is>
      </c>
      <c r="B3001" t="n">
        <v>34170690</v>
      </c>
      <c r="C3001" t="inlineStr">
        <is>
          <t>T</t>
        </is>
      </c>
      <c r="D3001" t="inlineStr">
        <is>
          <t>C</t>
        </is>
      </c>
      <c r="E3001" t="inlineStr">
        <is>
          <t>rs7435994</t>
        </is>
      </c>
      <c r="F3001" t="n">
        <v>0.1136081659999999</v>
      </c>
      <c r="G3001" t="n">
        <v>0.0220495387506396</v>
      </c>
      <c r="H3001" t="n">
        <v>0.0156829392400599</v>
      </c>
      <c r="I3001" t="n">
        <v>0.1926458459955528</v>
      </c>
      <c r="J3001" t="n">
        <v>0.07380159577809881</v>
      </c>
      <c r="K3001" t="n">
        <v>0.4118173497197111</v>
      </c>
      <c r="L3001" t="b">
        <v>0</v>
      </c>
      <c r="M3001" t="b">
        <v>0</v>
      </c>
      <c r="N3001" t="inlineStr">
        <is>
          <t>alt</t>
        </is>
      </c>
      <c r="O3001" t="n">
        <v>25</v>
      </c>
      <c r="P3001" t="n">
        <v>0.0029</v>
      </c>
      <c r="Q3001" t="n">
        <v>40</v>
      </c>
      <c r="R3001" t="n">
        <v>0.0825</v>
      </c>
      <c r="S3001">
        <f>IMAGE("https://mitra.stanford.edu/kundaje/oak/projects/neuro-variants/variant_position/credible/roussos_2024/variant_figures/roussos_2024.childhood.GABA/rs7435994_count_position.png",4,220,900)</f>
        <v/>
      </c>
      <c r="T3001">
        <f>IMAGE("https://mitra.stanford.edu/kundaje/oak/projects/neuro-variants/variant_position/credible/roussos_2024/variant_figures/roussos_2024.childhood.GABA/rs7435994_profile_position.png",4,220,900)</f>
        <v/>
      </c>
    </row>
    <row r="3002">
      <c r="A3002" t="inlineStr">
        <is>
          <t>chr4</t>
        </is>
      </c>
      <c r="B3002" t="n">
        <v>34170728</v>
      </c>
      <c r="C3002" t="inlineStr">
        <is>
          <t>G</t>
        </is>
      </c>
      <c r="D3002" t="inlineStr">
        <is>
          <t>A</t>
        </is>
      </c>
      <c r="E3002" t="inlineStr">
        <is>
          <t>rs28581574</t>
        </is>
      </c>
      <c r="F3002" t="n">
        <v>0.0568997595</v>
      </c>
      <c r="G3002" t="n">
        <v>0.13171792688608</v>
      </c>
      <c r="H3002" t="n">
        <v>0.0173741892648438</v>
      </c>
      <c r="I3002" t="n">
        <v>0.1392459420475788</v>
      </c>
      <c r="J3002" t="n">
        <v>0.063056271072857</v>
      </c>
      <c r="K3002" t="n">
        <v>0.4451380951641218</v>
      </c>
      <c r="L3002" t="b">
        <v>0</v>
      </c>
      <c r="M3002" t="b">
        <v>0</v>
      </c>
      <c r="N3002" t="inlineStr">
        <is>
          <t>alt</t>
        </is>
      </c>
      <c r="O3002" t="n">
        <v>-15</v>
      </c>
      <c r="P3002" t="n">
        <v>0.001892</v>
      </c>
      <c r="Q3002" t="n">
        <v>-5</v>
      </c>
      <c r="R3002" t="n">
        <v>0.0004883</v>
      </c>
      <c r="S3002">
        <f>IMAGE("https://mitra.stanford.edu/kundaje/oak/projects/neuro-variants/variant_position/credible/roussos_2024/variant_figures/roussos_2024.childhood.GABA/rs28581574_count_position.png",4,220,900)</f>
        <v/>
      </c>
      <c r="T3002">
        <f>IMAGE("https://mitra.stanford.edu/kundaje/oak/projects/neuro-variants/variant_position/credible/roussos_2024/variant_figures/roussos_2024.childhood.GABA/rs28581574_profile_position.png",4,220,900)</f>
        <v/>
      </c>
    </row>
    <row r="3003">
      <c r="A3003" t="inlineStr">
        <is>
          <t>chr4</t>
        </is>
      </c>
      <c r="B3003" t="n">
        <v>34179905</v>
      </c>
      <c r="C3003" t="inlineStr">
        <is>
          <t>A</t>
        </is>
      </c>
      <c r="D3003" t="inlineStr">
        <is>
          <t>T</t>
        </is>
      </c>
      <c r="E3003" t="inlineStr">
        <is>
          <t>rs35684722</t>
        </is>
      </c>
      <c r="F3003" t="n">
        <v>-0.0004282600899999</v>
      </c>
      <c r="G3003" t="n">
        <v>0.706171593800611</v>
      </c>
      <c r="H3003" t="n">
        <v>0.0206218235066782</v>
      </c>
      <c r="I3003" t="n">
        <v>0.06592460382189411</v>
      </c>
      <c r="J3003" t="n">
        <v>0.0086553161190341</v>
      </c>
      <c r="K3003" t="n">
        <v>0.7702929396418786</v>
      </c>
      <c r="L3003" t="b">
        <v>0</v>
      </c>
      <c r="M3003" t="b">
        <v>0</v>
      </c>
      <c r="N3003" t="inlineStr">
        <is>
          <t>ref</t>
        </is>
      </c>
      <c r="O3003" t="n">
        <v>-100</v>
      </c>
      <c r="P3003" t="n">
        <v>0.010414</v>
      </c>
      <c r="Q3003" t="n">
        <v>-100</v>
      </c>
      <c r="R3003" t="n">
        <v>0.04364</v>
      </c>
      <c r="S3003">
        <f>IMAGE("https://mitra.stanford.edu/kundaje/oak/projects/neuro-variants/variant_position/credible/roussos_2024/variant_figures/roussos_2024.childhood.GABA/rs35684722_count_position.png",4,220,900)</f>
        <v/>
      </c>
      <c r="T3003">
        <f>IMAGE("https://mitra.stanford.edu/kundaje/oak/projects/neuro-variants/variant_position/credible/roussos_2024/variant_figures/roussos_2024.childhood.GABA/rs35684722_profile_position.png",4,220,900)</f>
        <v/>
      </c>
    </row>
    <row r="3004">
      <c r="A3004" t="inlineStr">
        <is>
          <t>chr4</t>
        </is>
      </c>
      <c r="B3004" t="n">
        <v>34188299</v>
      </c>
      <c r="C3004" t="inlineStr">
        <is>
          <t>G</t>
        </is>
      </c>
      <c r="D3004" t="inlineStr">
        <is>
          <t>A</t>
        </is>
      </c>
      <c r="E3004" t="inlineStr">
        <is>
          <t>rs58186080</t>
        </is>
      </c>
      <c r="F3004" t="n">
        <v>-0.07779901</v>
      </c>
      <c r="G3004" t="n">
        <v>0.0560656605083994</v>
      </c>
      <c r="H3004" t="n">
        <v>0.0157084819859365</v>
      </c>
      <c r="I3004" t="n">
        <v>0.19843335238171</v>
      </c>
      <c r="J3004" t="n">
        <v>0.0158342233670498</v>
      </c>
      <c r="K3004" t="n">
        <v>0.6838206061914225</v>
      </c>
      <c r="L3004" t="b">
        <v>0</v>
      </c>
      <c r="M3004" t="b">
        <v>0</v>
      </c>
      <c r="N3004" t="inlineStr">
        <is>
          <t>ref</t>
        </is>
      </c>
      <c r="O3004" t="n">
        <v>-60</v>
      </c>
      <c r="P3004" t="n">
        <v>0.005665</v>
      </c>
      <c r="Q3004" t="n">
        <v>100</v>
      </c>
      <c r="R3004" t="n">
        <v>0.06866</v>
      </c>
      <c r="S3004">
        <f>IMAGE("https://mitra.stanford.edu/kundaje/oak/projects/neuro-variants/variant_position/credible/roussos_2024/variant_figures/roussos_2024.childhood.GABA/rs58186080_count_position.png",4,220,900)</f>
        <v/>
      </c>
      <c r="T3004">
        <f>IMAGE("https://mitra.stanford.edu/kundaje/oak/projects/neuro-variants/variant_position/credible/roussos_2024/variant_figures/roussos_2024.childhood.GABA/rs58186080_profile_position.png",4,220,900)</f>
        <v/>
      </c>
    </row>
    <row r="3005">
      <c r="A3005" t="inlineStr">
        <is>
          <t>chr4</t>
        </is>
      </c>
      <c r="B3005" t="n">
        <v>34192231</v>
      </c>
      <c r="C3005" t="inlineStr">
        <is>
          <t>G</t>
        </is>
      </c>
      <c r="D3005" t="inlineStr">
        <is>
          <t>A</t>
        </is>
      </c>
      <c r="E3005" t="inlineStr">
        <is>
          <t>rs10028563</t>
        </is>
      </c>
      <c r="F3005" t="n">
        <v>-0.104410552</v>
      </c>
      <c r="G3005" t="n">
        <v>0.0273717745440898</v>
      </c>
      <c r="H3005" t="n">
        <v>0.014026341369825</v>
      </c>
      <c r="I3005" t="n">
        <v>0.2819062972873357</v>
      </c>
      <c r="J3005" t="n">
        <v>0.1104699378023496</v>
      </c>
      <c r="K3005" t="n">
        <v>0.3506851904251802</v>
      </c>
      <c r="L3005" t="b">
        <v>0</v>
      </c>
      <c r="M3005" t="b">
        <v>0</v>
      </c>
      <c r="N3005" t="inlineStr">
        <is>
          <t>ref</t>
        </is>
      </c>
      <c r="O3005" t="n">
        <v>100</v>
      </c>
      <c r="P3005" t="n">
        <v>0.00381</v>
      </c>
      <c r="Q3005" t="n">
        <v>80</v>
      </c>
      <c r="R3005" t="n">
        <v>0.1245</v>
      </c>
      <c r="S3005">
        <f>IMAGE("https://mitra.stanford.edu/kundaje/oak/projects/neuro-variants/variant_position/credible/roussos_2024/variant_figures/roussos_2024.childhood.GABA/rs10028563_count_position.png",4,220,900)</f>
        <v/>
      </c>
      <c r="T3005">
        <f>IMAGE("https://mitra.stanford.edu/kundaje/oak/projects/neuro-variants/variant_position/credible/roussos_2024/variant_figures/roussos_2024.childhood.GABA/rs10028563_profile_position.png",4,220,900)</f>
        <v/>
      </c>
    </row>
    <row r="3006">
      <c r="A3006" t="inlineStr">
        <is>
          <t>chr4</t>
        </is>
      </c>
      <c r="B3006" t="n">
        <v>34194071</v>
      </c>
      <c r="C3006" t="inlineStr">
        <is>
          <t>T</t>
        </is>
      </c>
      <c r="D3006" t="inlineStr">
        <is>
          <t>C</t>
        </is>
      </c>
      <c r="E3006" t="inlineStr">
        <is>
          <t>rs6531299</t>
        </is>
      </c>
      <c r="F3006" t="n">
        <v>0.00431507237</v>
      </c>
      <c r="G3006" t="n">
        <v>0.7802076338988095</v>
      </c>
      <c r="H3006" t="n">
        <v>0.0069914542999037</v>
      </c>
      <c r="I3006" t="n">
        <v>0.9249099820466252</v>
      </c>
      <c r="J3006" t="n">
        <v>0.0014785030679985</v>
      </c>
      <c r="K3006" t="n">
        <v>0.8994694844389274</v>
      </c>
      <c r="L3006" t="b">
        <v>0</v>
      </c>
      <c r="M3006" t="b">
        <v>0</v>
      </c>
      <c r="N3006" t="inlineStr">
        <is>
          <t>alt</t>
        </is>
      </c>
      <c r="O3006" t="n">
        <v>-100</v>
      </c>
      <c r="P3006" t="n">
        <v>0.01501</v>
      </c>
      <c r="Q3006" t="n">
        <v>10</v>
      </c>
      <c r="R3006" t="n">
        <v>0.002838</v>
      </c>
      <c r="S3006">
        <f>IMAGE("https://mitra.stanford.edu/kundaje/oak/projects/neuro-variants/variant_position/credible/roussos_2024/variant_figures/roussos_2024.childhood.GABA/rs6531299_count_position.png",4,220,900)</f>
        <v/>
      </c>
      <c r="T3006">
        <f>IMAGE("https://mitra.stanford.edu/kundaje/oak/projects/neuro-variants/variant_position/credible/roussos_2024/variant_figures/roussos_2024.childhood.GABA/rs6531299_profile_position.png",4,220,900)</f>
        <v/>
      </c>
    </row>
    <row r="3007">
      <c r="A3007" t="inlineStr">
        <is>
          <t>chr4</t>
        </is>
      </c>
      <c r="B3007" t="n">
        <v>34196663</v>
      </c>
      <c r="C3007" t="inlineStr">
        <is>
          <t>C</t>
        </is>
      </c>
      <c r="D3007" t="inlineStr">
        <is>
          <t>T</t>
        </is>
      </c>
      <c r="E3007" t="inlineStr">
        <is>
          <t>rs67368133</t>
        </is>
      </c>
      <c r="F3007" t="n">
        <v>0.024712332446</v>
      </c>
      <c r="G3007" t="n">
        <v>0.3766045462863973</v>
      </c>
      <c r="H3007" t="n">
        <v>0.0206127436540369</v>
      </c>
      <c r="I3007" t="n">
        <v>0.0658905194645542</v>
      </c>
      <c r="J3007" t="n">
        <v>0.0059192477644446</v>
      </c>
      <c r="K3007" t="n">
        <v>0.808906652551308</v>
      </c>
      <c r="L3007" t="b">
        <v>0</v>
      </c>
      <c r="M3007" t="b">
        <v>0</v>
      </c>
      <c r="N3007" t="inlineStr">
        <is>
          <t>alt</t>
        </is>
      </c>
      <c r="O3007" t="n">
        <v>-20</v>
      </c>
      <c r="P3007" t="n">
        <v>0.0004768</v>
      </c>
      <c r="Q3007" t="n">
        <v>25</v>
      </c>
      <c r="R3007" t="n">
        <v>0.04312</v>
      </c>
      <c r="S3007">
        <f>IMAGE("https://mitra.stanford.edu/kundaje/oak/projects/neuro-variants/variant_position/credible/roussos_2024/variant_figures/roussos_2024.childhood.GABA/rs67368133_count_position.png",4,220,900)</f>
        <v/>
      </c>
      <c r="T3007">
        <f>IMAGE("https://mitra.stanford.edu/kundaje/oak/projects/neuro-variants/variant_position/credible/roussos_2024/variant_figures/roussos_2024.childhood.GABA/rs67368133_profile_position.png",4,220,900)</f>
        <v/>
      </c>
    </row>
    <row r="3008">
      <c r="A3008" t="inlineStr">
        <is>
          <t>chr4</t>
        </is>
      </c>
      <c r="B3008" t="n">
        <v>34197307</v>
      </c>
      <c r="C3008" t="inlineStr">
        <is>
          <t>T</t>
        </is>
      </c>
      <c r="D3008" t="inlineStr">
        <is>
          <t>G</t>
        </is>
      </c>
      <c r="E3008" t="inlineStr">
        <is>
          <t>rs6834907</t>
        </is>
      </c>
      <c r="F3008" t="n">
        <v>0.001598499164</v>
      </c>
      <c r="G3008" t="n">
        <v>0.5885793428264101</v>
      </c>
      <c r="H3008" t="n">
        <v>0.0212445426765364</v>
      </c>
      <c r="I3008" t="n">
        <v>0.0579076444535152</v>
      </c>
      <c r="J3008" t="n">
        <v>0.0068762957843814</v>
      </c>
      <c r="K3008" t="n">
        <v>0.7828708603109619</v>
      </c>
      <c r="L3008" t="b">
        <v>0</v>
      </c>
      <c r="M3008" t="b">
        <v>0</v>
      </c>
      <c r="N3008" t="inlineStr">
        <is>
          <t>alt</t>
        </is>
      </c>
      <c r="O3008" t="n">
        <v>-70</v>
      </c>
      <c r="P3008" t="n">
        <v>0.005215</v>
      </c>
      <c r="Q3008" t="n">
        <v>-40</v>
      </c>
      <c r="R3008" t="n">
        <v>0.0407</v>
      </c>
      <c r="S3008">
        <f>IMAGE("https://mitra.stanford.edu/kundaje/oak/projects/neuro-variants/variant_position/credible/roussos_2024/variant_figures/roussos_2024.childhood.GABA/rs6834907_count_position.png",4,220,900)</f>
        <v/>
      </c>
      <c r="T3008">
        <f>IMAGE("https://mitra.stanford.edu/kundaje/oak/projects/neuro-variants/variant_position/credible/roussos_2024/variant_figures/roussos_2024.childhood.GABA/rs6834907_profile_position.png",4,220,900)</f>
        <v/>
      </c>
    </row>
    <row r="3009">
      <c r="A3009" t="inlineStr">
        <is>
          <t>chr4</t>
        </is>
      </c>
      <c r="B3009" t="n">
        <v>34203755</v>
      </c>
      <c r="C3009" t="inlineStr">
        <is>
          <t>A</t>
        </is>
      </c>
      <c r="D3009" t="inlineStr">
        <is>
          <t>G</t>
        </is>
      </c>
      <c r="E3009" t="inlineStr">
        <is>
          <t>rs13110566</t>
        </is>
      </c>
      <c r="F3009" t="n">
        <v>0.101099605</v>
      </c>
      <c r="G3009" t="n">
        <v>0.0279070298414098</v>
      </c>
      <c r="H3009" t="n">
        <v>0.0150915972588772</v>
      </c>
      <c r="I3009" t="n">
        <v>0.2160759544839844</v>
      </c>
      <c r="J3009" t="n">
        <v>0.0516010135913383</v>
      </c>
      <c r="K3009" t="n">
        <v>0.4774076551501775</v>
      </c>
      <c r="L3009" t="b">
        <v>0</v>
      </c>
      <c r="M3009" t="b">
        <v>0</v>
      </c>
      <c r="N3009" t="inlineStr">
        <is>
          <t>alt</t>
        </is>
      </c>
      <c r="O3009" t="n">
        <v>35</v>
      </c>
      <c r="P3009" t="n">
        <v>0.00132</v>
      </c>
      <c r="Q3009" t="n">
        <v>-25</v>
      </c>
      <c r="R3009" t="n">
        <v>0.06569999999999999</v>
      </c>
      <c r="S3009">
        <f>IMAGE("https://mitra.stanford.edu/kundaje/oak/projects/neuro-variants/variant_position/credible/roussos_2024/variant_figures/roussos_2024.childhood.GABA/rs13110566_count_position.png",4,220,900)</f>
        <v/>
      </c>
      <c r="T3009">
        <f>IMAGE("https://mitra.stanford.edu/kundaje/oak/projects/neuro-variants/variant_position/credible/roussos_2024/variant_figures/roussos_2024.childhood.GABA/rs13110566_profile_position.png",4,220,900)</f>
        <v/>
      </c>
    </row>
    <row r="3010">
      <c r="A3010" t="inlineStr">
        <is>
          <t>chr4</t>
        </is>
      </c>
      <c r="B3010" t="n">
        <v>34206356</v>
      </c>
      <c r="C3010" t="inlineStr">
        <is>
          <t>T</t>
        </is>
      </c>
      <c r="D3010" t="inlineStr">
        <is>
          <t>C</t>
        </is>
      </c>
      <c r="E3010" t="inlineStr">
        <is>
          <t>rs34522421</t>
        </is>
      </c>
      <c r="F3010" t="n">
        <v>0.1175509904</v>
      </c>
      <c r="G3010" t="n">
        <v>0.0190277102350569</v>
      </c>
      <c r="H3010" t="n">
        <v>0.0199996413970638</v>
      </c>
      <c r="I3010" t="n">
        <v>0.07511074145528419</v>
      </c>
      <c r="J3010" t="n">
        <v>0.07615337898682741</v>
      </c>
      <c r="K3010" t="n">
        <v>0.4264007895694978</v>
      </c>
      <c r="L3010" t="b">
        <v>1</v>
      </c>
      <c r="M3010" t="b">
        <v>0</v>
      </c>
      <c r="N3010" t="inlineStr">
        <is>
          <t>alt</t>
        </is>
      </c>
      <c r="O3010" t="n">
        <v>10</v>
      </c>
      <c r="P3010" t="n">
        <v>0.001022</v>
      </c>
      <c r="Q3010" t="n">
        <v>-60</v>
      </c>
      <c r="R3010" t="n">
        <v>0.07464999999999999</v>
      </c>
      <c r="S3010">
        <f>IMAGE("https://mitra.stanford.edu/kundaje/oak/projects/neuro-variants/variant_position/credible/roussos_2024/variant_figures/roussos_2024.childhood.GABA/rs34522421_count_position.png",4,220,900)</f>
        <v/>
      </c>
      <c r="T3010">
        <f>IMAGE("https://mitra.stanford.edu/kundaje/oak/projects/neuro-variants/variant_position/credible/roussos_2024/variant_figures/roussos_2024.childhood.GABA/rs34522421_profile_position.png",4,220,900)</f>
        <v/>
      </c>
    </row>
    <row r="3011">
      <c r="A3011" t="inlineStr">
        <is>
          <t>chr4</t>
        </is>
      </c>
      <c r="B3011" t="n">
        <v>34213494</v>
      </c>
      <c r="C3011" t="inlineStr">
        <is>
          <t>G</t>
        </is>
      </c>
      <c r="D3011" t="inlineStr">
        <is>
          <t>A</t>
        </is>
      </c>
      <c r="E3011" t="inlineStr">
        <is>
          <t>rs7683171</t>
        </is>
      </c>
      <c r="F3011" t="n">
        <v>-0.0663495495999999</v>
      </c>
      <c r="G3011" t="n">
        <v>0.0959300572028869</v>
      </c>
      <c r="H3011" t="n">
        <v>0.0129573129614016</v>
      </c>
      <c r="I3011" t="n">
        <v>0.3588625999535325</v>
      </c>
      <c r="J3011" t="n">
        <v>0.0227168017423718</v>
      </c>
      <c r="K3011" t="n">
        <v>0.6248979484050003</v>
      </c>
      <c r="L3011" t="b">
        <v>0</v>
      </c>
      <c r="M3011" t="b">
        <v>0</v>
      </c>
      <c r="N3011" t="inlineStr">
        <is>
          <t>ref</t>
        </is>
      </c>
      <c r="O3011" t="n">
        <v>-60</v>
      </c>
      <c r="P3011" t="n">
        <v>0.01094</v>
      </c>
      <c r="Q3011" t="n">
        <v>-15</v>
      </c>
      <c r="R3011" t="n">
        <v>0.0629</v>
      </c>
      <c r="S3011">
        <f>IMAGE("https://mitra.stanford.edu/kundaje/oak/projects/neuro-variants/variant_position/credible/roussos_2024/variant_figures/roussos_2024.childhood.GABA/rs7683171_count_position.png",4,220,900)</f>
        <v/>
      </c>
      <c r="T3011">
        <f>IMAGE("https://mitra.stanford.edu/kundaje/oak/projects/neuro-variants/variant_position/credible/roussos_2024/variant_figures/roussos_2024.childhood.GABA/rs7683171_profile_position.png",4,220,900)</f>
        <v/>
      </c>
    </row>
    <row r="3012">
      <c r="A3012" t="inlineStr">
        <is>
          <t>chr4</t>
        </is>
      </c>
      <c r="B3012" t="n">
        <v>34234902</v>
      </c>
      <c r="C3012" t="inlineStr">
        <is>
          <t>G</t>
        </is>
      </c>
      <c r="D3012" t="inlineStr">
        <is>
          <t>A</t>
        </is>
      </c>
      <c r="E3012" t="inlineStr">
        <is>
          <t>rs34250047</t>
        </is>
      </c>
      <c r="F3012" t="n">
        <v>-0.0741671032</v>
      </c>
      <c r="G3012" t="n">
        <v>0.0669789018882456</v>
      </c>
      <c r="H3012" t="n">
        <v>0.0201108068474381</v>
      </c>
      <c r="I3012" t="n">
        <v>0.07558559888150861</v>
      </c>
      <c r="J3012" t="n">
        <v>0.0131044376034009</v>
      </c>
      <c r="K3012" t="n">
        <v>0.7110975469573992</v>
      </c>
      <c r="L3012" t="b">
        <v>0</v>
      </c>
      <c r="M3012" t="b">
        <v>0</v>
      </c>
      <c r="N3012" t="inlineStr">
        <is>
          <t>ref</t>
        </is>
      </c>
      <c r="O3012" t="n">
        <v>100</v>
      </c>
      <c r="P3012" t="n">
        <v>0.004204</v>
      </c>
      <c r="Q3012" t="n">
        <v>-60</v>
      </c>
      <c r="R3012" t="n">
        <v>0.0464</v>
      </c>
      <c r="S3012">
        <f>IMAGE("https://mitra.stanford.edu/kundaje/oak/projects/neuro-variants/variant_position/credible/roussos_2024/variant_figures/roussos_2024.childhood.GABA/rs34250047_count_position.png",4,220,900)</f>
        <v/>
      </c>
      <c r="T3012">
        <f>IMAGE("https://mitra.stanford.edu/kundaje/oak/projects/neuro-variants/variant_position/credible/roussos_2024/variant_figures/roussos_2024.childhood.GABA/rs34250047_profile_position.png",4,220,900)</f>
        <v/>
      </c>
    </row>
    <row r="3013">
      <c r="A3013" t="inlineStr">
        <is>
          <t>chr4</t>
        </is>
      </c>
      <c r="B3013" t="n">
        <v>34235892</v>
      </c>
      <c r="C3013" t="inlineStr">
        <is>
          <t>T</t>
        </is>
      </c>
      <c r="D3013" t="inlineStr">
        <is>
          <t>C</t>
        </is>
      </c>
      <c r="E3013" t="inlineStr">
        <is>
          <t>rs28731006</t>
        </is>
      </c>
      <c r="F3013" t="n">
        <v>0.0846209842</v>
      </c>
      <c r="G3013" t="n">
        <v>0.0443957828618037</v>
      </c>
      <c r="H3013" t="n">
        <v>0.0159047377672073</v>
      </c>
      <c r="I3013" t="n">
        <v>0.1824697193759487</v>
      </c>
      <c r="J3013" t="n">
        <v>0.009013423802642801</v>
      </c>
      <c r="K3013" t="n">
        <v>0.7663960192537044</v>
      </c>
      <c r="L3013" t="b">
        <v>0</v>
      </c>
      <c r="M3013" t="b">
        <v>0</v>
      </c>
      <c r="N3013" t="inlineStr">
        <is>
          <t>alt</t>
        </is>
      </c>
      <c r="O3013" t="n">
        <v>-70</v>
      </c>
      <c r="P3013" t="n">
        <v>0.001766</v>
      </c>
      <c r="Q3013" t="n">
        <v>100</v>
      </c>
      <c r="R3013" t="n">
        <v>0.0977</v>
      </c>
      <c r="S3013">
        <f>IMAGE("https://mitra.stanford.edu/kundaje/oak/projects/neuro-variants/variant_position/credible/roussos_2024/variant_figures/roussos_2024.childhood.GABA/rs28731006_count_position.png",4,220,900)</f>
        <v/>
      </c>
      <c r="T3013">
        <f>IMAGE("https://mitra.stanford.edu/kundaje/oak/projects/neuro-variants/variant_position/credible/roussos_2024/variant_figures/roussos_2024.childhood.GABA/rs28731006_profile_position.png",4,220,900)</f>
        <v/>
      </c>
    </row>
    <row r="3014">
      <c r="A3014" t="inlineStr">
        <is>
          <t>chr4</t>
        </is>
      </c>
      <c r="B3014" t="n">
        <v>34239457</v>
      </c>
      <c r="C3014" t="inlineStr">
        <is>
          <t>G</t>
        </is>
      </c>
      <c r="D3014" t="inlineStr">
        <is>
          <t>A</t>
        </is>
      </c>
      <c r="E3014" t="inlineStr">
        <is>
          <t>rs34202234</t>
        </is>
      </c>
      <c r="F3014" t="n">
        <v>-0.1093928405999999</v>
      </c>
      <c r="G3014" t="n">
        <v>0.0277650435892656</v>
      </c>
      <c r="H3014" t="n">
        <v>0.0205393829334335</v>
      </c>
      <c r="I3014" t="n">
        <v>0.07426734742773181</v>
      </c>
      <c r="J3014" t="n">
        <v>0.0183608720236225</v>
      </c>
      <c r="K3014" t="n">
        <v>0.6689639491711198</v>
      </c>
      <c r="L3014" t="b">
        <v>0</v>
      </c>
      <c r="M3014" t="b">
        <v>0</v>
      </c>
      <c r="N3014" t="inlineStr">
        <is>
          <t>ref</t>
        </is>
      </c>
      <c r="O3014" t="n">
        <v>-80</v>
      </c>
      <c r="P3014" t="n">
        <v>0.00241</v>
      </c>
      <c r="Q3014" t="n">
        <v>-80</v>
      </c>
      <c r="R3014" t="n">
        <v>0.06128</v>
      </c>
      <c r="S3014">
        <f>IMAGE("https://mitra.stanford.edu/kundaje/oak/projects/neuro-variants/variant_position/credible/roussos_2024/variant_figures/roussos_2024.childhood.GABA/rs34202234_count_position.png",4,220,900)</f>
        <v/>
      </c>
      <c r="T3014">
        <f>IMAGE("https://mitra.stanford.edu/kundaje/oak/projects/neuro-variants/variant_position/credible/roussos_2024/variant_figures/roussos_2024.childhood.GABA/rs34202234_profile_position.png",4,220,900)</f>
        <v/>
      </c>
    </row>
    <row r="3015">
      <c r="A3015" t="inlineStr">
        <is>
          <t>chr4</t>
        </is>
      </c>
      <c r="B3015" t="n">
        <v>34247663</v>
      </c>
      <c r="C3015" t="inlineStr">
        <is>
          <t>C</t>
        </is>
      </c>
      <c r="D3015" t="inlineStr">
        <is>
          <t>T</t>
        </is>
      </c>
      <c r="E3015" t="inlineStr">
        <is>
          <t>rs4266314</t>
        </is>
      </c>
      <c r="F3015" t="n">
        <v>0.02341080852</v>
      </c>
      <c r="G3015" t="n">
        <v>0.3783390517517762</v>
      </c>
      <c r="H3015" t="n">
        <v>0.0193429165093038</v>
      </c>
      <c r="I3015" t="n">
        <v>0.08762567134685249</v>
      </c>
      <c r="J3015" t="n">
        <v>0.0144174991099662</v>
      </c>
      <c r="K3015" t="n">
        <v>0.6956015399016533</v>
      </c>
      <c r="L3015" t="b">
        <v>0</v>
      </c>
      <c r="M3015" t="b">
        <v>0</v>
      </c>
      <c r="N3015" t="inlineStr">
        <is>
          <t>alt</t>
        </is>
      </c>
      <c r="O3015" t="n">
        <v>10</v>
      </c>
      <c r="P3015" t="n">
        <v>0.001518</v>
      </c>
      <c r="Q3015" t="n">
        <v>-25</v>
      </c>
      <c r="R3015" t="n">
        <v>0.0919</v>
      </c>
      <c r="S3015">
        <f>IMAGE("https://mitra.stanford.edu/kundaje/oak/projects/neuro-variants/variant_position/credible/roussos_2024/variant_figures/roussos_2024.childhood.GABA/rs4266314_count_position.png",4,220,900)</f>
        <v/>
      </c>
      <c r="T3015">
        <f>IMAGE("https://mitra.stanford.edu/kundaje/oak/projects/neuro-variants/variant_position/credible/roussos_2024/variant_figures/roussos_2024.childhood.GABA/rs4266314_profile_position.png",4,220,900)</f>
        <v/>
      </c>
    </row>
    <row r="3016">
      <c r="A3016" t="inlineStr">
        <is>
          <t>chr4</t>
        </is>
      </c>
      <c r="B3016" t="n">
        <v>34259025</v>
      </c>
      <c r="C3016" t="inlineStr">
        <is>
          <t>T</t>
        </is>
      </c>
      <c r="D3016" t="inlineStr">
        <is>
          <t>C</t>
        </is>
      </c>
      <c r="E3016" t="inlineStr">
        <is>
          <t>rs34352361</t>
        </is>
      </c>
      <c r="F3016" t="n">
        <v>-0.0097746048</v>
      </c>
      <c r="G3016" t="n">
        <v>0.6073320540073116</v>
      </c>
      <c r="H3016" t="n">
        <v>0.0092999767487038</v>
      </c>
      <c r="I3016" t="n">
        <v>0.7203753922363233</v>
      </c>
      <c r="J3016" t="n">
        <v>0.002419844610584</v>
      </c>
      <c r="K3016" t="n">
        <v>0.8681301538995232</v>
      </c>
      <c r="L3016" t="b">
        <v>0</v>
      </c>
      <c r="M3016" t="b">
        <v>0</v>
      </c>
      <c r="N3016" t="inlineStr">
        <is>
          <t>ref</t>
        </is>
      </c>
      <c r="O3016" t="n">
        <v>-45</v>
      </c>
      <c r="P3016" t="n">
        <v>0.005226</v>
      </c>
      <c r="Q3016" t="n">
        <v>-80</v>
      </c>
      <c r="R3016" t="n">
        <v>0.08716</v>
      </c>
      <c r="S3016">
        <f>IMAGE("https://mitra.stanford.edu/kundaje/oak/projects/neuro-variants/variant_position/credible/roussos_2024/variant_figures/roussos_2024.childhood.GABA/rs34352361_count_position.png",4,220,900)</f>
        <v/>
      </c>
      <c r="T3016">
        <f>IMAGE("https://mitra.stanford.edu/kundaje/oak/projects/neuro-variants/variant_position/credible/roussos_2024/variant_figures/roussos_2024.childhood.GABA/rs34352361_profile_position.png",4,220,900)</f>
        <v/>
      </c>
    </row>
    <row r="3017">
      <c r="A3017" t="inlineStr">
        <is>
          <t>chr4</t>
        </is>
      </c>
      <c r="B3017" t="n">
        <v>34260311</v>
      </c>
      <c r="C3017" t="inlineStr">
        <is>
          <t>T</t>
        </is>
      </c>
      <c r="D3017" t="inlineStr">
        <is>
          <t>C</t>
        </is>
      </c>
      <c r="E3017" t="inlineStr">
        <is>
          <t>rs35210319</t>
        </is>
      </c>
      <c r="F3017" t="n">
        <v>0.0748547408</v>
      </c>
      <c r="G3017" t="n">
        <v>0.0634741355850551</v>
      </c>
      <c r="H3017" t="n">
        <v>0.0151204650903491</v>
      </c>
      <c r="I3017" t="n">
        <v>0.2208268870691288</v>
      </c>
      <c r="J3017" t="n">
        <v>0.0027988942639944</v>
      </c>
      <c r="K3017" t="n">
        <v>0.8666021226203019</v>
      </c>
      <c r="L3017" t="b">
        <v>0</v>
      </c>
      <c r="M3017" t="b">
        <v>0</v>
      </c>
      <c r="N3017" t="inlineStr">
        <is>
          <t>alt</t>
        </is>
      </c>
      <c r="O3017" t="n">
        <v>-100</v>
      </c>
      <c r="P3017" t="n">
        <v>0.002384</v>
      </c>
      <c r="Q3017" t="n">
        <v>-30</v>
      </c>
      <c r="R3017" t="n">
        <v>0.03564</v>
      </c>
      <c r="S3017">
        <f>IMAGE("https://mitra.stanford.edu/kundaje/oak/projects/neuro-variants/variant_position/credible/roussos_2024/variant_figures/roussos_2024.childhood.GABA/rs35210319_count_position.png",4,220,900)</f>
        <v/>
      </c>
      <c r="T3017">
        <f>IMAGE("https://mitra.stanford.edu/kundaje/oak/projects/neuro-variants/variant_position/credible/roussos_2024/variant_figures/roussos_2024.childhood.GABA/rs35210319_profile_position.png",4,220,900)</f>
        <v/>
      </c>
    </row>
    <row r="3018">
      <c r="A3018" t="inlineStr">
        <is>
          <t>chr4</t>
        </is>
      </c>
      <c r="B3018" t="n">
        <v>34262740</v>
      </c>
      <c r="C3018" t="inlineStr">
        <is>
          <t>T</t>
        </is>
      </c>
      <c r="D3018" t="inlineStr">
        <is>
          <t>G</t>
        </is>
      </c>
      <c r="E3018" t="inlineStr">
        <is>
          <t>rs4645234</t>
        </is>
      </c>
      <c r="F3018" t="n">
        <v>0.1075906752</v>
      </c>
      <c r="G3018" t="n">
        <v>0.0262475712188946</v>
      </c>
      <c r="H3018" t="n">
        <v>0.0137554536173222</v>
      </c>
      <c r="I3018" t="n">
        <v>0.2810528549549975</v>
      </c>
      <c r="J3018" t="n">
        <v>0.0450336118615316</v>
      </c>
      <c r="K3018" t="n">
        <v>0.5360607742122693</v>
      </c>
      <c r="L3018" t="b">
        <v>0</v>
      </c>
      <c r="M3018" t="b">
        <v>0</v>
      </c>
      <c r="N3018" t="inlineStr">
        <is>
          <t>alt</t>
        </is>
      </c>
      <c r="O3018" t="n">
        <v>-100</v>
      </c>
      <c r="P3018" t="n">
        <v>0.008803999999999999</v>
      </c>
      <c r="Q3018" t="n">
        <v>-35</v>
      </c>
      <c r="R3018" t="n">
        <v>0.05826</v>
      </c>
      <c r="S3018">
        <f>IMAGE("https://mitra.stanford.edu/kundaje/oak/projects/neuro-variants/variant_position/credible/roussos_2024/variant_figures/roussos_2024.childhood.GABA/rs4645234_count_position.png",4,220,900)</f>
        <v/>
      </c>
      <c r="T3018">
        <f>IMAGE("https://mitra.stanford.edu/kundaje/oak/projects/neuro-variants/variant_position/credible/roussos_2024/variant_figures/roussos_2024.childhood.GABA/rs4645234_profile_position.png",4,220,900)</f>
        <v/>
      </c>
    </row>
    <row r="3019">
      <c r="A3019" t="inlineStr">
        <is>
          <t>chr4</t>
        </is>
      </c>
      <c r="B3019" t="n">
        <v>34271016</v>
      </c>
      <c r="C3019" t="inlineStr">
        <is>
          <t>C</t>
        </is>
      </c>
      <c r="D3019" t="inlineStr">
        <is>
          <t>T</t>
        </is>
      </c>
      <c r="E3019" t="inlineStr">
        <is>
          <t>rs6841728</t>
        </is>
      </c>
      <c r="F3019" t="n">
        <v>-0.1281594468</v>
      </c>
      <c r="G3019" t="n">
        <v>0.016484999872985</v>
      </c>
      <c r="H3019" t="n">
        <v>0.0156190197097023</v>
      </c>
      <c r="I3019" t="n">
        <v>0.1962885688448895</v>
      </c>
      <c r="J3019" t="n">
        <v>0.0621306360076228</v>
      </c>
      <c r="K3019" t="n">
        <v>0.4661040825390552</v>
      </c>
      <c r="L3019" t="b">
        <v>1</v>
      </c>
      <c r="M3019" t="b">
        <v>0</v>
      </c>
      <c r="N3019" t="inlineStr">
        <is>
          <t>ref</t>
        </is>
      </c>
      <c r="O3019" t="n">
        <v>100</v>
      </c>
      <c r="P3019" t="n">
        <v>0.006363</v>
      </c>
      <c r="Q3019" t="n">
        <v>100</v>
      </c>
      <c r="R3019" t="n">
        <v>0.03796</v>
      </c>
      <c r="S3019">
        <f>IMAGE("https://mitra.stanford.edu/kundaje/oak/projects/neuro-variants/variant_position/credible/roussos_2024/variant_figures/roussos_2024.childhood.GABA/rs6841728_count_position.png",4,220,900)</f>
        <v/>
      </c>
      <c r="T3019">
        <f>IMAGE("https://mitra.stanford.edu/kundaje/oak/projects/neuro-variants/variant_position/credible/roussos_2024/variant_figures/roussos_2024.childhood.GABA/rs6841728_profile_position.png",4,220,900)</f>
        <v/>
      </c>
    </row>
    <row r="3020">
      <c r="A3020" t="inlineStr">
        <is>
          <t>chr4</t>
        </is>
      </c>
      <c r="B3020" t="n">
        <v>34277823</v>
      </c>
      <c r="C3020" t="inlineStr">
        <is>
          <t>G</t>
        </is>
      </c>
      <c r="D3020" t="inlineStr">
        <is>
          <t>A</t>
        </is>
      </c>
      <c r="E3020" t="inlineStr">
        <is>
          <t>rs9968413</t>
        </is>
      </c>
      <c r="F3020" t="n">
        <v>-0.00598500292</v>
      </c>
      <c r="G3020" t="n">
        <v>0.753710885138245</v>
      </c>
      <c r="H3020" t="n">
        <v>0.0077324731530542</v>
      </c>
      <c r="I3020" t="n">
        <v>0.8797193942610511</v>
      </c>
      <c r="J3020" t="n">
        <v>0.001235576218299</v>
      </c>
      <c r="K3020" t="n">
        <v>0.9121042767643264</v>
      </c>
      <c r="L3020" t="b">
        <v>0</v>
      </c>
      <c r="M3020" t="b">
        <v>0</v>
      </c>
      <c r="N3020" t="inlineStr">
        <is>
          <t>ref</t>
        </is>
      </c>
      <c r="O3020" t="n">
        <v>100</v>
      </c>
      <c r="P3020" t="n">
        <v>0.0532</v>
      </c>
      <c r="Q3020" t="n">
        <v>90</v>
      </c>
      <c r="R3020" t="n">
        <v>0.11835</v>
      </c>
      <c r="S3020">
        <f>IMAGE("https://mitra.stanford.edu/kundaje/oak/projects/neuro-variants/variant_position/credible/roussos_2024/variant_figures/roussos_2024.childhood.GABA/rs9968413_count_position.png",4,220,900)</f>
        <v/>
      </c>
      <c r="T3020">
        <f>IMAGE("https://mitra.stanford.edu/kundaje/oak/projects/neuro-variants/variant_position/credible/roussos_2024/variant_figures/roussos_2024.childhood.GABA/rs9968413_profile_position.png",4,220,900)</f>
        <v/>
      </c>
    </row>
    <row r="3021">
      <c r="A3021" t="inlineStr">
        <is>
          <t>chr4</t>
        </is>
      </c>
      <c r="B3021" t="n">
        <v>34279425</v>
      </c>
      <c r="C3021" t="inlineStr">
        <is>
          <t>G</t>
        </is>
      </c>
      <c r="D3021" t="inlineStr">
        <is>
          <t>A</t>
        </is>
      </c>
      <c r="E3021" t="inlineStr">
        <is>
          <t>rs4547813</t>
        </is>
      </c>
      <c r="F3021" t="n">
        <v>-0.0156144054</v>
      </c>
      <c r="G3021" t="n">
        <v>0.5077659799866849</v>
      </c>
      <c r="H3021" t="n">
        <v>0.0080390790203118</v>
      </c>
      <c r="I3021" t="n">
        <v>0.8487713645468343</v>
      </c>
      <c r="J3021" t="n">
        <v>8.900337165709568e-05</v>
      </c>
      <c r="K3021" t="n">
        <v>0.9799416031660187</v>
      </c>
      <c r="L3021" t="b">
        <v>0</v>
      </c>
      <c r="M3021" t="b">
        <v>0</v>
      </c>
      <c r="N3021" t="inlineStr">
        <is>
          <t>ref</t>
        </is>
      </c>
      <c r="O3021" t="n">
        <v>100</v>
      </c>
      <c r="P3021" t="n">
        <v>0.024</v>
      </c>
      <c r="Q3021" t="n">
        <v>-60</v>
      </c>
      <c r="R3021" t="n">
        <v>0.0488</v>
      </c>
      <c r="S3021">
        <f>IMAGE("https://mitra.stanford.edu/kundaje/oak/projects/neuro-variants/variant_position/credible/roussos_2024/variant_figures/roussos_2024.childhood.GABA/rs4547813_count_position.png",4,220,900)</f>
        <v/>
      </c>
      <c r="T3021">
        <f>IMAGE("https://mitra.stanford.edu/kundaje/oak/projects/neuro-variants/variant_position/credible/roussos_2024/variant_figures/roussos_2024.childhood.GABA/rs4547813_profile_position.png",4,220,900)</f>
        <v/>
      </c>
    </row>
    <row r="3022">
      <c r="A3022" t="inlineStr">
        <is>
          <t>chr4</t>
        </is>
      </c>
      <c r="B3022" t="n">
        <v>34286733</v>
      </c>
      <c r="C3022" t="inlineStr">
        <is>
          <t>G</t>
        </is>
      </c>
      <c r="D3022" t="inlineStr">
        <is>
          <t>A</t>
        </is>
      </c>
      <c r="E3022" t="inlineStr">
        <is>
          <t>rs13131483</t>
        </is>
      </c>
      <c r="F3022" t="n">
        <v>-0.0149614056</v>
      </c>
      <c r="G3022" t="n">
        <v>0.2350164167348924</v>
      </c>
      <c r="H3022" t="n">
        <v>0.0144111591223798</v>
      </c>
      <c r="I3022" t="n">
        <v>0.2561457764794508</v>
      </c>
      <c r="J3022" t="n">
        <v>0.0387384557391467</v>
      </c>
      <c r="K3022" t="n">
        <v>0.5383635942216231</v>
      </c>
      <c r="L3022" t="b">
        <v>0</v>
      </c>
      <c r="M3022" t="b">
        <v>0</v>
      </c>
      <c r="N3022" t="inlineStr">
        <is>
          <t>ref</t>
        </is>
      </c>
      <c r="O3022" t="n">
        <v>-65</v>
      </c>
      <c r="P3022" t="n">
        <v>0.007812</v>
      </c>
      <c r="Q3022" t="n">
        <v>35</v>
      </c>
      <c r="R3022" t="n">
        <v>0.06934</v>
      </c>
      <c r="S3022">
        <f>IMAGE("https://mitra.stanford.edu/kundaje/oak/projects/neuro-variants/variant_position/credible/roussos_2024/variant_figures/roussos_2024.childhood.GABA/rs13131483_count_position.png",4,220,900)</f>
        <v/>
      </c>
      <c r="T3022">
        <f>IMAGE("https://mitra.stanford.edu/kundaje/oak/projects/neuro-variants/variant_position/credible/roussos_2024/variant_figures/roussos_2024.childhood.GABA/rs13131483_profile_position.png",4,220,900)</f>
        <v/>
      </c>
    </row>
    <row r="3023">
      <c r="A3023" t="inlineStr">
        <is>
          <t>chr4</t>
        </is>
      </c>
      <c r="B3023" t="n">
        <v>34293081</v>
      </c>
      <c r="C3023" t="inlineStr">
        <is>
          <t>A</t>
        </is>
      </c>
      <c r="D3023" t="inlineStr">
        <is>
          <t>G</t>
        </is>
      </c>
      <c r="E3023" t="inlineStr">
        <is>
          <t>rs13118944</t>
        </is>
      </c>
      <c r="F3023" t="n">
        <v>-0.00381931856</v>
      </c>
      <c r="G3023" t="n">
        <v>0.8440192109485539</v>
      </c>
      <c r="H3023" t="n">
        <v>0.015328332625286</v>
      </c>
      <c r="I3023" t="n">
        <v>0.2086349808936765</v>
      </c>
      <c r="J3023" t="n">
        <v>0.0019235199262842</v>
      </c>
      <c r="K3023" t="n">
        <v>0.8829939031908276</v>
      </c>
      <c r="L3023" t="b">
        <v>0</v>
      </c>
      <c r="M3023" t="b">
        <v>0</v>
      </c>
      <c r="N3023" t="inlineStr">
        <is>
          <t>ref</t>
        </is>
      </c>
      <c r="O3023" t="n">
        <v>95</v>
      </c>
      <c r="P3023" t="n">
        <v>0.01256</v>
      </c>
      <c r="Q3023" t="n">
        <v>-100</v>
      </c>
      <c r="R3023" t="n">
        <v>0.1616</v>
      </c>
      <c r="S3023">
        <f>IMAGE("https://mitra.stanford.edu/kundaje/oak/projects/neuro-variants/variant_position/credible/roussos_2024/variant_figures/roussos_2024.childhood.GABA/rs13118944_count_position.png",4,220,900)</f>
        <v/>
      </c>
      <c r="T3023">
        <f>IMAGE("https://mitra.stanford.edu/kundaje/oak/projects/neuro-variants/variant_position/credible/roussos_2024/variant_figures/roussos_2024.childhood.GABA/rs13118944_profile_position.png",4,220,900)</f>
        <v/>
      </c>
    </row>
    <row r="3024">
      <c r="A3024" t="inlineStr">
        <is>
          <t>chr4</t>
        </is>
      </c>
      <c r="B3024" t="n">
        <v>34306193</v>
      </c>
      <c r="C3024" t="inlineStr">
        <is>
          <t>G</t>
        </is>
      </c>
      <c r="D3024" t="inlineStr">
        <is>
          <t>A</t>
        </is>
      </c>
      <c r="E3024" t="inlineStr">
        <is>
          <t>rs10010448</t>
        </is>
      </c>
      <c r="F3024" t="n">
        <v>-0.1656397399999999</v>
      </c>
      <c r="G3024" t="n">
        <v>0.0081600453993465</v>
      </c>
      <c r="H3024" t="n">
        <v>0.0288834015718923</v>
      </c>
      <c r="I3024" t="n">
        <v>0.0155615772728743</v>
      </c>
      <c r="J3024" t="n">
        <v>0.0129107243827353</v>
      </c>
      <c r="K3024" t="n">
        <v>0.7057815212007755</v>
      </c>
      <c r="L3024" t="b">
        <v>1</v>
      </c>
      <c r="M3024" t="b">
        <v>1</v>
      </c>
      <c r="N3024" t="inlineStr">
        <is>
          <t>ref</t>
        </is>
      </c>
      <c r="O3024" t="n">
        <v>-90</v>
      </c>
      <c r="P3024" t="n">
        <v>0.003723</v>
      </c>
      <c r="Q3024" t="n">
        <v>-60</v>
      </c>
      <c r="R3024" t="n">
        <v>0.0227</v>
      </c>
      <c r="S3024">
        <f>IMAGE("https://mitra.stanford.edu/kundaje/oak/projects/neuro-variants/variant_position/credible/roussos_2024/variant_figures/roussos_2024.childhood.GABA/rs10010448_count_position.png",4,220,900)</f>
        <v/>
      </c>
      <c r="T3024">
        <f>IMAGE("https://mitra.stanford.edu/kundaje/oak/projects/neuro-variants/variant_position/credible/roussos_2024/variant_figures/roussos_2024.childhood.GABA/rs10010448_profile_position.png",4,220,900)</f>
        <v/>
      </c>
    </row>
    <row r="3025">
      <c r="A3025" t="inlineStr">
        <is>
          <t>chr4</t>
        </is>
      </c>
      <c r="B3025" t="n">
        <v>34308921</v>
      </c>
      <c r="C3025" t="inlineStr">
        <is>
          <t>T</t>
        </is>
      </c>
      <c r="D3025" t="inlineStr">
        <is>
          <t>C</t>
        </is>
      </c>
      <c r="E3025" t="inlineStr">
        <is>
          <t>rs7672284</t>
        </is>
      </c>
      <c r="F3025" t="n">
        <v>-0.0547181417999999</v>
      </c>
      <c r="G3025" t="n">
        <v>0.1266520114639331</v>
      </c>
      <c r="H3025" t="n">
        <v>0.0126865120040697</v>
      </c>
      <c r="I3025" t="n">
        <v>0.3786293740647251</v>
      </c>
      <c r="J3025" t="n">
        <v>0.0229597285920713</v>
      </c>
      <c r="K3025" t="n">
        <v>0.6202562124149666</v>
      </c>
      <c r="L3025" t="b">
        <v>0</v>
      </c>
      <c r="M3025" t="b">
        <v>0</v>
      </c>
      <c r="N3025" t="inlineStr">
        <is>
          <t>ref</t>
        </is>
      </c>
      <c r="O3025" t="n">
        <v>-20</v>
      </c>
      <c r="P3025" t="n">
        <v>0.01764</v>
      </c>
      <c r="Q3025" t="n">
        <v>-55</v>
      </c>
      <c r="R3025" t="n">
        <v>0.06396</v>
      </c>
      <c r="S3025">
        <f>IMAGE("https://mitra.stanford.edu/kundaje/oak/projects/neuro-variants/variant_position/credible/roussos_2024/variant_figures/roussos_2024.childhood.GABA/rs7672284_count_position.png",4,220,900)</f>
        <v/>
      </c>
      <c r="T3025">
        <f>IMAGE("https://mitra.stanford.edu/kundaje/oak/projects/neuro-variants/variant_position/credible/roussos_2024/variant_figures/roussos_2024.childhood.GABA/rs7672284_profile_position.png",4,220,900)</f>
        <v/>
      </c>
    </row>
    <row r="3026">
      <c r="A3026" t="inlineStr">
        <is>
          <t>chr4</t>
        </is>
      </c>
      <c r="B3026" t="n">
        <v>34310033</v>
      </c>
      <c r="C3026" t="inlineStr">
        <is>
          <t>G</t>
        </is>
      </c>
      <c r="D3026" t="inlineStr">
        <is>
          <t>T</t>
        </is>
      </c>
      <c r="E3026" t="inlineStr">
        <is>
          <t>rs28668075</t>
        </is>
      </c>
      <c r="F3026" t="n">
        <v>-0.0032993007</v>
      </c>
      <c r="G3026" t="n">
        <v>0.7504807317514542</v>
      </c>
      <c r="H3026" t="n">
        <v>0.0102177167998085</v>
      </c>
      <c r="I3026" t="n">
        <v>0.6213434574764403</v>
      </c>
      <c r="J3026" t="n">
        <v>0.08603380033925979</v>
      </c>
      <c r="K3026" t="n">
        <v>0.3863418905678271</v>
      </c>
      <c r="L3026" t="b">
        <v>0</v>
      </c>
      <c r="M3026" t="b">
        <v>0</v>
      </c>
      <c r="N3026" t="inlineStr">
        <is>
          <t>ref</t>
        </is>
      </c>
      <c r="O3026" t="n">
        <v>-85</v>
      </c>
      <c r="P3026" t="n">
        <v>0.00409</v>
      </c>
      <c r="Q3026" t="n">
        <v>-85</v>
      </c>
      <c r="R3026" t="n">
        <v>0.02032</v>
      </c>
      <c r="S3026">
        <f>IMAGE("https://mitra.stanford.edu/kundaje/oak/projects/neuro-variants/variant_position/credible/roussos_2024/variant_figures/roussos_2024.childhood.GABA/rs28668075_count_position.png",4,220,900)</f>
        <v/>
      </c>
      <c r="T3026">
        <f>IMAGE("https://mitra.stanford.edu/kundaje/oak/projects/neuro-variants/variant_position/credible/roussos_2024/variant_figures/roussos_2024.childhood.GABA/rs28668075_profile_position.png",4,220,900)</f>
        <v/>
      </c>
    </row>
    <row r="3027">
      <c r="A3027" t="inlineStr">
        <is>
          <t>chr4</t>
        </is>
      </c>
      <c r="B3027" t="n">
        <v>34310315</v>
      </c>
      <c r="C3027" t="inlineStr">
        <is>
          <t>T</t>
        </is>
      </c>
      <c r="D3027" t="inlineStr">
        <is>
          <t>C</t>
        </is>
      </c>
      <c r="E3027" t="inlineStr">
        <is>
          <t>rs919019</t>
        </is>
      </c>
      <c r="F3027" t="n">
        <v>0.07704335919999999</v>
      </c>
      <c r="G3027" t="n">
        <v>0.0578789912327559</v>
      </c>
      <c r="H3027" t="n">
        <v>0.0129485804398171</v>
      </c>
      <c r="I3027" t="n">
        <v>0.355678656038268</v>
      </c>
      <c r="J3027" t="n">
        <v>0.0907426022491675</v>
      </c>
      <c r="K3027" t="n">
        <v>0.3819554381029197</v>
      </c>
      <c r="L3027" t="b">
        <v>0</v>
      </c>
      <c r="M3027" t="b">
        <v>0</v>
      </c>
      <c r="N3027" t="inlineStr">
        <is>
          <t>alt</t>
        </is>
      </c>
      <c r="O3027" t="n">
        <v>-75</v>
      </c>
      <c r="P3027" t="n">
        <v>0.004517</v>
      </c>
      <c r="Q3027" t="n">
        <v>75</v>
      </c>
      <c r="R3027" t="n">
        <v>0.09235</v>
      </c>
      <c r="S3027">
        <f>IMAGE("https://mitra.stanford.edu/kundaje/oak/projects/neuro-variants/variant_position/credible/roussos_2024/variant_figures/roussos_2024.childhood.GABA/rs919019_count_position.png",4,220,900)</f>
        <v/>
      </c>
      <c r="T3027">
        <f>IMAGE("https://mitra.stanford.edu/kundaje/oak/projects/neuro-variants/variant_position/credible/roussos_2024/variant_figures/roussos_2024.childhood.GABA/rs919019_profile_position.png",4,220,900)</f>
        <v/>
      </c>
    </row>
    <row r="3028">
      <c r="A3028" t="inlineStr">
        <is>
          <t>chr4</t>
        </is>
      </c>
      <c r="B3028" t="n">
        <v>34310507</v>
      </c>
      <c r="C3028" t="inlineStr">
        <is>
          <t>T</t>
        </is>
      </c>
      <c r="D3028" t="inlineStr">
        <is>
          <t>C</t>
        </is>
      </c>
      <c r="E3028" t="inlineStr">
        <is>
          <t>rs919018</t>
        </is>
      </c>
      <c r="F3028" t="n">
        <v>-0.01713351644</v>
      </c>
      <c r="G3028" t="n">
        <v>0.5092528731287949</v>
      </c>
      <c r="H3028" t="n">
        <v>0.0229672132989357</v>
      </c>
      <c r="I3028" t="n">
        <v>0.0410879015455883</v>
      </c>
      <c r="J3028" t="n">
        <v>0.0629170069736759</v>
      </c>
      <c r="K3028" t="n">
        <v>0.4545424787159645</v>
      </c>
      <c r="L3028" t="b">
        <v>0</v>
      </c>
      <c r="M3028" t="b">
        <v>0</v>
      </c>
      <c r="N3028" t="inlineStr">
        <is>
          <t>ref</t>
        </is>
      </c>
      <c r="O3028" t="n">
        <v>40</v>
      </c>
      <c r="P3028" t="n">
        <v>0.001417</v>
      </c>
      <c r="Q3028" t="n">
        <v>-35</v>
      </c>
      <c r="R3028" t="n">
        <v>0.04932</v>
      </c>
      <c r="S3028">
        <f>IMAGE("https://mitra.stanford.edu/kundaje/oak/projects/neuro-variants/variant_position/credible/roussos_2024/variant_figures/roussos_2024.childhood.GABA/rs919018_count_position.png",4,220,900)</f>
        <v/>
      </c>
      <c r="T3028">
        <f>IMAGE("https://mitra.stanford.edu/kundaje/oak/projects/neuro-variants/variant_position/credible/roussos_2024/variant_figures/roussos_2024.childhood.GABA/rs919018_profile_position.png",4,220,900)</f>
        <v/>
      </c>
    </row>
    <row r="3029">
      <c r="A3029" t="inlineStr">
        <is>
          <t>chr4</t>
        </is>
      </c>
      <c r="B3029" t="n">
        <v>34322125</v>
      </c>
      <c r="C3029" t="inlineStr">
        <is>
          <t>G</t>
        </is>
      </c>
      <c r="D3029" t="inlineStr">
        <is>
          <t>A</t>
        </is>
      </c>
      <c r="E3029" t="inlineStr">
        <is>
          <t>rs35418312</t>
        </is>
      </c>
      <c r="F3029" t="n">
        <v>0.0425226556</v>
      </c>
      <c r="G3029" t="n">
        <v>0.1921937962165454</v>
      </c>
      <c r="H3029" t="n">
        <v>0.0259413450058642</v>
      </c>
      <c r="I3029" t="n">
        <v>0.0240799939583666</v>
      </c>
      <c r="J3029" t="n">
        <v>0.0125672760779878</v>
      </c>
      <c r="K3029" t="n">
        <v>0.7164848491262424</v>
      </c>
      <c r="L3029" t="b">
        <v>0</v>
      </c>
      <c r="M3029" t="b">
        <v>0</v>
      </c>
      <c r="N3029" t="inlineStr">
        <is>
          <t>alt</t>
        </is>
      </c>
      <c r="O3029" t="n">
        <v>75</v>
      </c>
      <c r="P3029" t="n">
        <v>0.01028</v>
      </c>
      <c r="Q3029" t="n">
        <v>25</v>
      </c>
      <c r="R3029" t="n">
        <v>0.01425</v>
      </c>
      <c r="S3029">
        <f>IMAGE("https://mitra.stanford.edu/kundaje/oak/projects/neuro-variants/variant_position/credible/roussos_2024/variant_figures/roussos_2024.childhood.GABA/rs35418312_count_position.png",4,220,900)</f>
        <v/>
      </c>
      <c r="T3029">
        <f>IMAGE("https://mitra.stanford.edu/kundaje/oak/projects/neuro-variants/variant_position/credible/roussos_2024/variant_figures/roussos_2024.childhood.GABA/rs35418312_profile_position.png",4,220,900)</f>
        <v/>
      </c>
    </row>
    <row r="3030">
      <c r="A3030" t="inlineStr">
        <is>
          <t>chr4</t>
        </is>
      </c>
      <c r="B3030" t="n">
        <v>34322194</v>
      </c>
      <c r="C3030" t="inlineStr">
        <is>
          <t>G</t>
        </is>
      </c>
      <c r="D3030" t="inlineStr">
        <is>
          <t>T</t>
        </is>
      </c>
      <c r="E3030" t="inlineStr">
        <is>
          <t>rs13135298</t>
        </is>
      </c>
      <c r="F3030" t="n">
        <v>0.003660854334</v>
      </c>
      <c r="G3030" t="n">
        <v>0.7608191247182433</v>
      </c>
      <c r="H3030" t="n">
        <v>0.0306459260598305</v>
      </c>
      <c r="I3030" t="n">
        <v>0.0116994751000783</v>
      </c>
      <c r="J3030" t="n">
        <v>0.01546250340307</v>
      </c>
      <c r="K3030" t="n">
        <v>0.6906712654259111</v>
      </c>
      <c r="L3030" t="b">
        <v>1</v>
      </c>
      <c r="M3030" t="b">
        <v>0</v>
      </c>
      <c r="N3030" t="inlineStr">
        <is>
          <t>alt</t>
        </is>
      </c>
      <c r="O3030" t="n">
        <v>100</v>
      </c>
      <c r="P3030" t="n">
        <v>0.002907</v>
      </c>
      <c r="Q3030" t="n">
        <v>100</v>
      </c>
      <c r="R3030" t="n">
        <v>0.0472</v>
      </c>
      <c r="S3030">
        <f>IMAGE("https://mitra.stanford.edu/kundaje/oak/projects/neuro-variants/variant_position/credible/roussos_2024/variant_figures/roussos_2024.childhood.GABA/rs13135298_count_position.png",4,220,900)</f>
        <v/>
      </c>
      <c r="T3030">
        <f>IMAGE("https://mitra.stanford.edu/kundaje/oak/projects/neuro-variants/variant_position/credible/roussos_2024/variant_figures/roussos_2024.childhood.GABA/rs13135298_profile_position.png",4,220,900)</f>
        <v/>
      </c>
    </row>
    <row r="3031">
      <c r="A3031" t="inlineStr">
        <is>
          <t>chr4</t>
        </is>
      </c>
      <c r="B3031" t="n">
        <v>34324162</v>
      </c>
      <c r="C3031" t="inlineStr">
        <is>
          <t>C</t>
        </is>
      </c>
      <c r="D3031" t="inlineStr">
        <is>
          <t>T</t>
        </is>
      </c>
      <c r="E3031" t="inlineStr">
        <is>
          <t>rs61262296</t>
        </is>
      </c>
      <c r="F3031" t="n">
        <v>-0.06904531479999999</v>
      </c>
      <c r="G3031" t="n">
        <v>0.07072496049589611</v>
      </c>
      <c r="H3031" t="n">
        <v>0.0155347953868447</v>
      </c>
      <c r="I3031" t="n">
        <v>0.1974486760104198</v>
      </c>
      <c r="J3031" t="n">
        <v>0.189465142091265</v>
      </c>
      <c r="K3031" t="n">
        <v>0.230221060090883</v>
      </c>
      <c r="L3031" t="b">
        <v>0</v>
      </c>
      <c r="M3031" t="b">
        <v>0</v>
      </c>
      <c r="N3031" t="inlineStr">
        <is>
          <t>ref</t>
        </is>
      </c>
      <c r="O3031" t="n">
        <v>-45</v>
      </c>
      <c r="P3031" t="n">
        <v>0.03195</v>
      </c>
      <c r="Q3031" t="n">
        <v>-50</v>
      </c>
      <c r="R3031" t="n">
        <v>0.3105</v>
      </c>
      <c r="S3031">
        <f>IMAGE("https://mitra.stanford.edu/kundaje/oak/projects/neuro-variants/variant_position/credible/roussos_2024/variant_figures/roussos_2024.childhood.GABA/rs61262296_count_position.png",4,220,900)</f>
        <v/>
      </c>
      <c r="T3031">
        <f>IMAGE("https://mitra.stanford.edu/kundaje/oak/projects/neuro-variants/variant_position/credible/roussos_2024/variant_figures/roussos_2024.childhood.GABA/rs61262296_profile_position.png",4,220,900)</f>
        <v/>
      </c>
    </row>
    <row r="3032">
      <c r="A3032" t="inlineStr">
        <is>
          <t>chr4</t>
        </is>
      </c>
      <c r="B3032" t="n">
        <v>34333891</v>
      </c>
      <c r="C3032" t="inlineStr">
        <is>
          <t>T</t>
        </is>
      </c>
      <c r="D3032" t="inlineStr">
        <is>
          <t>C</t>
        </is>
      </c>
      <c r="E3032" t="inlineStr">
        <is>
          <t>rs7685673</t>
        </is>
      </c>
      <c r="F3032" t="n">
        <v>0.001677148472</v>
      </c>
      <c r="G3032" t="n">
        <v>0.7997151228213039</v>
      </c>
      <c r="H3032" t="n">
        <v>0.0199831131646982</v>
      </c>
      <c r="I3032" t="n">
        <v>0.07502791197192341</v>
      </c>
      <c r="J3032" t="n">
        <v>0.0173587987686121</v>
      </c>
      <c r="K3032" t="n">
        <v>0.6680425013268995</v>
      </c>
      <c r="L3032" t="b">
        <v>0</v>
      </c>
      <c r="M3032" t="b">
        <v>0</v>
      </c>
      <c r="N3032" t="inlineStr">
        <is>
          <t>alt</t>
        </is>
      </c>
      <c r="O3032" t="n">
        <v>60</v>
      </c>
      <c r="P3032" t="n">
        <v>0.00357</v>
      </c>
      <c r="Q3032" t="n">
        <v>85</v>
      </c>
      <c r="R3032" t="n">
        <v>0.1965</v>
      </c>
      <c r="S3032">
        <f>IMAGE("https://mitra.stanford.edu/kundaje/oak/projects/neuro-variants/variant_position/credible/roussos_2024/variant_figures/roussos_2024.childhood.GABA/rs7685673_count_position.png",4,220,900)</f>
        <v/>
      </c>
      <c r="T3032">
        <f>IMAGE("https://mitra.stanford.edu/kundaje/oak/projects/neuro-variants/variant_position/credible/roussos_2024/variant_figures/roussos_2024.childhood.GABA/rs7685673_profile_position.png",4,220,900)</f>
        <v/>
      </c>
    </row>
    <row r="3033">
      <c r="A3033" t="inlineStr">
        <is>
          <t>chr4</t>
        </is>
      </c>
      <c r="B3033" t="n">
        <v>34335946</v>
      </c>
      <c r="C3033" t="inlineStr">
        <is>
          <t>G</t>
        </is>
      </c>
      <c r="D3033" t="inlineStr">
        <is>
          <t>T</t>
        </is>
      </c>
      <c r="E3033" t="inlineStr">
        <is>
          <t>rs111284769</t>
        </is>
      </c>
      <c r="F3033" t="n">
        <v>-0.0494794557999999</v>
      </c>
      <c r="G3033" t="n">
        <v>0.1514658119992309</v>
      </c>
      <c r="H3033" t="n">
        <v>0.018907741279305</v>
      </c>
      <c r="I3033" t="n">
        <v>0.09396828563777759</v>
      </c>
      <c r="J3033" t="n">
        <v>0.524290590772968</v>
      </c>
      <c r="K3033" t="n">
        <v>0.0435498856514525</v>
      </c>
      <c r="L3033" t="b">
        <v>0</v>
      </c>
      <c r="M3033" t="b">
        <v>0</v>
      </c>
      <c r="N3033" t="inlineStr">
        <is>
          <t>ref</t>
        </is>
      </c>
      <c r="O3033" t="n">
        <v>-85</v>
      </c>
      <c r="P3033" t="n">
        <v>0.006493</v>
      </c>
      <c r="Q3033" t="n">
        <v>-55</v>
      </c>
      <c r="R3033" t="n">
        <v>0.03772</v>
      </c>
      <c r="S3033">
        <f>IMAGE("https://mitra.stanford.edu/kundaje/oak/projects/neuro-variants/variant_position/credible/roussos_2024/variant_figures/roussos_2024.childhood.GABA/rs111284769_count_position.png",4,220,900)</f>
        <v/>
      </c>
      <c r="T3033">
        <f>IMAGE("https://mitra.stanford.edu/kundaje/oak/projects/neuro-variants/variant_position/credible/roussos_2024/variant_figures/roussos_2024.childhood.GABA/rs111284769_profile_position.png",4,220,900)</f>
        <v/>
      </c>
    </row>
    <row r="3034">
      <c r="A3034" t="inlineStr">
        <is>
          <t>chr4</t>
        </is>
      </c>
      <c r="B3034" t="n">
        <v>34335967</v>
      </c>
      <c r="C3034" t="inlineStr">
        <is>
          <t>A</t>
        </is>
      </c>
      <c r="D3034" t="inlineStr">
        <is>
          <t>C</t>
        </is>
      </c>
      <c r="E3034" t="inlineStr">
        <is>
          <t>rs112181396</t>
        </is>
      </c>
      <c r="F3034" t="n">
        <v>-0.02416462816</v>
      </c>
      <c r="G3034" t="n">
        <v>0.3691925397567401</v>
      </c>
      <c r="H3034" t="n">
        <v>0.0168767647169181</v>
      </c>
      <c r="I3034" t="n">
        <v>0.1482229146897559</v>
      </c>
      <c r="J3034" t="n">
        <v>0.5169975497895332</v>
      </c>
      <c r="K3034" t="n">
        <v>0.04538732054792</v>
      </c>
      <c r="L3034" t="b">
        <v>0</v>
      </c>
      <c r="M3034" t="b">
        <v>0</v>
      </c>
      <c r="N3034" t="inlineStr">
        <is>
          <t>ref</t>
        </is>
      </c>
      <c r="O3034" t="n">
        <v>-100</v>
      </c>
      <c r="P3034" t="n">
        <v>0.00493</v>
      </c>
      <c r="Q3034" t="n">
        <v>-75</v>
      </c>
      <c r="R3034" t="n">
        <v>0.06945999999999999</v>
      </c>
      <c r="S3034">
        <f>IMAGE("https://mitra.stanford.edu/kundaje/oak/projects/neuro-variants/variant_position/credible/roussos_2024/variant_figures/roussos_2024.childhood.GABA/rs112181396_count_position.png",4,220,900)</f>
        <v/>
      </c>
      <c r="T3034">
        <f>IMAGE("https://mitra.stanford.edu/kundaje/oak/projects/neuro-variants/variant_position/credible/roussos_2024/variant_figures/roussos_2024.childhood.GABA/rs112181396_profile_position.png",4,220,900)</f>
        <v/>
      </c>
    </row>
    <row r="3035">
      <c r="A3035" t="inlineStr">
        <is>
          <t>chr4</t>
        </is>
      </c>
      <c r="B3035" t="n">
        <v>34337660</v>
      </c>
      <c r="C3035" t="inlineStr">
        <is>
          <t>T</t>
        </is>
      </c>
      <c r="D3035" t="inlineStr">
        <is>
          <t>C</t>
        </is>
      </c>
      <c r="E3035" t="inlineStr">
        <is>
          <t>rs35781550</t>
        </is>
      </c>
      <c r="F3035" t="n">
        <v>0.0240192148</v>
      </c>
      <c r="G3035" t="n">
        <v>0.3612906206789899</v>
      </c>
      <c r="H3035" t="n">
        <v>0.0168058508672727</v>
      </c>
      <c r="I3035" t="n">
        <v>0.1494914562313727</v>
      </c>
      <c r="J3035" t="n">
        <v>0.0040962492932084</v>
      </c>
      <c r="K3035" t="n">
        <v>0.8331549603534621</v>
      </c>
      <c r="L3035" t="b">
        <v>0</v>
      </c>
      <c r="M3035" t="b">
        <v>0</v>
      </c>
      <c r="N3035" t="inlineStr">
        <is>
          <t>alt</t>
        </is>
      </c>
      <c r="O3035" t="n">
        <v>-90</v>
      </c>
      <c r="P3035" t="n">
        <v>0.001019</v>
      </c>
      <c r="Q3035" t="n">
        <v>-100</v>
      </c>
      <c r="R3035" t="n">
        <v>0.05716</v>
      </c>
      <c r="S3035">
        <f>IMAGE("https://mitra.stanford.edu/kundaje/oak/projects/neuro-variants/variant_position/credible/roussos_2024/variant_figures/roussos_2024.childhood.GABA/rs35781550_count_position.png",4,220,900)</f>
        <v/>
      </c>
      <c r="T3035">
        <f>IMAGE("https://mitra.stanford.edu/kundaje/oak/projects/neuro-variants/variant_position/credible/roussos_2024/variant_figures/roussos_2024.childhood.GABA/rs35781550_profile_position.png",4,220,900)</f>
        <v/>
      </c>
    </row>
    <row r="3036">
      <c r="A3036" t="inlineStr">
        <is>
          <t>chr4</t>
        </is>
      </c>
      <c r="B3036" t="n">
        <v>34337807</v>
      </c>
      <c r="C3036" t="inlineStr">
        <is>
          <t>C</t>
        </is>
      </c>
      <c r="D3036" t="inlineStr">
        <is>
          <t>T</t>
        </is>
      </c>
      <c r="E3036" t="inlineStr">
        <is>
          <t>rs36044581</t>
        </is>
      </c>
      <c r="F3036" t="n">
        <v>-0.0246757066</v>
      </c>
      <c r="G3036" t="n">
        <v>0.3597441834369772</v>
      </c>
      <c r="H3036" t="n">
        <v>0.0123807612252684</v>
      </c>
      <c r="I3036" t="n">
        <v>0.3966628097467612</v>
      </c>
      <c r="J3036" t="n">
        <v>0.008934891415886499</v>
      </c>
      <c r="K3036" t="n">
        <v>0.7583616192492058</v>
      </c>
      <c r="L3036" t="b">
        <v>0</v>
      </c>
      <c r="M3036" t="b">
        <v>0</v>
      </c>
      <c r="N3036" t="inlineStr">
        <is>
          <t>ref</t>
        </is>
      </c>
      <c r="O3036" t="n">
        <v>10</v>
      </c>
      <c r="P3036" t="n">
        <v>0.00116</v>
      </c>
      <c r="Q3036" t="n">
        <v>85</v>
      </c>
      <c r="R3036" t="n">
        <v>0.03284</v>
      </c>
      <c r="S3036">
        <f>IMAGE("https://mitra.stanford.edu/kundaje/oak/projects/neuro-variants/variant_position/credible/roussos_2024/variant_figures/roussos_2024.childhood.GABA/rs36044581_count_position.png",4,220,900)</f>
        <v/>
      </c>
      <c r="T3036">
        <f>IMAGE("https://mitra.stanford.edu/kundaje/oak/projects/neuro-variants/variant_position/credible/roussos_2024/variant_figures/roussos_2024.childhood.GABA/rs36044581_profile_position.png",4,220,900)</f>
        <v/>
      </c>
    </row>
    <row r="3037">
      <c r="A3037" t="inlineStr">
        <is>
          <t>chr4</t>
        </is>
      </c>
      <c r="B3037" t="n">
        <v>34339177</v>
      </c>
      <c r="C3037" t="inlineStr">
        <is>
          <t>A</t>
        </is>
      </c>
      <c r="D3037" t="inlineStr">
        <is>
          <t>G</t>
        </is>
      </c>
      <c r="E3037" t="inlineStr">
        <is>
          <t>rs6824510</t>
        </is>
      </c>
      <c r="F3037" t="n">
        <v>0.0746767946</v>
      </c>
      <c r="G3037" t="n">
        <v>0.06485763611316139</v>
      </c>
      <c r="H3037" t="n">
        <v>0.0206650582316485</v>
      </c>
      <c r="I3037" t="n">
        <v>0.07020746706885619</v>
      </c>
      <c r="J3037" t="n">
        <v>0.0142803292077652</v>
      </c>
      <c r="K3037" t="n">
        <v>0.6915098794170439</v>
      </c>
      <c r="L3037" t="b">
        <v>0</v>
      </c>
      <c r="M3037" t="b">
        <v>0</v>
      </c>
      <c r="N3037" t="inlineStr">
        <is>
          <t>alt</t>
        </is>
      </c>
      <c r="O3037" t="n">
        <v>-85</v>
      </c>
      <c r="P3037" t="n">
        <v>0.0013485</v>
      </c>
      <c r="Q3037" t="n">
        <v>-90</v>
      </c>
      <c r="R3037" t="n">
        <v>0.0853</v>
      </c>
      <c r="S3037">
        <f>IMAGE("https://mitra.stanford.edu/kundaje/oak/projects/neuro-variants/variant_position/credible/roussos_2024/variant_figures/roussos_2024.childhood.GABA/rs6824510_count_position.png",4,220,900)</f>
        <v/>
      </c>
      <c r="T3037">
        <f>IMAGE("https://mitra.stanford.edu/kundaje/oak/projects/neuro-variants/variant_position/credible/roussos_2024/variant_figures/roussos_2024.childhood.GABA/rs6824510_profile_position.png",4,220,900)</f>
        <v/>
      </c>
    </row>
    <row r="3038">
      <c r="A3038" t="inlineStr">
        <is>
          <t>chr4</t>
        </is>
      </c>
      <c r="B3038" t="n">
        <v>34339873</v>
      </c>
      <c r="C3038" t="inlineStr">
        <is>
          <t>T</t>
        </is>
      </c>
      <c r="D3038" t="inlineStr">
        <is>
          <t>G</t>
        </is>
      </c>
      <c r="E3038" t="inlineStr">
        <is>
          <t>rs7690302</t>
        </is>
      </c>
      <c r="F3038" t="n">
        <v>0.0482379916</v>
      </c>
      <c r="G3038" t="n">
        <v>0.1612119198794568</v>
      </c>
      <c r="H3038" t="n">
        <v>0.0127837670450883</v>
      </c>
      <c r="I3038" t="n">
        <v>0.3708016414885376</v>
      </c>
      <c r="J3038" t="n">
        <v>0.0074145044082845</v>
      </c>
      <c r="K3038" t="n">
        <v>0.7745058795374307</v>
      </c>
      <c r="L3038" t="b">
        <v>0</v>
      </c>
      <c r="M3038" t="b">
        <v>0</v>
      </c>
      <c r="N3038" t="inlineStr">
        <is>
          <t>alt</t>
        </is>
      </c>
      <c r="O3038" t="n">
        <v>80</v>
      </c>
      <c r="P3038" t="n">
        <v>0.013245</v>
      </c>
      <c r="Q3038" t="n">
        <v>-15</v>
      </c>
      <c r="R3038" t="n">
        <v>0.03833</v>
      </c>
      <c r="S3038">
        <f>IMAGE("https://mitra.stanford.edu/kundaje/oak/projects/neuro-variants/variant_position/credible/roussos_2024/variant_figures/roussos_2024.childhood.GABA/rs7690302_count_position.png",4,220,900)</f>
        <v/>
      </c>
      <c r="T3038">
        <f>IMAGE("https://mitra.stanford.edu/kundaje/oak/projects/neuro-variants/variant_position/credible/roussos_2024/variant_figures/roussos_2024.childhood.GABA/rs7690302_profile_position.png",4,220,900)</f>
        <v/>
      </c>
    </row>
    <row r="3039">
      <c r="A3039" t="inlineStr">
        <is>
          <t>chr4</t>
        </is>
      </c>
      <c r="B3039" t="n">
        <v>34340047</v>
      </c>
      <c r="C3039" t="inlineStr">
        <is>
          <t>A</t>
        </is>
      </c>
      <c r="D3039" t="inlineStr">
        <is>
          <t>G</t>
        </is>
      </c>
      <c r="E3039" t="inlineStr">
        <is>
          <t>rs13113901</t>
        </is>
      </c>
      <c r="F3039" t="n">
        <v>-0.0536096</v>
      </c>
      <c r="G3039" t="n">
        <v>0.1292608797923277</v>
      </c>
      <c r="H3039" t="n">
        <v>0.0303344113917359</v>
      </c>
      <c r="I3039" t="n">
        <v>0.0129839565696145</v>
      </c>
      <c r="J3039" t="n">
        <v>0.0028344956126572</v>
      </c>
      <c r="K3039" t="n">
        <v>0.8590580331909983</v>
      </c>
      <c r="L3039" t="b">
        <v>0</v>
      </c>
      <c r="M3039" t="b">
        <v>0</v>
      </c>
      <c r="N3039" t="inlineStr">
        <is>
          <t>ref</t>
        </is>
      </c>
      <c r="O3039" t="n">
        <v>15</v>
      </c>
      <c r="P3039" t="n">
        <v>0.002052</v>
      </c>
      <c r="Q3039" t="n">
        <v>-75</v>
      </c>
      <c r="R3039" t="n">
        <v>0.0629</v>
      </c>
      <c r="S3039">
        <f>IMAGE("https://mitra.stanford.edu/kundaje/oak/projects/neuro-variants/variant_position/credible/roussos_2024/variant_figures/roussos_2024.childhood.GABA/rs13113901_count_position.png",4,220,900)</f>
        <v/>
      </c>
      <c r="T3039">
        <f>IMAGE("https://mitra.stanford.edu/kundaje/oak/projects/neuro-variants/variant_position/credible/roussos_2024/variant_figures/roussos_2024.childhood.GABA/rs13113901_profile_position.png",4,220,900)</f>
        <v/>
      </c>
    </row>
    <row r="3040">
      <c r="A3040" t="inlineStr">
        <is>
          <t>chr4</t>
        </is>
      </c>
      <c r="B3040" t="n">
        <v>34342868</v>
      </c>
      <c r="C3040" t="inlineStr">
        <is>
          <t>A</t>
        </is>
      </c>
      <c r="D3040" t="inlineStr">
        <is>
          <t>G</t>
        </is>
      </c>
      <c r="E3040" t="inlineStr">
        <is>
          <t>rs7658506</t>
        </is>
      </c>
      <c r="F3040" t="n">
        <v>-0.0016296147</v>
      </c>
      <c r="G3040" t="n">
        <v>0.8629665941039643</v>
      </c>
      <c r="H3040" t="n">
        <v>0.0228697274243551</v>
      </c>
      <c r="I3040" t="n">
        <v>0.0425829535651402</v>
      </c>
      <c r="J3040" t="n">
        <v>0.0035454754874243</v>
      </c>
      <c r="K3040" t="n">
        <v>0.8382363796964819</v>
      </c>
      <c r="L3040" t="b">
        <v>0</v>
      </c>
      <c r="M3040" t="b">
        <v>0</v>
      </c>
      <c r="N3040" t="inlineStr">
        <is>
          <t>ref</t>
        </is>
      </c>
      <c r="O3040" t="n">
        <v>-100</v>
      </c>
      <c r="P3040" t="n">
        <v>0.01607</v>
      </c>
      <c r="Q3040" t="n">
        <v>-95</v>
      </c>
      <c r="R3040" t="n">
        <v>0.05566</v>
      </c>
      <c r="S3040">
        <f>IMAGE("https://mitra.stanford.edu/kundaje/oak/projects/neuro-variants/variant_position/credible/roussos_2024/variant_figures/roussos_2024.childhood.GABA/rs7658506_count_position.png",4,220,900)</f>
        <v/>
      </c>
      <c r="T3040">
        <f>IMAGE("https://mitra.stanford.edu/kundaje/oak/projects/neuro-variants/variant_position/credible/roussos_2024/variant_figures/roussos_2024.childhood.GABA/rs7658506_profile_position.png",4,220,900)</f>
        <v/>
      </c>
    </row>
    <row r="3041">
      <c r="A3041" t="inlineStr">
        <is>
          <t>chr4</t>
        </is>
      </c>
      <c r="B3041" t="n">
        <v>34342904</v>
      </c>
      <c r="C3041" t="inlineStr">
        <is>
          <t>C</t>
        </is>
      </c>
      <c r="D3041" t="inlineStr">
        <is>
          <t>T</t>
        </is>
      </c>
      <c r="E3041" t="inlineStr">
        <is>
          <t>rs7681085</t>
        </is>
      </c>
      <c r="F3041" t="n">
        <v>-0.00573110638</v>
      </c>
      <c r="G3041" t="n">
        <v>0.7339915833389746</v>
      </c>
      <c r="H3041" t="n">
        <v>0.0128426091850081</v>
      </c>
      <c r="I3041" t="n">
        <v>0.3619090047315942</v>
      </c>
      <c r="J3041" t="n">
        <v>0.0028365898096374</v>
      </c>
      <c r="K3041" t="n">
        <v>0.8552631222656863</v>
      </c>
      <c r="L3041" t="b">
        <v>0</v>
      </c>
      <c r="M3041" t="b">
        <v>0</v>
      </c>
      <c r="N3041" t="inlineStr">
        <is>
          <t>ref</t>
        </is>
      </c>
      <c r="O3041" t="n">
        <v>-95</v>
      </c>
      <c r="P3041" t="n">
        <v>0.011215</v>
      </c>
      <c r="Q3041" t="n">
        <v>-100</v>
      </c>
      <c r="R3041" t="n">
        <v>0.10754</v>
      </c>
      <c r="S3041">
        <f>IMAGE("https://mitra.stanford.edu/kundaje/oak/projects/neuro-variants/variant_position/credible/roussos_2024/variant_figures/roussos_2024.childhood.GABA/rs7681085_count_position.png",4,220,900)</f>
        <v/>
      </c>
      <c r="T3041">
        <f>IMAGE("https://mitra.stanford.edu/kundaje/oak/projects/neuro-variants/variant_position/credible/roussos_2024/variant_figures/roussos_2024.childhood.GABA/rs7681085_profile_position.png",4,220,900)</f>
        <v/>
      </c>
    </row>
    <row r="3042">
      <c r="A3042" t="inlineStr">
        <is>
          <t>chr4</t>
        </is>
      </c>
      <c r="B3042" t="n">
        <v>34344336</v>
      </c>
      <c r="C3042" t="inlineStr">
        <is>
          <t>G</t>
        </is>
      </c>
      <c r="D3042" t="inlineStr">
        <is>
          <t>A</t>
        </is>
      </c>
      <c r="E3042" t="inlineStr">
        <is>
          <t>rs13115626</t>
        </is>
      </c>
      <c r="F3042" t="n">
        <v>-0.0606787847999999</v>
      </c>
      <c r="G3042" t="n">
        <v>0.1069946355974471</v>
      </c>
      <c r="H3042" t="n">
        <v>0.0109875469744542</v>
      </c>
      <c r="I3042" t="n">
        <v>0.5368894036376567</v>
      </c>
      <c r="J3042" t="n">
        <v>0.0008628091558291</v>
      </c>
      <c r="K3042" t="n">
        <v>0.930819410469774</v>
      </c>
      <c r="L3042" t="b">
        <v>0</v>
      </c>
      <c r="M3042" t="b">
        <v>0</v>
      </c>
      <c r="N3042" t="inlineStr">
        <is>
          <t>ref</t>
        </is>
      </c>
      <c r="O3042" t="n">
        <v>45</v>
      </c>
      <c r="P3042" t="n">
        <v>0.001263</v>
      </c>
      <c r="Q3042" t="n">
        <v>50</v>
      </c>
      <c r="R3042" t="n">
        <v>0.02466</v>
      </c>
      <c r="S3042">
        <f>IMAGE("https://mitra.stanford.edu/kundaje/oak/projects/neuro-variants/variant_position/credible/roussos_2024/variant_figures/roussos_2024.childhood.GABA/rs13115626_count_position.png",4,220,900)</f>
        <v/>
      </c>
      <c r="T3042">
        <f>IMAGE("https://mitra.stanford.edu/kundaje/oak/projects/neuro-variants/variant_position/credible/roussos_2024/variant_figures/roussos_2024.childhood.GABA/rs13115626_profile_position.png",4,220,900)</f>
        <v/>
      </c>
    </row>
    <row r="3043">
      <c r="A3043" t="inlineStr">
        <is>
          <t>chr4</t>
        </is>
      </c>
      <c r="B3043" t="n">
        <v>47230269</v>
      </c>
      <c r="C3043" t="inlineStr">
        <is>
          <t>A</t>
        </is>
      </c>
      <c r="D3043" t="inlineStr">
        <is>
          <t>G</t>
        </is>
      </c>
      <c r="E3043" t="inlineStr">
        <is>
          <t>rs4695202</t>
        </is>
      </c>
      <c r="F3043" t="n">
        <v>0.195752935</v>
      </c>
      <c r="G3043" t="n">
        <v>0.0056904604681977</v>
      </c>
      <c r="H3043" t="n">
        <v>0.0186310755193552</v>
      </c>
      <c r="I3043" t="n">
        <v>0.1111884578218297</v>
      </c>
      <c r="J3043" t="n">
        <v>0.0511842683922849</v>
      </c>
      <c r="K3043" t="n">
        <v>0.4870342207696039</v>
      </c>
      <c r="L3043" t="b">
        <v>1</v>
      </c>
      <c r="M3043" t="b">
        <v>1</v>
      </c>
      <c r="N3043" t="inlineStr">
        <is>
          <t>alt</t>
        </is>
      </c>
      <c r="O3043" t="n">
        <v>-55</v>
      </c>
      <c r="P3043" t="n">
        <v>0.0116</v>
      </c>
      <c r="Q3043" t="n">
        <v>70</v>
      </c>
      <c r="R3043" t="n">
        <v>0.05908</v>
      </c>
      <c r="S3043">
        <f>IMAGE("https://mitra.stanford.edu/kundaje/oak/projects/neuro-variants/variant_position/credible/roussos_2024/variant_figures/roussos_2024.childhood.GABA/rs4695202_count_position.png",4,220,900)</f>
        <v/>
      </c>
      <c r="T3043">
        <f>IMAGE("https://mitra.stanford.edu/kundaje/oak/projects/neuro-variants/variant_position/credible/roussos_2024/variant_figures/roussos_2024.childhood.GABA/rs4695202_profile_position.png",4,220,900)</f>
        <v/>
      </c>
    </row>
    <row r="3044">
      <c r="A3044" t="inlineStr">
        <is>
          <t>chr4</t>
        </is>
      </c>
      <c r="B3044" t="n">
        <v>47242132</v>
      </c>
      <c r="C3044" t="inlineStr">
        <is>
          <t>C</t>
        </is>
      </c>
      <c r="D3044" t="inlineStr">
        <is>
          <t>T</t>
        </is>
      </c>
      <c r="E3044" t="inlineStr">
        <is>
          <t>rs28584485</t>
        </is>
      </c>
      <c r="F3044" t="n">
        <v>-0.056894009</v>
      </c>
      <c r="G3044" t="n">
        <v>0.1074475471861314</v>
      </c>
      <c r="H3044" t="n">
        <v>0.0151847128077933</v>
      </c>
      <c r="I3044" t="n">
        <v>0.2177729470472481</v>
      </c>
      <c r="J3044" t="n">
        <v>0.0031381541747816</v>
      </c>
      <c r="K3044" t="n">
        <v>0.8561238079739159</v>
      </c>
      <c r="L3044" t="b">
        <v>0</v>
      </c>
      <c r="M3044" t="b">
        <v>0</v>
      </c>
      <c r="N3044" t="inlineStr">
        <is>
          <t>ref</t>
        </is>
      </c>
      <c r="O3044" t="n">
        <v>-100</v>
      </c>
      <c r="P3044" t="n">
        <v>0.01246</v>
      </c>
      <c r="Q3044" t="n">
        <v>-80</v>
      </c>
      <c r="R3044" t="n">
        <v>0.04575</v>
      </c>
      <c r="S3044">
        <f>IMAGE("https://mitra.stanford.edu/kundaje/oak/projects/neuro-variants/variant_position/credible/roussos_2024/variant_figures/roussos_2024.childhood.GABA/rs28584485_count_position.png",4,220,900)</f>
        <v/>
      </c>
      <c r="T3044">
        <f>IMAGE("https://mitra.stanford.edu/kundaje/oak/projects/neuro-variants/variant_position/credible/roussos_2024/variant_figures/roussos_2024.childhood.GABA/rs28584485_profile_position.png",4,220,900)</f>
        <v/>
      </c>
    </row>
    <row r="3045">
      <c r="A3045" t="inlineStr">
        <is>
          <t>chr4</t>
        </is>
      </c>
      <c r="B3045" t="n">
        <v>47273653</v>
      </c>
      <c r="C3045" t="inlineStr">
        <is>
          <t>A</t>
        </is>
      </c>
      <c r="D3045" t="inlineStr">
        <is>
          <t>G</t>
        </is>
      </c>
      <c r="E3045" t="inlineStr">
        <is>
          <t>rs4426746</t>
        </is>
      </c>
      <c r="F3045" t="n">
        <v>0.0274256178</v>
      </c>
      <c r="G3045" t="n">
        <v>0.3112724588276557</v>
      </c>
      <c r="H3045" t="n">
        <v>0.0116691125294371</v>
      </c>
      <c r="I3045" t="n">
        <v>0.4710997895739121</v>
      </c>
      <c r="J3045" t="n">
        <v>0.06506146468136779</v>
      </c>
      <c r="K3045" t="n">
        <v>0.435313096028163</v>
      </c>
      <c r="L3045" t="b">
        <v>0</v>
      </c>
      <c r="M3045" t="b">
        <v>0</v>
      </c>
      <c r="N3045" t="inlineStr">
        <is>
          <t>alt</t>
        </is>
      </c>
      <c r="O3045" t="n">
        <v>-40</v>
      </c>
      <c r="P3045" t="n">
        <v>0.00378</v>
      </c>
      <c r="Q3045" t="n">
        <v>-30</v>
      </c>
      <c r="R3045" t="n">
        <v>0.05225</v>
      </c>
      <c r="S3045">
        <f>IMAGE("https://mitra.stanford.edu/kundaje/oak/projects/neuro-variants/variant_position/credible/roussos_2024/variant_figures/roussos_2024.childhood.GABA/rs4426746_count_position.png",4,220,900)</f>
        <v/>
      </c>
      <c r="T3045">
        <f>IMAGE("https://mitra.stanford.edu/kundaje/oak/projects/neuro-variants/variant_position/credible/roussos_2024/variant_figures/roussos_2024.childhood.GABA/rs4426746_profile_position.png",4,220,900)</f>
        <v/>
      </c>
    </row>
    <row r="3046">
      <c r="A3046" t="inlineStr">
        <is>
          <t>chr4</t>
        </is>
      </c>
      <c r="B3046" t="n">
        <v>79277722</v>
      </c>
      <c r="C3046" t="inlineStr">
        <is>
          <t>C</t>
        </is>
      </c>
      <c r="D3046" t="inlineStr">
        <is>
          <t>T</t>
        </is>
      </c>
      <c r="E3046" t="inlineStr">
        <is>
          <t>rs13108290</t>
        </is>
      </c>
      <c r="F3046" t="n">
        <v>-0.167092082</v>
      </c>
      <c r="G3046" t="n">
        <v>0.0083166639717331</v>
      </c>
      <c r="H3046" t="n">
        <v>0.0202701747891665</v>
      </c>
      <c r="I3046" t="n">
        <v>0.070635429928324</v>
      </c>
      <c r="J3046" t="n">
        <v>0.268131557454294</v>
      </c>
      <c r="K3046" t="n">
        <v>0.1608819365647102</v>
      </c>
      <c r="L3046" t="b">
        <v>1</v>
      </c>
      <c r="M3046" t="b">
        <v>1</v>
      </c>
      <c r="N3046" t="inlineStr">
        <is>
          <t>ref</t>
        </is>
      </c>
      <c r="O3046" t="n">
        <v>100</v>
      </c>
      <c r="P3046" t="n">
        <v>0.03827</v>
      </c>
      <c r="Q3046" t="n">
        <v>10</v>
      </c>
      <c r="R3046" t="n">
        <v>0.04102</v>
      </c>
      <c r="S3046">
        <f>IMAGE("https://mitra.stanford.edu/kundaje/oak/projects/neuro-variants/variant_position/credible/roussos_2024/variant_figures/roussos_2024.childhood.GABA/rs13108290_count_position.png",4,220,900)</f>
        <v/>
      </c>
      <c r="T3046">
        <f>IMAGE("https://mitra.stanford.edu/kundaje/oak/projects/neuro-variants/variant_position/credible/roussos_2024/variant_figures/roussos_2024.childhood.GABA/rs13108290_profile_position.png",4,220,900)</f>
        <v/>
      </c>
    </row>
    <row r="3047">
      <c r="A3047" t="inlineStr">
        <is>
          <t>chr4</t>
        </is>
      </c>
      <c r="B3047" t="n">
        <v>81085512</v>
      </c>
      <c r="C3047" t="inlineStr">
        <is>
          <t>C</t>
        </is>
      </c>
      <c r="D3047" t="inlineStr">
        <is>
          <t>G</t>
        </is>
      </c>
      <c r="E3047" t="inlineStr">
        <is>
          <t>rs7671128</t>
        </is>
      </c>
      <c r="F3047" t="n">
        <v>-0.142951934</v>
      </c>
      <c r="G3047" t="n">
        <v>0.0112775962600567</v>
      </c>
      <c r="H3047" t="n">
        <v>0.0258659586549963</v>
      </c>
      <c r="I3047" t="n">
        <v>0.02514274150872</v>
      </c>
      <c r="J3047" t="n">
        <v>0.2076773261292956</v>
      </c>
      <c r="K3047" t="n">
        <v>0.210959347330883</v>
      </c>
      <c r="L3047" t="b">
        <v>1</v>
      </c>
      <c r="M3047" t="b">
        <v>0</v>
      </c>
      <c r="N3047" t="inlineStr">
        <is>
          <t>ref</t>
        </is>
      </c>
      <c r="O3047" t="n">
        <v>-95</v>
      </c>
      <c r="P3047" t="n">
        <v>0.01785</v>
      </c>
      <c r="Q3047" t="n">
        <v>-100</v>
      </c>
      <c r="R3047" t="n">
        <v>0.08765000000000001</v>
      </c>
      <c r="S3047">
        <f>IMAGE("https://mitra.stanford.edu/kundaje/oak/projects/neuro-variants/variant_position/credible/roussos_2024/variant_figures/roussos_2024.childhood.GABA/rs7671128_count_position.png",4,220,900)</f>
        <v/>
      </c>
      <c r="T3047">
        <f>IMAGE("https://mitra.stanford.edu/kundaje/oak/projects/neuro-variants/variant_position/credible/roussos_2024/variant_figures/roussos_2024.childhood.GABA/rs7671128_profile_position.png",4,220,900)</f>
        <v/>
      </c>
    </row>
    <row r="3048">
      <c r="A3048" t="inlineStr">
        <is>
          <t>chr4</t>
        </is>
      </c>
      <c r="B3048" t="n">
        <v>81113913</v>
      </c>
      <c r="C3048" t="inlineStr">
        <is>
          <t>T</t>
        </is>
      </c>
      <c r="D3048" t="inlineStr">
        <is>
          <t>C</t>
        </is>
      </c>
      <c r="E3048" t="inlineStr">
        <is>
          <t>rs7675843</t>
        </is>
      </c>
      <c r="F3048" t="n">
        <v>0.0432074284</v>
      </c>
      <c r="G3048" t="n">
        <v>0.1750979352734273</v>
      </c>
      <c r="H3048" t="n">
        <v>0.0145778830468685</v>
      </c>
      <c r="I3048" t="n">
        <v>0.2540569534304813</v>
      </c>
      <c r="J3048" t="n">
        <v>0.0165755690980293</v>
      </c>
      <c r="K3048" t="n">
        <v>0.6776939822239878</v>
      </c>
      <c r="L3048" t="b">
        <v>0</v>
      </c>
      <c r="M3048" t="b">
        <v>0</v>
      </c>
      <c r="N3048" t="inlineStr">
        <is>
          <t>alt</t>
        </is>
      </c>
      <c r="O3048" t="n">
        <v>-65</v>
      </c>
      <c r="P3048" t="n">
        <v>0.014435</v>
      </c>
      <c r="Q3048" t="n">
        <v>-90</v>
      </c>
      <c r="R3048" t="n">
        <v>0.1124</v>
      </c>
      <c r="S3048">
        <f>IMAGE("https://mitra.stanford.edu/kundaje/oak/projects/neuro-variants/variant_position/credible/roussos_2024/variant_figures/roussos_2024.childhood.GABA/rs7675843_count_position.png",4,220,900)</f>
        <v/>
      </c>
      <c r="T3048">
        <f>IMAGE("https://mitra.stanford.edu/kundaje/oak/projects/neuro-variants/variant_position/credible/roussos_2024/variant_figures/roussos_2024.childhood.GABA/rs7675843_profile_position.png",4,220,900)</f>
        <v/>
      </c>
    </row>
    <row r="3049">
      <c r="A3049" t="inlineStr">
        <is>
          <t>chr4</t>
        </is>
      </c>
      <c r="B3049" t="n">
        <v>81114580</v>
      </c>
      <c r="C3049" t="inlineStr">
        <is>
          <t>C</t>
        </is>
      </c>
      <c r="D3049" t="inlineStr">
        <is>
          <t>A</t>
        </is>
      </c>
      <c r="E3049" t="inlineStr">
        <is>
          <t>rs9685762</t>
        </is>
      </c>
      <c r="F3049" t="n">
        <v>0.0020230405599999</v>
      </c>
      <c r="G3049" t="n">
        <v>0.7109248505208925</v>
      </c>
      <c r="H3049" t="n">
        <v>0.0197165549914121</v>
      </c>
      <c r="I3049" t="n">
        <v>0.07903602417990099</v>
      </c>
      <c r="J3049" t="n">
        <v>0.0047328851751795</v>
      </c>
      <c r="K3049" t="n">
        <v>0.82404923025709</v>
      </c>
      <c r="L3049" t="b">
        <v>0</v>
      </c>
      <c r="M3049" t="b">
        <v>0</v>
      </c>
      <c r="N3049" t="inlineStr">
        <is>
          <t>alt</t>
        </is>
      </c>
      <c r="O3049" t="n">
        <v>80</v>
      </c>
      <c r="P3049" t="n">
        <v>0.007294</v>
      </c>
      <c r="Q3049" t="n">
        <v>100</v>
      </c>
      <c r="R3049" t="n">
        <v>0.0919</v>
      </c>
      <c r="S3049">
        <f>IMAGE("https://mitra.stanford.edu/kundaje/oak/projects/neuro-variants/variant_position/credible/roussos_2024/variant_figures/roussos_2024.childhood.GABA/rs9685762_count_position.png",4,220,900)</f>
        <v/>
      </c>
      <c r="T3049">
        <f>IMAGE("https://mitra.stanford.edu/kundaje/oak/projects/neuro-variants/variant_position/credible/roussos_2024/variant_figures/roussos_2024.childhood.GABA/rs9685762_profile_position.png",4,220,900)</f>
        <v/>
      </c>
    </row>
    <row r="3050">
      <c r="A3050" t="inlineStr">
        <is>
          <t>chr4</t>
        </is>
      </c>
      <c r="B3050" t="n">
        <v>81115574</v>
      </c>
      <c r="C3050" t="inlineStr">
        <is>
          <t>C</t>
        </is>
      </c>
      <c r="D3050" t="inlineStr">
        <is>
          <t>T</t>
        </is>
      </c>
      <c r="E3050" t="inlineStr">
        <is>
          <t>rs17005062</t>
        </is>
      </c>
      <c r="F3050" t="n">
        <v>-0.01773475588</v>
      </c>
      <c r="G3050" t="n">
        <v>0.3918739477909932</v>
      </c>
      <c r="H3050" t="n">
        <v>0.0117036038874775</v>
      </c>
      <c r="I3050" t="n">
        <v>0.4633751484221065</v>
      </c>
      <c r="J3050" t="n">
        <v>0.1049433519716864</v>
      </c>
      <c r="K3050" t="n">
        <v>0.3403090304655985</v>
      </c>
      <c r="L3050" t="b">
        <v>0</v>
      </c>
      <c r="M3050" t="b">
        <v>0</v>
      </c>
      <c r="N3050" t="inlineStr">
        <is>
          <t>ref</t>
        </is>
      </c>
      <c r="O3050" t="n">
        <v>-55</v>
      </c>
      <c r="P3050" t="n">
        <v>0.006775</v>
      </c>
      <c r="Q3050" t="n">
        <v>-50</v>
      </c>
      <c r="R3050" t="n">
        <v>0.05713</v>
      </c>
      <c r="S3050">
        <f>IMAGE("https://mitra.stanford.edu/kundaje/oak/projects/neuro-variants/variant_position/credible/roussos_2024/variant_figures/roussos_2024.childhood.GABA/rs17005062_count_position.png",4,220,900)</f>
        <v/>
      </c>
      <c r="T3050">
        <f>IMAGE("https://mitra.stanford.edu/kundaje/oak/projects/neuro-variants/variant_position/credible/roussos_2024/variant_figures/roussos_2024.childhood.GABA/rs17005062_profile_position.png",4,220,900)</f>
        <v/>
      </c>
    </row>
    <row r="3051">
      <c r="A3051" t="inlineStr">
        <is>
          <t>chr4</t>
        </is>
      </c>
      <c r="B3051" t="n">
        <v>81115998</v>
      </c>
      <c r="C3051" t="inlineStr">
        <is>
          <t>T</t>
        </is>
      </c>
      <c r="D3051" t="inlineStr">
        <is>
          <t>C</t>
        </is>
      </c>
      <c r="E3051" t="inlineStr">
        <is>
          <t>rs1443539</t>
        </is>
      </c>
      <c r="F3051" t="n">
        <v>0.003878668</v>
      </c>
      <c r="G3051" t="n">
        <v>0.7265704130257505</v>
      </c>
      <c r="H3051" t="n">
        <v>0.0070945463952154</v>
      </c>
      <c r="I3051" t="n">
        <v>0.9234857889801178</v>
      </c>
      <c r="J3051" t="n">
        <v>0.0288925886368871</v>
      </c>
      <c r="K3051" t="n">
        <v>0.5857964547915229</v>
      </c>
      <c r="L3051" t="b">
        <v>0</v>
      </c>
      <c r="M3051" t="b">
        <v>0</v>
      </c>
      <c r="N3051" t="inlineStr">
        <is>
          <t>alt</t>
        </is>
      </c>
      <c r="O3051" t="n">
        <v>30</v>
      </c>
      <c r="P3051" t="n">
        <v>0.009469999999999999</v>
      </c>
      <c r="Q3051" t="n">
        <v>-20</v>
      </c>
      <c r="R3051" t="n">
        <v>0.0159</v>
      </c>
      <c r="S3051">
        <f>IMAGE("https://mitra.stanford.edu/kundaje/oak/projects/neuro-variants/variant_position/credible/roussos_2024/variant_figures/roussos_2024.childhood.GABA/rs1443539_count_position.png",4,220,900)</f>
        <v/>
      </c>
      <c r="T3051">
        <f>IMAGE("https://mitra.stanford.edu/kundaje/oak/projects/neuro-variants/variant_position/credible/roussos_2024/variant_figures/roussos_2024.childhood.GABA/rs1443539_profile_position.png",4,220,900)</f>
        <v/>
      </c>
    </row>
    <row r="3052">
      <c r="A3052" t="inlineStr">
        <is>
          <t>chr4</t>
        </is>
      </c>
      <c r="B3052" t="n">
        <v>102211053</v>
      </c>
      <c r="C3052" t="inlineStr">
        <is>
          <t>T</t>
        </is>
      </c>
      <c r="D3052" t="inlineStr">
        <is>
          <t>G</t>
        </is>
      </c>
      <c r="E3052" t="inlineStr">
        <is>
          <t>rs151421</t>
        </is>
      </c>
      <c r="F3052" t="n">
        <v>0.0925097558</v>
      </c>
      <c r="G3052" t="n">
        <v>0.03812800713899</v>
      </c>
      <c r="H3052" t="n">
        <v>0.0170297987016916</v>
      </c>
      <c r="I3052" t="n">
        <v>0.1432300243129049</v>
      </c>
      <c r="J3052" t="n">
        <v>0.417556700383238</v>
      </c>
      <c r="K3052" t="n">
        <v>0.0786543248965549</v>
      </c>
      <c r="L3052" t="b">
        <v>0</v>
      </c>
      <c r="M3052" t="b">
        <v>0</v>
      </c>
      <c r="N3052" t="inlineStr">
        <is>
          <t>alt</t>
        </is>
      </c>
      <c r="O3052" t="n">
        <v>-55</v>
      </c>
      <c r="P3052" t="n">
        <v>0.004257</v>
      </c>
      <c r="Q3052" t="n">
        <v>-100</v>
      </c>
      <c r="R3052" t="n">
        <v>0.09984999999999999</v>
      </c>
      <c r="S3052">
        <f>IMAGE("https://mitra.stanford.edu/kundaje/oak/projects/neuro-variants/variant_position/credible/roussos_2024/variant_figures/roussos_2024.childhood.GABA/rs151421_count_position.png",4,220,900)</f>
        <v/>
      </c>
      <c r="T3052">
        <f>IMAGE("https://mitra.stanford.edu/kundaje/oak/projects/neuro-variants/variant_position/credible/roussos_2024/variant_figures/roussos_2024.childhood.GABA/rs151421_profile_position.png",4,220,900)</f>
        <v/>
      </c>
    </row>
    <row r="3053">
      <c r="A3053" t="inlineStr">
        <is>
          <t>chr4</t>
        </is>
      </c>
      <c r="B3053" t="n">
        <v>102769234</v>
      </c>
      <c r="C3053" t="inlineStr">
        <is>
          <t>T</t>
        </is>
      </c>
      <c r="D3053" t="inlineStr">
        <is>
          <t>C</t>
        </is>
      </c>
      <c r="E3053" t="inlineStr">
        <is>
          <t>rs150898</t>
        </is>
      </c>
      <c r="F3053" t="n">
        <v>-0.0245563549399999</v>
      </c>
      <c r="G3053" t="n">
        <v>0.2971275074360091</v>
      </c>
      <c r="H3053" t="n">
        <v>0.0129141807053551</v>
      </c>
      <c r="I3053" t="n">
        <v>0.343727492646397</v>
      </c>
      <c r="J3053" t="n">
        <v>0.0161954723461288</v>
      </c>
      <c r="K3053" t="n">
        <v>0.6777681532835119</v>
      </c>
      <c r="L3053" t="b">
        <v>0</v>
      </c>
      <c r="M3053" t="b">
        <v>0</v>
      </c>
      <c r="N3053" t="inlineStr">
        <is>
          <t>ref</t>
        </is>
      </c>
      <c r="O3053" t="n">
        <v>100</v>
      </c>
      <c r="P3053" t="n">
        <v>0.006874</v>
      </c>
      <c r="Q3053" t="n">
        <v>20</v>
      </c>
      <c r="R3053" t="n">
        <v>0.07199999999999999</v>
      </c>
      <c r="S3053">
        <f>IMAGE("https://mitra.stanford.edu/kundaje/oak/projects/neuro-variants/variant_position/credible/roussos_2024/variant_figures/roussos_2024.childhood.GABA/rs150898_count_position.png",4,220,900)</f>
        <v/>
      </c>
      <c r="T3053">
        <f>IMAGE("https://mitra.stanford.edu/kundaje/oak/projects/neuro-variants/variant_position/credible/roussos_2024/variant_figures/roussos_2024.childhood.GABA/rs150898_profile_position.png",4,220,900)</f>
        <v/>
      </c>
    </row>
    <row r="3054">
      <c r="A3054" t="inlineStr">
        <is>
          <t>chr4</t>
        </is>
      </c>
      <c r="B3054" t="n">
        <v>102772464</v>
      </c>
      <c r="C3054" t="inlineStr">
        <is>
          <t>C</t>
        </is>
      </c>
      <c r="D3054" t="inlineStr">
        <is>
          <t>T</t>
        </is>
      </c>
      <c r="E3054" t="inlineStr">
        <is>
          <t>rs223473</t>
        </is>
      </c>
      <c r="F3054" t="n">
        <v>-0.07193365339999989</v>
      </c>
      <c r="G3054" t="n">
        <v>0.06484834202955531</v>
      </c>
      <c r="H3054" t="n">
        <v>0.0146864588322389</v>
      </c>
      <c r="I3054" t="n">
        <v>0.24370377298655</v>
      </c>
      <c r="J3054" t="n">
        <v>0.0160698205273187</v>
      </c>
      <c r="K3054" t="n">
        <v>0.6854780494326539</v>
      </c>
      <c r="L3054" t="b">
        <v>0</v>
      </c>
      <c r="M3054" t="b">
        <v>0</v>
      </c>
      <c r="N3054" t="inlineStr">
        <is>
          <t>ref</t>
        </is>
      </c>
      <c r="O3054" t="n">
        <v>40</v>
      </c>
      <c r="P3054" t="n">
        <v>0.01398</v>
      </c>
      <c r="Q3054" t="n">
        <v>-80</v>
      </c>
      <c r="R3054" t="n">
        <v>0.05008</v>
      </c>
      <c r="S3054">
        <f>IMAGE("https://mitra.stanford.edu/kundaje/oak/projects/neuro-variants/variant_position/credible/roussos_2024/variant_figures/roussos_2024.childhood.GABA/rs223473_count_position.png",4,220,900)</f>
        <v/>
      </c>
      <c r="T3054">
        <f>IMAGE("https://mitra.stanford.edu/kundaje/oak/projects/neuro-variants/variant_position/credible/roussos_2024/variant_figures/roussos_2024.childhood.GABA/rs223473_profile_position.png",4,220,900)</f>
        <v/>
      </c>
    </row>
    <row r="3055">
      <c r="A3055" t="inlineStr">
        <is>
          <t>chr4</t>
        </is>
      </c>
      <c r="B3055" t="n">
        <v>102777629</v>
      </c>
      <c r="C3055" t="inlineStr">
        <is>
          <t>G</t>
        </is>
      </c>
      <c r="D3055" t="inlineStr">
        <is>
          <t>C</t>
        </is>
      </c>
      <c r="E3055" t="inlineStr">
        <is>
          <t>rs223471</t>
        </is>
      </c>
      <c r="F3055" t="n">
        <v>0.0172604378</v>
      </c>
      <c r="G3055" t="n">
        <v>0.4655548584347754</v>
      </c>
      <c r="H3055" t="n">
        <v>0.011270802973893</v>
      </c>
      <c r="I3055" t="n">
        <v>0.5050306209605009</v>
      </c>
      <c r="J3055" t="n">
        <v>0.0012177755439676</v>
      </c>
      <c r="K3055" t="n">
        <v>0.9042486627812863</v>
      </c>
      <c r="L3055" t="b">
        <v>0</v>
      </c>
      <c r="M3055" t="b">
        <v>0</v>
      </c>
      <c r="N3055" t="inlineStr">
        <is>
          <t>alt</t>
        </is>
      </c>
      <c r="O3055" t="n">
        <v>100</v>
      </c>
      <c r="P3055" t="n">
        <v>0.003433</v>
      </c>
      <c r="Q3055" t="n">
        <v>-100</v>
      </c>
      <c r="R3055" t="n">
        <v>0.04022</v>
      </c>
      <c r="S3055">
        <f>IMAGE("https://mitra.stanford.edu/kundaje/oak/projects/neuro-variants/variant_position/credible/roussos_2024/variant_figures/roussos_2024.childhood.GABA/rs223471_count_position.png",4,220,900)</f>
        <v/>
      </c>
      <c r="T3055">
        <f>IMAGE("https://mitra.stanford.edu/kundaje/oak/projects/neuro-variants/variant_position/credible/roussos_2024/variant_figures/roussos_2024.childhood.GABA/rs223471_profile_position.png",4,220,900)</f>
        <v/>
      </c>
    </row>
    <row r="3056">
      <c r="A3056" t="inlineStr">
        <is>
          <t>chr4</t>
        </is>
      </c>
      <c r="B3056" t="n">
        <v>102780174</v>
      </c>
      <c r="C3056" t="inlineStr">
        <is>
          <t>A</t>
        </is>
      </c>
      <c r="D3056" t="inlineStr">
        <is>
          <t>C</t>
        </is>
      </c>
      <c r="E3056" t="inlineStr">
        <is>
          <t>rs223465</t>
        </is>
      </c>
      <c r="F3056" t="n">
        <v>0.00314306472</v>
      </c>
      <c r="G3056" t="n">
        <v>0.7115450000487759</v>
      </c>
      <c r="H3056" t="n">
        <v>0.0439362235703678</v>
      </c>
      <c r="I3056" t="n">
        <v>0.0026804400636789</v>
      </c>
      <c r="J3056" t="n">
        <v>0.0249753931854829</v>
      </c>
      <c r="K3056" t="n">
        <v>0.659856666673788</v>
      </c>
      <c r="L3056" t="b">
        <v>1</v>
      </c>
      <c r="M3056" t="b">
        <v>0</v>
      </c>
      <c r="N3056" t="inlineStr">
        <is>
          <t>alt</t>
        </is>
      </c>
      <c r="O3056" t="n">
        <v>80</v>
      </c>
      <c r="P3056" t="n">
        <v>0.0184</v>
      </c>
      <c r="Q3056" t="n">
        <v>80</v>
      </c>
      <c r="R3056" t="n">
        <v>0.05783</v>
      </c>
      <c r="S3056">
        <f>IMAGE("https://mitra.stanford.edu/kundaje/oak/projects/neuro-variants/variant_position/credible/roussos_2024/variant_figures/roussos_2024.childhood.GABA/rs223465_count_position.png",4,220,900)</f>
        <v/>
      </c>
      <c r="T3056">
        <f>IMAGE("https://mitra.stanford.edu/kundaje/oak/projects/neuro-variants/variant_position/credible/roussos_2024/variant_figures/roussos_2024.childhood.GABA/rs223465_profile_position.png",4,220,900)</f>
        <v/>
      </c>
    </row>
    <row r="3057">
      <c r="A3057" t="inlineStr">
        <is>
          <t>chr4</t>
        </is>
      </c>
      <c r="B3057" t="n">
        <v>102782903</v>
      </c>
      <c r="C3057" t="inlineStr">
        <is>
          <t>T</t>
        </is>
      </c>
      <c r="D3057" t="inlineStr">
        <is>
          <t>C</t>
        </is>
      </c>
      <c r="E3057" t="inlineStr">
        <is>
          <t>rs223460</t>
        </is>
      </c>
      <c r="F3057" t="n">
        <v>0.13419733</v>
      </c>
      <c r="G3057" t="n">
        <v>0.0157627955629088</v>
      </c>
      <c r="H3057" t="n">
        <v>0.0189764447217699</v>
      </c>
      <c r="I3057" t="n">
        <v>0.0938325530262009</v>
      </c>
      <c r="J3057" t="n">
        <v>0.0522962869887541</v>
      </c>
      <c r="K3057" t="n">
        <v>0.4851725172095698</v>
      </c>
      <c r="L3057" t="b">
        <v>1</v>
      </c>
      <c r="M3057" t="b">
        <v>0</v>
      </c>
      <c r="N3057" t="inlineStr">
        <is>
          <t>alt</t>
        </is>
      </c>
      <c r="O3057" t="n">
        <v>95</v>
      </c>
      <c r="P3057" t="n">
        <v>0.012</v>
      </c>
      <c r="Q3057" t="n">
        <v>100</v>
      </c>
      <c r="R3057" t="n">
        <v>0.3784</v>
      </c>
      <c r="S3057">
        <f>IMAGE("https://mitra.stanford.edu/kundaje/oak/projects/neuro-variants/variant_position/credible/roussos_2024/variant_figures/roussos_2024.childhood.GABA/rs223460_count_position.png",4,220,900)</f>
        <v/>
      </c>
      <c r="T3057">
        <f>IMAGE("https://mitra.stanford.edu/kundaje/oak/projects/neuro-variants/variant_position/credible/roussos_2024/variant_figures/roussos_2024.childhood.GABA/rs223460_profile_position.png",4,220,900)</f>
        <v/>
      </c>
    </row>
    <row r="3058">
      <c r="A3058" t="inlineStr">
        <is>
          <t>chr4</t>
        </is>
      </c>
      <c r="B3058" t="n">
        <v>102788948</v>
      </c>
      <c r="C3058" t="inlineStr">
        <is>
          <t>A</t>
        </is>
      </c>
      <c r="D3058" t="inlineStr">
        <is>
          <t>G</t>
        </is>
      </c>
      <c r="E3058" t="inlineStr">
        <is>
          <t>rs223456</t>
        </is>
      </c>
      <c r="F3058" t="n">
        <v>0.08882481099999991</v>
      </c>
      <c r="G3058" t="n">
        <v>0.0399276310456515</v>
      </c>
      <c r="H3058" t="n">
        <v>0.0120419260040749</v>
      </c>
      <c r="I3058" t="n">
        <v>0.4341410669886327</v>
      </c>
      <c r="J3058" t="n">
        <v>0.0524533517622667</v>
      </c>
      <c r="K3058" t="n">
        <v>0.4951416221579996</v>
      </c>
      <c r="L3058" t="b">
        <v>0</v>
      </c>
      <c r="M3058" t="b">
        <v>0</v>
      </c>
      <c r="N3058" t="inlineStr">
        <is>
          <t>alt</t>
        </is>
      </c>
      <c r="O3058" t="n">
        <v>-100</v>
      </c>
      <c r="P3058" t="n">
        <v>0.01271</v>
      </c>
      <c r="Q3058" t="n">
        <v>0</v>
      </c>
      <c r="R3058" t="n">
        <v>0</v>
      </c>
      <c r="S3058">
        <f>IMAGE("https://mitra.stanford.edu/kundaje/oak/projects/neuro-variants/variant_position/credible/roussos_2024/variant_figures/roussos_2024.childhood.GABA/rs223456_count_position.png",4,220,900)</f>
        <v/>
      </c>
      <c r="T3058">
        <f>IMAGE("https://mitra.stanford.edu/kundaje/oak/projects/neuro-variants/variant_position/credible/roussos_2024/variant_figures/roussos_2024.childhood.GABA/rs223456_profile_position.png",4,220,900)</f>
        <v/>
      </c>
    </row>
    <row r="3059">
      <c r="A3059" t="inlineStr">
        <is>
          <t>chr4</t>
        </is>
      </c>
      <c r="B3059" t="n">
        <v>102799902</v>
      </c>
      <c r="C3059" t="inlineStr">
        <is>
          <t>T</t>
        </is>
      </c>
      <c r="D3059" t="inlineStr">
        <is>
          <t>C</t>
        </is>
      </c>
      <c r="E3059" t="inlineStr">
        <is>
          <t>rs223434</t>
        </is>
      </c>
      <c r="F3059" t="n">
        <v>0.0473166552</v>
      </c>
      <c r="G3059" t="n">
        <v>0.161012574143843</v>
      </c>
      <c r="H3059" t="n">
        <v>0.0108212236487666</v>
      </c>
      <c r="I3059" t="n">
        <v>0.5461348224215846</v>
      </c>
      <c r="J3059" t="n">
        <v>0.0717325291616928</v>
      </c>
      <c r="K3059" t="n">
        <v>0.4199141977918679</v>
      </c>
      <c r="L3059" t="b">
        <v>0</v>
      </c>
      <c r="M3059" t="b">
        <v>0</v>
      </c>
      <c r="N3059" t="inlineStr">
        <is>
          <t>alt</t>
        </is>
      </c>
      <c r="O3059" t="n">
        <v>-85</v>
      </c>
      <c r="P3059" t="n">
        <v>0.01259</v>
      </c>
      <c r="Q3059" t="n">
        <v>-85</v>
      </c>
      <c r="R3059" t="n">
        <v>0.2622</v>
      </c>
      <c r="S3059">
        <f>IMAGE("https://mitra.stanford.edu/kundaje/oak/projects/neuro-variants/variant_position/credible/roussos_2024/variant_figures/roussos_2024.childhood.GABA/rs223434_count_position.png",4,220,900)</f>
        <v/>
      </c>
      <c r="T3059">
        <f>IMAGE("https://mitra.stanford.edu/kundaje/oak/projects/neuro-variants/variant_position/credible/roussos_2024/variant_figures/roussos_2024.childhood.GABA/rs223434_profile_position.png",4,220,900)</f>
        <v/>
      </c>
    </row>
    <row r="3060">
      <c r="A3060" t="inlineStr">
        <is>
          <t>chr4</t>
        </is>
      </c>
      <c r="B3060" t="n">
        <v>102801330</v>
      </c>
      <c r="C3060" t="inlineStr">
        <is>
          <t>G</t>
        </is>
      </c>
      <c r="D3060" t="inlineStr">
        <is>
          <t>A</t>
        </is>
      </c>
      <c r="E3060" t="inlineStr">
        <is>
          <t>rs223426</t>
        </is>
      </c>
      <c r="F3060" t="n">
        <v>0.05291061204</v>
      </c>
      <c r="G3060" t="n">
        <v>0.1363886445990266</v>
      </c>
      <c r="H3060" t="n">
        <v>0.0273835732776355</v>
      </c>
      <c r="I3060" t="n">
        <v>0.0194699004821257</v>
      </c>
      <c r="J3060" t="n">
        <v>0.00124814140018</v>
      </c>
      <c r="K3060" t="n">
        <v>0.9154434546044919</v>
      </c>
      <c r="L3060" t="b">
        <v>0</v>
      </c>
      <c r="M3060" t="b">
        <v>0</v>
      </c>
      <c r="N3060" t="inlineStr">
        <is>
          <t>alt</t>
        </is>
      </c>
      <c r="O3060" t="n">
        <v>90</v>
      </c>
      <c r="P3060" t="n">
        <v>0.002092</v>
      </c>
      <c r="Q3060" t="n">
        <v>50</v>
      </c>
      <c r="R3060" t="n">
        <v>0.0814</v>
      </c>
      <c r="S3060">
        <f>IMAGE("https://mitra.stanford.edu/kundaje/oak/projects/neuro-variants/variant_position/credible/roussos_2024/variant_figures/roussos_2024.childhood.GABA/rs223426_count_position.png",4,220,900)</f>
        <v/>
      </c>
      <c r="T3060">
        <f>IMAGE("https://mitra.stanford.edu/kundaje/oak/projects/neuro-variants/variant_position/credible/roussos_2024/variant_figures/roussos_2024.childhood.GABA/rs223426_profile_position.png",4,220,900)</f>
        <v/>
      </c>
    </row>
    <row r="3061">
      <c r="A3061" t="inlineStr">
        <is>
          <t>chr4</t>
        </is>
      </c>
      <c r="B3061" t="n">
        <v>102811016</v>
      </c>
      <c r="C3061" t="inlineStr">
        <is>
          <t>C</t>
        </is>
      </c>
      <c r="D3061" t="inlineStr">
        <is>
          <t>T</t>
        </is>
      </c>
      <c r="E3061" t="inlineStr">
        <is>
          <t>rs223415</t>
        </is>
      </c>
      <c r="F3061" t="n">
        <v>-0.0470298994</v>
      </c>
      <c r="G3061" t="n">
        <v>0.1590516363719215</v>
      </c>
      <c r="H3061" t="n">
        <v>0.0121294649286541</v>
      </c>
      <c r="I3061" t="n">
        <v>0.4231894701278649</v>
      </c>
      <c r="J3061" t="n">
        <v>0.0166949383258989</v>
      </c>
      <c r="K3061" t="n">
        <v>0.6832908027483511</v>
      </c>
      <c r="L3061" t="b">
        <v>0</v>
      </c>
      <c r="M3061" t="b">
        <v>0</v>
      </c>
      <c r="N3061" t="inlineStr">
        <is>
          <t>ref</t>
        </is>
      </c>
      <c r="O3061" t="n">
        <v>-100</v>
      </c>
      <c r="P3061" t="n">
        <v>0.00583</v>
      </c>
      <c r="Q3061" t="n">
        <v>95</v>
      </c>
      <c r="R3061" t="n">
        <v>0.08939999999999999</v>
      </c>
      <c r="S3061">
        <f>IMAGE("https://mitra.stanford.edu/kundaje/oak/projects/neuro-variants/variant_position/credible/roussos_2024/variant_figures/roussos_2024.childhood.GABA/rs223415_count_position.png",4,220,900)</f>
        <v/>
      </c>
      <c r="T3061">
        <f>IMAGE("https://mitra.stanford.edu/kundaje/oak/projects/neuro-variants/variant_position/credible/roussos_2024/variant_figures/roussos_2024.childhood.GABA/rs223415_profile_position.png",4,220,900)</f>
        <v/>
      </c>
    </row>
    <row r="3062">
      <c r="A3062" t="inlineStr">
        <is>
          <t>chr4</t>
        </is>
      </c>
      <c r="B3062" t="n">
        <v>102812443</v>
      </c>
      <c r="C3062" t="inlineStr">
        <is>
          <t>T</t>
        </is>
      </c>
      <c r="D3062" t="inlineStr">
        <is>
          <t>C</t>
        </is>
      </c>
      <c r="E3062" t="inlineStr">
        <is>
          <t>rs223412</t>
        </is>
      </c>
      <c r="F3062" t="n">
        <v>0.0651776376</v>
      </c>
      <c r="G3062" t="n">
        <v>0.0786768222440422</v>
      </c>
      <c r="H3062" t="n">
        <v>0.0199764359877262</v>
      </c>
      <c r="I3062" t="n">
        <v>0.0749140199953264</v>
      </c>
      <c r="J3062" t="n">
        <v>0.0736330129211953</v>
      </c>
      <c r="K3062" t="n">
        <v>0.4164160971579602</v>
      </c>
      <c r="L3062" t="b">
        <v>0</v>
      </c>
      <c r="M3062" t="b">
        <v>0</v>
      </c>
      <c r="N3062" t="inlineStr">
        <is>
          <t>alt</t>
        </is>
      </c>
      <c r="O3062" t="n">
        <v>100</v>
      </c>
      <c r="P3062" t="n">
        <v>0.01235</v>
      </c>
      <c r="Q3062" t="n">
        <v>100</v>
      </c>
      <c r="R3062" t="n">
        <v>0.0851</v>
      </c>
      <c r="S3062">
        <f>IMAGE("https://mitra.stanford.edu/kundaje/oak/projects/neuro-variants/variant_position/credible/roussos_2024/variant_figures/roussos_2024.childhood.GABA/rs223412_count_position.png",4,220,900)</f>
        <v/>
      </c>
      <c r="T3062">
        <f>IMAGE("https://mitra.stanford.edu/kundaje/oak/projects/neuro-variants/variant_position/credible/roussos_2024/variant_figures/roussos_2024.childhood.GABA/rs223412_profile_position.png",4,220,900)</f>
        <v/>
      </c>
    </row>
    <row r="3063">
      <c r="A3063" t="inlineStr">
        <is>
          <t>chr4</t>
        </is>
      </c>
      <c r="B3063" t="n">
        <v>102815871</v>
      </c>
      <c r="C3063" t="inlineStr">
        <is>
          <t>A</t>
        </is>
      </c>
      <c r="D3063" t="inlineStr">
        <is>
          <t>C</t>
        </is>
      </c>
      <c r="E3063" t="inlineStr">
        <is>
          <t>rs223406</t>
        </is>
      </c>
      <c r="F3063" t="n">
        <v>-0.00328946051</v>
      </c>
      <c r="G3063" t="n">
        <v>0.8478218573645587</v>
      </c>
      <c r="H3063" t="n">
        <v>0.0303769435396509</v>
      </c>
      <c r="I3063" t="n">
        <v>0.012151613984422</v>
      </c>
      <c r="J3063" t="n">
        <v>0.0009706603003077</v>
      </c>
      <c r="K3063" t="n">
        <v>0.9180521661448344</v>
      </c>
      <c r="L3063" t="b">
        <v>0</v>
      </c>
      <c r="M3063" t="b">
        <v>0</v>
      </c>
      <c r="N3063" t="inlineStr">
        <is>
          <t>ref</t>
        </is>
      </c>
      <c r="O3063" t="n">
        <v>65</v>
      </c>
      <c r="P3063" t="n">
        <v>0.004658</v>
      </c>
      <c r="Q3063" t="n">
        <v>100</v>
      </c>
      <c r="R3063" t="n">
        <v>0.1382</v>
      </c>
      <c r="S3063">
        <f>IMAGE("https://mitra.stanford.edu/kundaje/oak/projects/neuro-variants/variant_position/credible/roussos_2024/variant_figures/roussos_2024.childhood.GABA/rs223406_count_position.png",4,220,900)</f>
        <v/>
      </c>
      <c r="T3063">
        <f>IMAGE("https://mitra.stanford.edu/kundaje/oak/projects/neuro-variants/variant_position/credible/roussos_2024/variant_figures/roussos_2024.childhood.GABA/rs223406_profile_position.png",4,220,900)</f>
        <v/>
      </c>
    </row>
    <row r="3064">
      <c r="A3064" t="inlineStr">
        <is>
          <t>chr4</t>
        </is>
      </c>
      <c r="B3064" t="n">
        <v>102823801</v>
      </c>
      <c r="C3064" t="inlineStr">
        <is>
          <t>A</t>
        </is>
      </c>
      <c r="D3064" t="inlineStr">
        <is>
          <t>C</t>
        </is>
      </c>
      <c r="E3064" t="inlineStr">
        <is>
          <t>rs223395</t>
        </is>
      </c>
      <c r="F3064" t="n">
        <v>0.00209487836</v>
      </c>
      <c r="G3064" t="n">
        <v>0.7905683229289249</v>
      </c>
      <c r="H3064" t="n">
        <v>0.0224956852711692</v>
      </c>
      <c r="I3064" t="n">
        <v>0.0462848289805427</v>
      </c>
      <c r="J3064" t="n">
        <v>0.0143431551171702</v>
      </c>
      <c r="K3064" t="n">
        <v>0.7002582333625715</v>
      </c>
      <c r="L3064" t="b">
        <v>0</v>
      </c>
      <c r="M3064" t="b">
        <v>0</v>
      </c>
      <c r="N3064" t="inlineStr">
        <is>
          <t>alt</t>
        </is>
      </c>
      <c r="O3064" t="n">
        <v>100</v>
      </c>
      <c r="P3064" t="n">
        <v>0.00287</v>
      </c>
      <c r="Q3064" t="n">
        <v>100</v>
      </c>
      <c r="R3064" t="n">
        <v>0.08989999999999999</v>
      </c>
      <c r="S3064">
        <f>IMAGE("https://mitra.stanford.edu/kundaje/oak/projects/neuro-variants/variant_position/credible/roussos_2024/variant_figures/roussos_2024.childhood.GABA/rs223395_count_position.png",4,220,900)</f>
        <v/>
      </c>
      <c r="T3064">
        <f>IMAGE("https://mitra.stanford.edu/kundaje/oak/projects/neuro-variants/variant_position/credible/roussos_2024/variant_figures/roussos_2024.childhood.GABA/rs223395_profile_position.png",4,220,900)</f>
        <v/>
      </c>
    </row>
    <row r="3065">
      <c r="A3065" t="inlineStr">
        <is>
          <t>chr4</t>
        </is>
      </c>
      <c r="B3065" t="n">
        <v>102833343</v>
      </c>
      <c r="C3065" t="inlineStr">
        <is>
          <t>G</t>
        </is>
      </c>
      <c r="D3065" t="inlineStr">
        <is>
          <t>A</t>
        </is>
      </c>
      <c r="E3065" t="inlineStr">
        <is>
          <t>rs223380</t>
        </is>
      </c>
      <c r="F3065" t="n">
        <v>0.00880271946</v>
      </c>
      <c r="G3065" t="n">
        <v>0.6460903308769712</v>
      </c>
      <c r="H3065" t="n">
        <v>0.0072777142157558</v>
      </c>
      <c r="I3065" t="n">
        <v>0.9114911653440086</v>
      </c>
      <c r="J3065" t="n">
        <v>0.0028104123473853</v>
      </c>
      <c r="K3065" t="n">
        <v>0.8691068871011082</v>
      </c>
      <c r="L3065" t="b">
        <v>0</v>
      </c>
      <c r="M3065" t="b">
        <v>0</v>
      </c>
      <c r="N3065" t="inlineStr">
        <is>
          <t>alt</t>
        </is>
      </c>
      <c r="O3065" t="n">
        <v>-95</v>
      </c>
      <c r="P3065" t="n">
        <v>0.02763</v>
      </c>
      <c r="Q3065" t="n">
        <v>-90</v>
      </c>
      <c r="R3065" t="n">
        <v>0.05414</v>
      </c>
      <c r="S3065">
        <f>IMAGE("https://mitra.stanford.edu/kundaje/oak/projects/neuro-variants/variant_position/credible/roussos_2024/variant_figures/roussos_2024.childhood.GABA/rs223380_count_position.png",4,220,900)</f>
        <v/>
      </c>
      <c r="T3065">
        <f>IMAGE("https://mitra.stanford.edu/kundaje/oak/projects/neuro-variants/variant_position/credible/roussos_2024/variant_figures/roussos_2024.childhood.GABA/rs223380_profile_position.png",4,220,900)</f>
        <v/>
      </c>
    </row>
    <row r="3066">
      <c r="A3066" t="inlineStr">
        <is>
          <t>chr4</t>
        </is>
      </c>
      <c r="B3066" t="n">
        <v>102849422</v>
      </c>
      <c r="C3066" t="inlineStr">
        <is>
          <t>C</t>
        </is>
      </c>
      <c r="D3066" t="inlineStr">
        <is>
          <t>T</t>
        </is>
      </c>
      <c r="E3066" t="inlineStr">
        <is>
          <t>rs223359</t>
        </is>
      </c>
      <c r="F3066" t="n">
        <v>-0.0023974118119999</v>
      </c>
      <c r="G3066" t="n">
        <v>0.8867854758313573</v>
      </c>
      <c r="H3066" t="n">
        <v>0.0242488672591581</v>
      </c>
      <c r="I3066" t="n">
        <v>0.0335644626502042</v>
      </c>
      <c r="J3066" t="n">
        <v>0.0011591380285229</v>
      </c>
      <c r="K3066" t="n">
        <v>0.9035616969307768</v>
      </c>
      <c r="L3066" t="b">
        <v>0</v>
      </c>
      <c r="M3066" t="b">
        <v>0</v>
      </c>
      <c r="N3066" t="inlineStr">
        <is>
          <t>ref</t>
        </is>
      </c>
      <c r="O3066" t="n">
        <v>-100</v>
      </c>
      <c r="P3066" t="n">
        <v>0.01111</v>
      </c>
      <c r="Q3066" t="n">
        <v>-100</v>
      </c>
      <c r="R3066" t="n">
        <v>0.09470000000000001</v>
      </c>
      <c r="S3066">
        <f>IMAGE("https://mitra.stanford.edu/kundaje/oak/projects/neuro-variants/variant_position/credible/roussos_2024/variant_figures/roussos_2024.childhood.GABA/rs223359_count_position.png",4,220,900)</f>
        <v/>
      </c>
      <c r="T3066">
        <f>IMAGE("https://mitra.stanford.edu/kundaje/oak/projects/neuro-variants/variant_position/credible/roussos_2024/variant_figures/roussos_2024.childhood.GABA/rs223359_profile_position.png",4,220,900)</f>
        <v/>
      </c>
    </row>
    <row r="3067">
      <c r="A3067" t="inlineStr">
        <is>
          <t>chr4</t>
        </is>
      </c>
      <c r="B3067" t="n">
        <v>102851095</v>
      </c>
      <c r="C3067" t="inlineStr">
        <is>
          <t>A</t>
        </is>
      </c>
      <c r="D3067" t="inlineStr">
        <is>
          <t>G</t>
        </is>
      </c>
      <c r="E3067" t="inlineStr">
        <is>
          <t>rs223357</t>
        </is>
      </c>
      <c r="F3067" t="n">
        <v>-0.0104625063999999</v>
      </c>
      <c r="G3067" t="n">
        <v>0.6375214723196092</v>
      </c>
      <c r="H3067" t="n">
        <v>0.031924351268528</v>
      </c>
      <c r="I3067" t="n">
        <v>0.0100116085467715</v>
      </c>
      <c r="J3067" t="n">
        <v>0.0033339615924273</v>
      </c>
      <c r="K3067" t="n">
        <v>0.8414506006191285</v>
      </c>
      <c r="L3067" t="b">
        <v>0</v>
      </c>
      <c r="M3067" t="b">
        <v>0</v>
      </c>
      <c r="N3067" t="inlineStr">
        <is>
          <t>ref</t>
        </is>
      </c>
      <c r="O3067" t="n">
        <v>-25</v>
      </c>
      <c r="P3067" t="n">
        <v>0.001465</v>
      </c>
      <c r="Q3067" t="n">
        <v>-90</v>
      </c>
      <c r="R3067" t="n">
        <v>0.09357</v>
      </c>
      <c r="S3067">
        <f>IMAGE("https://mitra.stanford.edu/kundaje/oak/projects/neuro-variants/variant_position/credible/roussos_2024/variant_figures/roussos_2024.childhood.GABA/rs223357_count_position.png",4,220,900)</f>
        <v/>
      </c>
      <c r="T3067">
        <f>IMAGE("https://mitra.stanford.edu/kundaje/oak/projects/neuro-variants/variant_position/credible/roussos_2024/variant_figures/roussos_2024.childhood.GABA/rs223357_profile_position.png",4,220,900)</f>
        <v/>
      </c>
    </row>
    <row r="3068">
      <c r="A3068" t="inlineStr">
        <is>
          <t>chr4</t>
        </is>
      </c>
      <c r="B3068" t="n">
        <v>102854547</v>
      </c>
      <c r="C3068" t="inlineStr">
        <is>
          <t>C</t>
        </is>
      </c>
      <c r="D3068" t="inlineStr">
        <is>
          <t>T</t>
        </is>
      </c>
      <c r="E3068" t="inlineStr">
        <is>
          <t>rs223353</t>
        </is>
      </c>
      <c r="F3068" t="n">
        <v>-0.0543076806</v>
      </c>
      <c r="G3068" t="n">
        <v>0.0521922048486674</v>
      </c>
      <c r="H3068" t="n">
        <v>0.0154107185147665</v>
      </c>
      <c r="I3068" t="n">
        <v>0.205439055728033</v>
      </c>
      <c r="J3068" t="n">
        <v>0.034440116437352</v>
      </c>
      <c r="K3068" t="n">
        <v>0.5562194869014803</v>
      </c>
      <c r="L3068" t="b">
        <v>0</v>
      </c>
      <c r="M3068" t="b">
        <v>0</v>
      </c>
      <c r="N3068" t="inlineStr">
        <is>
          <t>ref</t>
        </is>
      </c>
      <c r="O3068" t="n">
        <v>70</v>
      </c>
      <c r="P3068" t="n">
        <v>0.00388</v>
      </c>
      <c r="Q3068" t="n">
        <v>-50</v>
      </c>
      <c r="R3068" t="n">
        <v>0.09125</v>
      </c>
      <c r="S3068">
        <f>IMAGE("https://mitra.stanford.edu/kundaje/oak/projects/neuro-variants/variant_position/credible/roussos_2024/variant_figures/roussos_2024.childhood.GABA/rs223353_count_position.png",4,220,900)</f>
        <v/>
      </c>
      <c r="T3068">
        <f>IMAGE("https://mitra.stanford.edu/kundaje/oak/projects/neuro-variants/variant_position/credible/roussos_2024/variant_figures/roussos_2024.childhood.GABA/rs223353_profile_position.png",4,220,900)</f>
        <v/>
      </c>
    </row>
    <row r="3069">
      <c r="A3069" t="inlineStr">
        <is>
          <t>chr4</t>
        </is>
      </c>
      <c r="B3069" t="n">
        <v>102856235</v>
      </c>
      <c r="C3069" t="inlineStr">
        <is>
          <t>G</t>
        </is>
      </c>
      <c r="D3069" t="inlineStr">
        <is>
          <t>A</t>
        </is>
      </c>
      <c r="E3069" t="inlineStr">
        <is>
          <t>rs223351</t>
        </is>
      </c>
      <c r="F3069" t="n">
        <v>-0.079375021</v>
      </c>
      <c r="G3069" t="n">
        <v>0.0556432693515203</v>
      </c>
      <c r="H3069" t="n">
        <v>0.0151360814441192</v>
      </c>
      <c r="I3069" t="n">
        <v>0.2194958063761332</v>
      </c>
      <c r="J3069" t="n">
        <v>0.0318024753408305</v>
      </c>
      <c r="K3069" t="n">
        <v>0.5658957757840507</v>
      </c>
      <c r="L3069" t="b">
        <v>0</v>
      </c>
      <c r="M3069" t="b">
        <v>0</v>
      </c>
      <c r="N3069" t="inlineStr">
        <is>
          <t>ref</t>
        </is>
      </c>
      <c r="O3069" t="n">
        <v>100</v>
      </c>
      <c r="P3069" t="n">
        <v>0.0171</v>
      </c>
      <c r="Q3069" t="n">
        <v>5</v>
      </c>
      <c r="R3069" t="n">
        <v>0.000977</v>
      </c>
      <c r="S3069">
        <f>IMAGE("https://mitra.stanford.edu/kundaje/oak/projects/neuro-variants/variant_position/credible/roussos_2024/variant_figures/roussos_2024.childhood.GABA/rs223351_count_position.png",4,220,900)</f>
        <v/>
      </c>
      <c r="T3069">
        <f>IMAGE("https://mitra.stanford.edu/kundaje/oak/projects/neuro-variants/variant_position/credible/roussos_2024/variant_figures/roussos_2024.childhood.GABA/rs223351_profile_position.png",4,220,900)</f>
        <v/>
      </c>
    </row>
    <row r="3070">
      <c r="A3070" t="inlineStr">
        <is>
          <t>chr4</t>
        </is>
      </c>
      <c r="B3070" t="n">
        <v>102862343</v>
      </c>
      <c r="C3070" t="inlineStr">
        <is>
          <t>T</t>
        </is>
      </c>
      <c r="D3070" t="inlineStr">
        <is>
          <t>A</t>
        </is>
      </c>
      <c r="E3070" t="inlineStr">
        <is>
          <t>rs223341</t>
        </is>
      </c>
      <c r="F3070" t="n">
        <v>0.0008961353599999</v>
      </c>
      <c r="G3070" t="n">
        <v>0.892825703475621</v>
      </c>
      <c r="H3070" t="n">
        <v>0.0211296426507119</v>
      </c>
      <c r="I3070" t="n">
        <v>0.0619455391553651</v>
      </c>
      <c r="J3070" t="n">
        <v>9.109756863728728e-05</v>
      </c>
      <c r="K3070" t="n">
        <v>0.9778933391853136</v>
      </c>
      <c r="L3070" t="b">
        <v>0</v>
      </c>
      <c r="M3070" t="b">
        <v>0</v>
      </c>
      <c r="N3070" t="inlineStr">
        <is>
          <t>alt</t>
        </is>
      </c>
      <c r="O3070" t="n">
        <v>-100</v>
      </c>
      <c r="P3070" t="n">
        <v>0.006256</v>
      </c>
      <c r="Q3070" t="n">
        <v>-100</v>
      </c>
      <c r="R3070" t="n">
        <v>0.0481</v>
      </c>
      <c r="S3070">
        <f>IMAGE("https://mitra.stanford.edu/kundaje/oak/projects/neuro-variants/variant_position/credible/roussos_2024/variant_figures/roussos_2024.childhood.GABA/rs223341_count_position.png",4,220,900)</f>
        <v/>
      </c>
      <c r="T3070">
        <f>IMAGE("https://mitra.stanford.edu/kundaje/oak/projects/neuro-variants/variant_position/credible/roussos_2024/variant_figures/roussos_2024.childhood.GABA/rs223341_profile_position.png",4,220,900)</f>
        <v/>
      </c>
    </row>
    <row r="3071">
      <c r="A3071" t="inlineStr">
        <is>
          <t>chr4</t>
        </is>
      </c>
      <c r="B3071" t="n">
        <v>102869029</v>
      </c>
      <c r="C3071" t="inlineStr">
        <is>
          <t>G</t>
        </is>
      </c>
      <c r="D3071" t="inlineStr">
        <is>
          <t>T</t>
        </is>
      </c>
      <c r="E3071" t="inlineStr">
        <is>
          <t>rs223332</t>
        </is>
      </c>
      <c r="F3071" t="n">
        <v>-0.0594369437999999</v>
      </c>
      <c r="G3071" t="n">
        <v>0.1096623731614799</v>
      </c>
      <c r="H3071" t="n">
        <v>0.0308864402853267</v>
      </c>
      <c r="I3071" t="n">
        <v>0.0113081545138817</v>
      </c>
      <c r="J3071" t="n">
        <v>0.9644510062616488</v>
      </c>
      <c r="K3071" t="n">
        <v>0.000129672875656</v>
      </c>
      <c r="L3071" t="b">
        <v>1</v>
      </c>
      <c r="M3071" t="b">
        <v>0</v>
      </c>
      <c r="N3071" t="inlineStr">
        <is>
          <t>ref</t>
        </is>
      </c>
      <c r="O3071" t="n">
        <v>-55</v>
      </c>
      <c r="P3071" t="n">
        <v>0.02356</v>
      </c>
      <c r="Q3071" t="n">
        <v>-55</v>
      </c>
      <c r="R3071" t="n">
        <v>0.1079</v>
      </c>
      <c r="S3071">
        <f>IMAGE("https://mitra.stanford.edu/kundaje/oak/projects/neuro-variants/variant_position/credible/roussos_2024/variant_figures/roussos_2024.childhood.GABA/rs223332_count_position.png",4,220,900)</f>
        <v/>
      </c>
      <c r="T3071">
        <f>IMAGE("https://mitra.stanford.edu/kundaje/oak/projects/neuro-variants/variant_position/credible/roussos_2024/variant_figures/roussos_2024.childhood.GABA/rs223332_profile_position.png",4,220,900)</f>
        <v/>
      </c>
    </row>
    <row r="3072">
      <c r="A3072" t="inlineStr">
        <is>
          <t>chr4</t>
        </is>
      </c>
      <c r="B3072" t="n">
        <v>102873031</v>
      </c>
      <c r="C3072" t="inlineStr">
        <is>
          <t>T</t>
        </is>
      </c>
      <c r="D3072" t="inlineStr">
        <is>
          <t>A</t>
        </is>
      </c>
      <c r="E3072" t="inlineStr">
        <is>
          <t>rs223329</t>
        </is>
      </c>
      <c r="F3072" t="n">
        <v>-0.0571958969999999</v>
      </c>
      <c r="G3072" t="n">
        <v>0.124296588786973</v>
      </c>
      <c r="H3072" t="n">
        <v>0.0100149482123079</v>
      </c>
      <c r="I3072" t="n">
        <v>0.6293808220127536</v>
      </c>
      <c r="J3072" t="n">
        <v>0.0402012523297941</v>
      </c>
      <c r="K3072" t="n">
        <v>0.5466553590316438</v>
      </c>
      <c r="L3072" t="b">
        <v>0</v>
      </c>
      <c r="M3072" t="b">
        <v>0</v>
      </c>
      <c r="N3072" t="inlineStr">
        <is>
          <t>ref</t>
        </is>
      </c>
      <c r="O3072" t="n">
        <v>95</v>
      </c>
      <c r="P3072" t="n">
        <v>0.01076</v>
      </c>
      <c r="Q3072" t="n">
        <v>-60</v>
      </c>
      <c r="R3072" t="n">
        <v>0.1982</v>
      </c>
      <c r="S3072">
        <f>IMAGE("https://mitra.stanford.edu/kundaje/oak/projects/neuro-variants/variant_position/credible/roussos_2024/variant_figures/roussos_2024.childhood.GABA/rs223329_count_position.png",4,220,900)</f>
        <v/>
      </c>
      <c r="T3072">
        <f>IMAGE("https://mitra.stanford.edu/kundaje/oak/projects/neuro-variants/variant_position/credible/roussos_2024/variant_figures/roussos_2024.childhood.GABA/rs223329_profile_position.png",4,220,900)</f>
        <v/>
      </c>
    </row>
    <row r="3073">
      <c r="A3073" t="inlineStr">
        <is>
          <t>chr4</t>
        </is>
      </c>
      <c r="B3073" t="n">
        <v>102888757</v>
      </c>
      <c r="C3073" t="inlineStr">
        <is>
          <t>C</t>
        </is>
      </c>
      <c r="D3073" t="inlineStr">
        <is>
          <t>A</t>
        </is>
      </c>
      <c r="E3073" t="inlineStr">
        <is>
          <t>rs223311</t>
        </is>
      </c>
      <c r="F3073" t="n">
        <v>0.0048955030999999</v>
      </c>
      <c r="G3073" t="n">
        <v>0.7276411196651075</v>
      </c>
      <c r="H3073" t="n">
        <v>0.008993897762547399</v>
      </c>
      <c r="I3073" t="n">
        <v>0.7473577062447956</v>
      </c>
      <c r="J3073" t="n">
        <v>0.0395174970157692</v>
      </c>
      <c r="K3073" t="n">
        <v>0.5316440250474359</v>
      </c>
      <c r="L3073" t="b">
        <v>0</v>
      </c>
      <c r="M3073" t="b">
        <v>0</v>
      </c>
      <c r="N3073" t="inlineStr">
        <is>
          <t>alt</t>
        </is>
      </c>
      <c r="O3073" t="n">
        <v>-90</v>
      </c>
      <c r="P3073" t="n">
        <v>0.01162</v>
      </c>
      <c r="Q3073" t="n">
        <v>10</v>
      </c>
      <c r="R3073" t="n">
        <v>0.00928</v>
      </c>
      <c r="S3073">
        <f>IMAGE("https://mitra.stanford.edu/kundaje/oak/projects/neuro-variants/variant_position/credible/roussos_2024/variant_figures/roussos_2024.childhood.GABA/rs223311_count_position.png",4,220,900)</f>
        <v/>
      </c>
      <c r="T3073">
        <f>IMAGE("https://mitra.stanford.edu/kundaje/oak/projects/neuro-variants/variant_position/credible/roussos_2024/variant_figures/roussos_2024.childhood.GABA/rs223311_profile_position.png",4,220,900)</f>
        <v/>
      </c>
    </row>
    <row r="3074">
      <c r="A3074" t="inlineStr">
        <is>
          <t>chr4</t>
        </is>
      </c>
      <c r="B3074" t="n">
        <v>102890220</v>
      </c>
      <c r="C3074" t="inlineStr">
        <is>
          <t>A</t>
        </is>
      </c>
      <c r="D3074" t="inlineStr">
        <is>
          <t>C</t>
        </is>
      </c>
      <c r="E3074" t="inlineStr">
        <is>
          <t>rs223310</t>
        </is>
      </c>
      <c r="F3074" t="n">
        <v>0.06283338719999999</v>
      </c>
      <c r="G3074" t="n">
        <v>0.1021529728470565</v>
      </c>
      <c r="H3074" t="n">
        <v>0.0132404593635023</v>
      </c>
      <c r="I3074" t="n">
        <v>0.3341445861432562</v>
      </c>
      <c r="J3074" t="n">
        <v>0.1028910389311218</v>
      </c>
      <c r="K3074" t="n">
        <v>0.3770130307300025</v>
      </c>
      <c r="L3074" t="b">
        <v>0</v>
      </c>
      <c r="M3074" t="b">
        <v>0</v>
      </c>
      <c r="N3074" t="inlineStr">
        <is>
          <t>alt</t>
        </is>
      </c>
      <c r="O3074" t="n">
        <v>-100</v>
      </c>
      <c r="P3074" t="n">
        <v>0.01016</v>
      </c>
      <c r="Q3074" t="n">
        <v>-100</v>
      </c>
      <c r="R3074" t="n">
        <v>0.08935999999999999</v>
      </c>
      <c r="S3074">
        <f>IMAGE("https://mitra.stanford.edu/kundaje/oak/projects/neuro-variants/variant_position/credible/roussos_2024/variant_figures/roussos_2024.childhood.GABA/rs223310_count_position.png",4,220,900)</f>
        <v/>
      </c>
      <c r="T3074">
        <f>IMAGE("https://mitra.stanford.edu/kundaje/oak/projects/neuro-variants/variant_position/credible/roussos_2024/variant_figures/roussos_2024.childhood.GABA/rs223310_profile_position.png",4,220,900)</f>
        <v/>
      </c>
    </row>
    <row r="3075">
      <c r="A3075" t="inlineStr">
        <is>
          <t>chr4</t>
        </is>
      </c>
      <c r="B3075" t="n">
        <v>102895366</v>
      </c>
      <c r="C3075" t="inlineStr">
        <is>
          <t>A</t>
        </is>
      </c>
      <c r="D3075" t="inlineStr">
        <is>
          <t>G</t>
        </is>
      </c>
      <c r="E3075" t="inlineStr">
        <is>
          <t>rs6830407</t>
        </is>
      </c>
      <c r="F3075" t="n">
        <v>0.0814912126</v>
      </c>
      <c r="G3075" t="n">
        <v>0.0457197915737626</v>
      </c>
      <c r="H3075" t="n">
        <v>0.012680720616513</v>
      </c>
      <c r="I3075" t="n">
        <v>0.3738486667784473</v>
      </c>
      <c r="J3075" t="n">
        <v>0.000512031161651</v>
      </c>
      <c r="K3075" t="n">
        <v>0.9368952883776792</v>
      </c>
      <c r="L3075" t="b">
        <v>0</v>
      </c>
      <c r="M3075" t="b">
        <v>0</v>
      </c>
      <c r="N3075" t="inlineStr">
        <is>
          <t>alt</t>
        </is>
      </c>
      <c r="O3075" t="n">
        <v>95</v>
      </c>
      <c r="P3075" t="n">
        <v>0.0008316</v>
      </c>
      <c r="Q3075" t="n">
        <v>25</v>
      </c>
      <c r="R3075" t="n">
        <v>0.01526</v>
      </c>
      <c r="S3075">
        <f>IMAGE("https://mitra.stanford.edu/kundaje/oak/projects/neuro-variants/variant_position/credible/roussos_2024/variant_figures/roussos_2024.childhood.GABA/rs6830407_count_position.png",4,220,900)</f>
        <v/>
      </c>
      <c r="T3075">
        <f>IMAGE("https://mitra.stanford.edu/kundaje/oak/projects/neuro-variants/variant_position/credible/roussos_2024/variant_figures/roussos_2024.childhood.GABA/rs6830407_profile_position.png",4,220,900)</f>
        <v/>
      </c>
    </row>
    <row r="3076">
      <c r="A3076" t="inlineStr">
        <is>
          <t>chr4</t>
        </is>
      </c>
      <c r="B3076" t="n">
        <v>102896374</v>
      </c>
      <c r="C3076" t="inlineStr">
        <is>
          <t>C</t>
        </is>
      </c>
      <c r="D3076" t="inlineStr">
        <is>
          <t>T</t>
        </is>
      </c>
      <c r="E3076" t="inlineStr">
        <is>
          <t>rs10012413</t>
        </is>
      </c>
      <c r="F3076" t="n">
        <v>0.0016470383999999</v>
      </c>
      <c r="G3076" t="n">
        <v>0.8444948716097156</v>
      </c>
      <c r="H3076" t="n">
        <v>0.0305483166040657</v>
      </c>
      <c r="I3076" t="n">
        <v>0.0116254512795798</v>
      </c>
      <c r="J3076" t="n">
        <v>0.08138677724026711</v>
      </c>
      <c r="K3076" t="n">
        <v>0.3959807039591405</v>
      </c>
      <c r="L3076" t="b">
        <v>1</v>
      </c>
      <c r="M3076" t="b">
        <v>0</v>
      </c>
      <c r="N3076" t="inlineStr">
        <is>
          <t>alt</t>
        </is>
      </c>
      <c r="O3076" t="n">
        <v>80</v>
      </c>
      <c r="P3076" t="n">
        <v>0.01532</v>
      </c>
      <c r="Q3076" t="n">
        <v>80</v>
      </c>
      <c r="R3076" t="n">
        <v>0.09719999999999999</v>
      </c>
      <c r="S3076">
        <f>IMAGE("https://mitra.stanford.edu/kundaje/oak/projects/neuro-variants/variant_position/credible/roussos_2024/variant_figures/roussos_2024.childhood.GABA/rs10012413_count_position.png",4,220,900)</f>
        <v/>
      </c>
      <c r="T3076">
        <f>IMAGE("https://mitra.stanford.edu/kundaje/oak/projects/neuro-variants/variant_position/credible/roussos_2024/variant_figures/roussos_2024.childhood.GABA/rs10012413_profile_position.png",4,220,900)</f>
        <v/>
      </c>
    </row>
    <row r="3077">
      <c r="A3077" t="inlineStr">
        <is>
          <t>chr4</t>
        </is>
      </c>
      <c r="B3077" t="n">
        <v>102897577</v>
      </c>
      <c r="C3077" t="inlineStr">
        <is>
          <t>T</t>
        </is>
      </c>
      <c r="D3077" t="inlineStr">
        <is>
          <t>C</t>
        </is>
      </c>
      <c r="E3077" t="inlineStr">
        <is>
          <t>rs4699033</t>
        </is>
      </c>
      <c r="F3077" t="n">
        <v>0.068304299</v>
      </c>
      <c r="G3077" t="n">
        <v>0.0923937970044659</v>
      </c>
      <c r="H3077" t="n">
        <v>0.0208848977611449</v>
      </c>
      <c r="I3077" t="n">
        <v>0.068005144660545</v>
      </c>
      <c r="J3077" t="n">
        <v>0.07984858955833379</v>
      </c>
      <c r="K3077" t="n">
        <v>0.3968492685371081</v>
      </c>
      <c r="L3077" t="b">
        <v>0</v>
      </c>
      <c r="M3077" t="b">
        <v>0</v>
      </c>
      <c r="N3077" t="inlineStr">
        <is>
          <t>alt</t>
        </is>
      </c>
      <c r="O3077" t="n">
        <v>70</v>
      </c>
      <c r="P3077" t="n">
        <v>0.00355</v>
      </c>
      <c r="Q3077" t="n">
        <v>90</v>
      </c>
      <c r="R3077" t="n">
        <v>0.189</v>
      </c>
      <c r="S3077">
        <f>IMAGE("https://mitra.stanford.edu/kundaje/oak/projects/neuro-variants/variant_position/credible/roussos_2024/variant_figures/roussos_2024.childhood.GABA/rs4699033_count_position.png",4,220,900)</f>
        <v/>
      </c>
      <c r="T3077">
        <f>IMAGE("https://mitra.stanford.edu/kundaje/oak/projects/neuro-variants/variant_position/credible/roussos_2024/variant_figures/roussos_2024.childhood.GABA/rs4699033_profile_position.png",4,220,900)</f>
        <v/>
      </c>
    </row>
    <row r="3078">
      <c r="A3078" t="inlineStr">
        <is>
          <t>chr4</t>
        </is>
      </c>
      <c r="B3078" t="n">
        <v>102913483</v>
      </c>
      <c r="C3078" t="inlineStr">
        <is>
          <t>G</t>
        </is>
      </c>
      <c r="D3078" t="inlineStr">
        <is>
          <t>A</t>
        </is>
      </c>
      <c r="E3078" t="inlineStr">
        <is>
          <t>rs6821247</t>
        </is>
      </c>
      <c r="F3078" t="n">
        <v>-0.07136973739999999</v>
      </c>
      <c r="G3078" t="n">
        <v>0.07224463576550171</v>
      </c>
      <c r="H3078" t="n">
        <v>0.0118648716471537</v>
      </c>
      <c r="I3078" t="n">
        <v>0.4508030460478115</v>
      </c>
      <c r="J3078" t="n">
        <v>0.0241523737722769</v>
      </c>
      <c r="K3078" t="n">
        <v>0.620729557434737</v>
      </c>
      <c r="L3078" t="b">
        <v>0</v>
      </c>
      <c r="M3078" t="b">
        <v>0</v>
      </c>
      <c r="N3078" t="inlineStr">
        <is>
          <t>ref</t>
        </is>
      </c>
      <c r="O3078" t="n">
        <v>25</v>
      </c>
      <c r="P3078" t="n">
        <v>0.003815</v>
      </c>
      <c r="Q3078" t="n">
        <v>-95</v>
      </c>
      <c r="R3078" t="n">
        <v>0.0772</v>
      </c>
      <c r="S3078">
        <f>IMAGE("https://mitra.stanford.edu/kundaje/oak/projects/neuro-variants/variant_position/credible/roussos_2024/variant_figures/roussos_2024.childhood.GABA/rs6821247_count_position.png",4,220,900)</f>
        <v/>
      </c>
      <c r="T3078">
        <f>IMAGE("https://mitra.stanford.edu/kundaje/oak/projects/neuro-variants/variant_position/credible/roussos_2024/variant_figures/roussos_2024.childhood.GABA/rs6821247_profile_position.png",4,220,900)</f>
        <v/>
      </c>
    </row>
    <row r="3079">
      <c r="A3079" t="inlineStr">
        <is>
          <t>chr4</t>
        </is>
      </c>
      <c r="B3079" t="n">
        <v>102914239</v>
      </c>
      <c r="C3079" t="inlineStr">
        <is>
          <t>G</t>
        </is>
      </c>
      <c r="D3079" t="inlineStr">
        <is>
          <t>T</t>
        </is>
      </c>
      <c r="E3079" t="inlineStr">
        <is>
          <t>rs59550147</t>
        </is>
      </c>
      <c r="F3079" t="n">
        <v>0.134317316</v>
      </c>
      <c r="G3079" t="n">
        <v>0.016606434353544</v>
      </c>
      <c r="H3079" t="n">
        <v>0.0268697395761425</v>
      </c>
      <c r="I3079" t="n">
        <v>0.0221798281744438</v>
      </c>
      <c r="J3079" t="n">
        <v>0.106048040878725</v>
      </c>
      <c r="K3079" t="n">
        <v>0.3384509804427664</v>
      </c>
      <c r="L3079" t="b">
        <v>1</v>
      </c>
      <c r="M3079" t="b">
        <v>0</v>
      </c>
      <c r="N3079" t="inlineStr">
        <is>
          <t>alt</t>
        </is>
      </c>
      <c r="O3079" t="n">
        <v>-90</v>
      </c>
      <c r="P3079" t="n">
        <v>0.002846</v>
      </c>
      <c r="Q3079" t="n">
        <v>-100</v>
      </c>
      <c r="R3079" t="n">
        <v>0.05505</v>
      </c>
      <c r="S3079">
        <f>IMAGE("https://mitra.stanford.edu/kundaje/oak/projects/neuro-variants/variant_position/credible/roussos_2024/variant_figures/roussos_2024.childhood.GABA/rs59550147_count_position.png",4,220,900)</f>
        <v/>
      </c>
      <c r="T3079">
        <f>IMAGE("https://mitra.stanford.edu/kundaje/oak/projects/neuro-variants/variant_position/credible/roussos_2024/variant_figures/roussos_2024.childhood.GABA/rs59550147_profile_position.png",4,220,900)</f>
        <v/>
      </c>
    </row>
    <row r="3080">
      <c r="A3080" t="inlineStr">
        <is>
          <t>chr4</t>
        </is>
      </c>
      <c r="B3080" t="n">
        <v>102925242</v>
      </c>
      <c r="C3080" t="inlineStr">
        <is>
          <t>C</t>
        </is>
      </c>
      <c r="D3080" t="inlineStr">
        <is>
          <t>A</t>
        </is>
      </c>
      <c r="E3080" t="inlineStr">
        <is>
          <t>rs7437714</t>
        </is>
      </c>
      <c r="F3080" t="n">
        <v>-0.0222178567</v>
      </c>
      <c r="G3080" t="n">
        <v>0.353589828318686</v>
      </c>
      <c r="H3080" t="n">
        <v>0.0096434493753801</v>
      </c>
      <c r="I3080" t="n">
        <v>0.682914450342446</v>
      </c>
      <c r="J3080" t="n">
        <v>0.0059223890599149</v>
      </c>
      <c r="K3080" t="n">
        <v>0.8017204970492389</v>
      </c>
      <c r="L3080" t="b">
        <v>0</v>
      </c>
      <c r="M3080" t="b">
        <v>0</v>
      </c>
      <c r="N3080" t="inlineStr">
        <is>
          <t>ref</t>
        </is>
      </c>
      <c r="O3080" t="n">
        <v>55</v>
      </c>
      <c r="P3080" t="n">
        <v>0.001602</v>
      </c>
      <c r="Q3080" t="n">
        <v>-45</v>
      </c>
      <c r="R3080" t="n">
        <v>0.1433</v>
      </c>
      <c r="S3080">
        <f>IMAGE("https://mitra.stanford.edu/kundaje/oak/projects/neuro-variants/variant_position/credible/roussos_2024/variant_figures/roussos_2024.childhood.GABA/rs7437714_count_position.png",4,220,900)</f>
        <v/>
      </c>
      <c r="T3080">
        <f>IMAGE("https://mitra.stanford.edu/kundaje/oak/projects/neuro-variants/variant_position/credible/roussos_2024/variant_figures/roussos_2024.childhood.GABA/rs7437714_profile_position.png",4,220,900)</f>
        <v/>
      </c>
    </row>
    <row r="3081">
      <c r="A3081" t="inlineStr">
        <is>
          <t>chr4</t>
        </is>
      </c>
      <c r="B3081" t="n">
        <v>102928840</v>
      </c>
      <c r="C3081" t="inlineStr">
        <is>
          <t>T</t>
        </is>
      </c>
      <c r="D3081" t="inlineStr">
        <is>
          <t>C</t>
        </is>
      </c>
      <c r="E3081" t="inlineStr">
        <is>
          <t>rs3974602</t>
        </is>
      </c>
      <c r="F3081" t="n">
        <v>0.002716972526</v>
      </c>
      <c r="G3081" t="n">
        <v>0.7995494865994031</v>
      </c>
      <c r="H3081" t="n">
        <v>0.009888740835258199</v>
      </c>
      <c r="I3081" t="n">
        <v>0.6526389723880174</v>
      </c>
      <c r="J3081" t="n">
        <v>0.0186090343657723</v>
      </c>
      <c r="K3081" t="n">
        <v>0.6745600794174035</v>
      </c>
      <c r="L3081" t="b">
        <v>0</v>
      </c>
      <c r="M3081" t="b">
        <v>0</v>
      </c>
      <c r="N3081" t="inlineStr">
        <is>
          <t>alt</t>
        </is>
      </c>
      <c r="O3081" t="n">
        <v>100</v>
      </c>
      <c r="P3081" t="n">
        <v>0.008803999999999999</v>
      </c>
      <c r="Q3081" t="n">
        <v>85</v>
      </c>
      <c r="R3081" t="n">
        <v>0.1682</v>
      </c>
      <c r="S3081">
        <f>IMAGE("https://mitra.stanford.edu/kundaje/oak/projects/neuro-variants/variant_position/credible/roussos_2024/variant_figures/roussos_2024.childhood.GABA/rs3974602_count_position.png",4,220,900)</f>
        <v/>
      </c>
      <c r="T3081">
        <f>IMAGE("https://mitra.stanford.edu/kundaje/oak/projects/neuro-variants/variant_position/credible/roussos_2024/variant_figures/roussos_2024.childhood.GABA/rs3974602_profile_position.png",4,220,900)</f>
        <v/>
      </c>
    </row>
    <row r="3082">
      <c r="A3082" t="inlineStr">
        <is>
          <t>chr4</t>
        </is>
      </c>
      <c r="B3082" t="n">
        <v>102938135</v>
      </c>
      <c r="C3082" t="inlineStr">
        <is>
          <t>C</t>
        </is>
      </c>
      <c r="D3082" t="inlineStr">
        <is>
          <t>G</t>
        </is>
      </c>
      <c r="E3082" t="inlineStr">
        <is>
          <t>rs7676943</t>
        </is>
      </c>
      <c r="F3082" t="n">
        <v>0.122046781</v>
      </c>
      <c r="G3082" t="n">
        <v>0.0211242677770975</v>
      </c>
      <c r="H3082" t="n">
        <v>0.0215513947344501</v>
      </c>
      <c r="I3082" t="n">
        <v>0.0550046086414889</v>
      </c>
      <c r="J3082" t="n">
        <v>0.0292171891688131</v>
      </c>
      <c r="K3082" t="n">
        <v>0.5893874675034582</v>
      </c>
      <c r="L3082" t="b">
        <v>0</v>
      </c>
      <c r="M3082" t="b">
        <v>0</v>
      </c>
      <c r="N3082" t="inlineStr">
        <is>
          <t>alt</t>
        </is>
      </c>
      <c r="O3082" t="n">
        <v>65</v>
      </c>
      <c r="P3082" t="n">
        <v>0.001501</v>
      </c>
      <c r="Q3082" t="n">
        <v>-35</v>
      </c>
      <c r="R3082" t="n">
        <v>0.0742</v>
      </c>
      <c r="S3082">
        <f>IMAGE("https://mitra.stanford.edu/kundaje/oak/projects/neuro-variants/variant_position/credible/roussos_2024/variant_figures/roussos_2024.childhood.GABA/rs7676943_count_position.png",4,220,900)</f>
        <v/>
      </c>
      <c r="T3082">
        <f>IMAGE("https://mitra.stanford.edu/kundaje/oak/projects/neuro-variants/variant_position/credible/roussos_2024/variant_figures/roussos_2024.childhood.GABA/rs7676943_profile_position.png",4,220,900)</f>
        <v/>
      </c>
    </row>
    <row r="3083">
      <c r="A3083" t="inlineStr">
        <is>
          <t>chr4</t>
        </is>
      </c>
      <c r="B3083" t="n">
        <v>102938244</v>
      </c>
      <c r="C3083" t="inlineStr">
        <is>
          <t>A</t>
        </is>
      </c>
      <c r="D3083" t="inlineStr">
        <is>
          <t>G</t>
        </is>
      </c>
      <c r="E3083" t="inlineStr">
        <is>
          <t>rs4446311</t>
        </is>
      </c>
      <c r="F3083" t="n">
        <v>0.0300091043999999</v>
      </c>
      <c r="G3083" t="n">
        <v>0.2868357221149793</v>
      </c>
      <c r="H3083" t="n">
        <v>0.0091269276834743</v>
      </c>
      <c r="I3083" t="n">
        <v>0.7392193559257666</v>
      </c>
      <c r="J3083" t="n">
        <v>0.0157043831542794</v>
      </c>
      <c r="K3083" t="n">
        <v>0.6866188041990591</v>
      </c>
      <c r="L3083" t="b">
        <v>0</v>
      </c>
      <c r="M3083" t="b">
        <v>0</v>
      </c>
      <c r="N3083" t="inlineStr">
        <is>
          <t>alt</t>
        </is>
      </c>
      <c r="O3083" t="n">
        <v>25</v>
      </c>
      <c r="P3083" t="n">
        <v>0.003292</v>
      </c>
      <c r="Q3083" t="n">
        <v>-100</v>
      </c>
      <c r="R3083" t="n">
        <v>0.10547</v>
      </c>
      <c r="S3083">
        <f>IMAGE("https://mitra.stanford.edu/kundaje/oak/projects/neuro-variants/variant_position/credible/roussos_2024/variant_figures/roussos_2024.childhood.GABA/rs4446311_count_position.png",4,220,900)</f>
        <v/>
      </c>
      <c r="T3083">
        <f>IMAGE("https://mitra.stanford.edu/kundaje/oak/projects/neuro-variants/variant_position/credible/roussos_2024/variant_figures/roussos_2024.childhood.GABA/rs4446311_profile_position.png",4,220,900)</f>
        <v/>
      </c>
    </row>
    <row r="3084">
      <c r="A3084" t="inlineStr">
        <is>
          <t>chr4</t>
        </is>
      </c>
      <c r="B3084" t="n">
        <v>102938648</v>
      </c>
      <c r="C3084" t="inlineStr">
        <is>
          <t>G</t>
        </is>
      </c>
      <c r="D3084" t="inlineStr">
        <is>
          <t>A</t>
        </is>
      </c>
      <c r="E3084" t="inlineStr">
        <is>
          <t>rs6419160</t>
        </is>
      </c>
      <c r="F3084" t="n">
        <v>0.0172555594599999</v>
      </c>
      <c r="G3084" t="n">
        <v>0.4574770167349651</v>
      </c>
      <c r="H3084" t="n">
        <v>0.0233090923710822</v>
      </c>
      <c r="I3084" t="n">
        <v>0.0405300547618578</v>
      </c>
      <c r="J3084" t="n">
        <v>0.0085945844066092</v>
      </c>
      <c r="K3084" t="n">
        <v>0.7560280153402056</v>
      </c>
      <c r="L3084" t="b">
        <v>0</v>
      </c>
      <c r="M3084" t="b">
        <v>0</v>
      </c>
      <c r="N3084" t="inlineStr">
        <is>
          <t>alt</t>
        </is>
      </c>
      <c r="O3084" t="n">
        <v>-95</v>
      </c>
      <c r="P3084" t="n">
        <v>0.001648</v>
      </c>
      <c r="Q3084" t="n">
        <v>100</v>
      </c>
      <c r="R3084" t="n">
        <v>0.000757</v>
      </c>
      <c r="S3084">
        <f>IMAGE("https://mitra.stanford.edu/kundaje/oak/projects/neuro-variants/variant_position/credible/roussos_2024/variant_figures/roussos_2024.childhood.GABA/rs6419160_count_position.png",4,220,900)</f>
        <v/>
      </c>
      <c r="T3084">
        <f>IMAGE("https://mitra.stanford.edu/kundaje/oak/projects/neuro-variants/variant_position/credible/roussos_2024/variant_figures/roussos_2024.childhood.GABA/rs6419160_profile_position.png",4,220,900)</f>
        <v/>
      </c>
    </row>
    <row r="3085">
      <c r="A3085" t="inlineStr">
        <is>
          <t>chr4</t>
        </is>
      </c>
      <c r="B3085" t="n">
        <v>102940527</v>
      </c>
      <c r="C3085" t="inlineStr">
        <is>
          <t>A</t>
        </is>
      </c>
      <c r="D3085" t="inlineStr">
        <is>
          <t>C</t>
        </is>
      </c>
      <c r="E3085" t="inlineStr">
        <is>
          <t>rs10017565</t>
        </is>
      </c>
      <c r="F3085" t="n">
        <v>-0.03142842548</v>
      </c>
      <c r="G3085" t="n">
        <v>0.3162980053580711</v>
      </c>
      <c r="H3085" t="n">
        <v>0.0307319054408275</v>
      </c>
      <c r="I3085" t="n">
        <v>0.011378957678783</v>
      </c>
      <c r="J3085" t="n">
        <v>0.0626793156164268</v>
      </c>
      <c r="K3085" t="n">
        <v>0.4413163896263457</v>
      </c>
      <c r="L3085" t="b">
        <v>1</v>
      </c>
      <c r="M3085" t="b">
        <v>0</v>
      </c>
      <c r="N3085" t="inlineStr">
        <is>
          <t>ref</t>
        </is>
      </c>
      <c r="O3085" t="n">
        <v>-70</v>
      </c>
      <c r="P3085" t="n">
        <v>0.004272</v>
      </c>
      <c r="Q3085" t="n">
        <v>30</v>
      </c>
      <c r="R3085" t="n">
        <v>0.06226</v>
      </c>
      <c r="S3085">
        <f>IMAGE("https://mitra.stanford.edu/kundaje/oak/projects/neuro-variants/variant_position/credible/roussos_2024/variant_figures/roussos_2024.childhood.GABA/rs10017565_count_position.png",4,220,900)</f>
        <v/>
      </c>
      <c r="T3085">
        <f>IMAGE("https://mitra.stanford.edu/kundaje/oak/projects/neuro-variants/variant_position/credible/roussos_2024/variant_figures/roussos_2024.childhood.GABA/rs10017565_profile_position.png",4,220,900)</f>
        <v/>
      </c>
    </row>
    <row r="3086">
      <c r="A3086" t="inlineStr">
        <is>
          <t>chr4</t>
        </is>
      </c>
      <c r="B3086" t="n">
        <v>102940972</v>
      </c>
      <c r="C3086" t="inlineStr">
        <is>
          <t>C</t>
        </is>
      </c>
      <c r="D3086" t="inlineStr">
        <is>
          <t>A</t>
        </is>
      </c>
      <c r="E3086" t="inlineStr">
        <is>
          <t>rs11724035</t>
        </is>
      </c>
      <c r="F3086" t="n">
        <v>0.01536531052</v>
      </c>
      <c r="G3086" t="n">
        <v>0.4968220633733469</v>
      </c>
      <c r="H3086" t="n">
        <v>0.0177956524307789</v>
      </c>
      <c r="I3086" t="n">
        <v>0.1197775481424282</v>
      </c>
      <c r="J3086" t="n">
        <v>0.0345322611044794</v>
      </c>
      <c r="K3086" t="n">
        <v>0.5596419254690941</v>
      </c>
      <c r="L3086" t="b">
        <v>0</v>
      </c>
      <c r="M3086" t="b">
        <v>0</v>
      </c>
      <c r="N3086" t="inlineStr">
        <is>
          <t>alt</t>
        </is>
      </c>
      <c r="O3086" t="n">
        <v>70</v>
      </c>
      <c r="P3086" t="n">
        <v>0.006718</v>
      </c>
      <c r="Q3086" t="n">
        <v>25</v>
      </c>
      <c r="R3086" t="n">
        <v>0.0534</v>
      </c>
      <c r="S3086">
        <f>IMAGE("https://mitra.stanford.edu/kundaje/oak/projects/neuro-variants/variant_position/credible/roussos_2024/variant_figures/roussos_2024.childhood.GABA/rs11724035_count_position.png",4,220,900)</f>
        <v/>
      </c>
      <c r="T3086">
        <f>IMAGE("https://mitra.stanford.edu/kundaje/oak/projects/neuro-variants/variant_position/credible/roussos_2024/variant_figures/roussos_2024.childhood.GABA/rs11724035_profile_position.png",4,220,900)</f>
        <v/>
      </c>
    </row>
    <row r="3087">
      <c r="A3087" t="inlineStr">
        <is>
          <t>chr4</t>
        </is>
      </c>
      <c r="B3087" t="n">
        <v>102955130</v>
      </c>
      <c r="C3087" t="inlineStr">
        <is>
          <t>C</t>
        </is>
      </c>
      <c r="D3087" t="inlineStr">
        <is>
          <t>T</t>
        </is>
      </c>
      <c r="E3087" t="inlineStr">
        <is>
          <t>rs6829718</t>
        </is>
      </c>
      <c r="F3087" t="n">
        <v>-0.00267224644</v>
      </c>
      <c r="G3087" t="n">
        <v>0.7391409643801341</v>
      </c>
      <c r="H3087" t="n">
        <v>0.0076782907136978</v>
      </c>
      <c r="I3087" t="n">
        <v>0.8900261662029644</v>
      </c>
      <c r="J3087" t="n">
        <v>0.055661661535884</v>
      </c>
      <c r="K3087" t="n">
        <v>0.4711986733389361</v>
      </c>
      <c r="L3087" t="b">
        <v>0</v>
      </c>
      <c r="M3087" t="b">
        <v>0</v>
      </c>
      <c r="N3087" t="inlineStr">
        <is>
          <t>ref</t>
        </is>
      </c>
      <c r="O3087" t="n">
        <v>-100</v>
      </c>
      <c r="P3087" t="n">
        <v>0.00893</v>
      </c>
      <c r="Q3087" t="n">
        <v>50</v>
      </c>
      <c r="R3087" t="n">
        <v>0.0434</v>
      </c>
      <c r="S3087">
        <f>IMAGE("https://mitra.stanford.edu/kundaje/oak/projects/neuro-variants/variant_position/credible/roussos_2024/variant_figures/roussos_2024.childhood.GABA/rs6829718_count_position.png",4,220,900)</f>
        <v/>
      </c>
      <c r="T3087">
        <f>IMAGE("https://mitra.stanford.edu/kundaje/oak/projects/neuro-variants/variant_position/credible/roussos_2024/variant_figures/roussos_2024.childhood.GABA/rs6829718_profile_position.png",4,220,900)</f>
        <v/>
      </c>
    </row>
    <row r="3088">
      <c r="A3088" t="inlineStr">
        <is>
          <t>chr4</t>
        </is>
      </c>
      <c r="B3088" t="n">
        <v>102955979</v>
      </c>
      <c r="C3088" t="inlineStr">
        <is>
          <t>G</t>
        </is>
      </c>
      <c r="D3088" t="inlineStr">
        <is>
          <t>T</t>
        </is>
      </c>
      <c r="E3088" t="inlineStr">
        <is>
          <t>rs4235409</t>
        </is>
      </c>
      <c r="F3088" t="n">
        <v>0.00897109404</v>
      </c>
      <c r="G3088" t="n">
        <v>0.6246562853165898</v>
      </c>
      <c r="H3088" t="n">
        <v>0.0126283037587043</v>
      </c>
      <c r="I3088" t="n">
        <v>0.3878687172687128</v>
      </c>
      <c r="J3088" t="n">
        <v>0.0622007916064584</v>
      </c>
      <c r="K3088" t="n">
        <v>0.4588000059499015</v>
      </c>
      <c r="L3088" t="b">
        <v>0</v>
      </c>
      <c r="M3088" t="b">
        <v>0</v>
      </c>
      <c r="N3088" t="inlineStr">
        <is>
          <t>alt</t>
        </is>
      </c>
      <c r="O3088" t="n">
        <v>-95</v>
      </c>
      <c r="P3088" t="n">
        <v>0.01115</v>
      </c>
      <c r="Q3088" t="n">
        <v>90</v>
      </c>
      <c r="R3088" t="n">
        <v>0.1667</v>
      </c>
      <c r="S3088">
        <f>IMAGE("https://mitra.stanford.edu/kundaje/oak/projects/neuro-variants/variant_position/credible/roussos_2024/variant_figures/roussos_2024.childhood.GABA/rs4235409_count_position.png",4,220,900)</f>
        <v/>
      </c>
      <c r="T3088">
        <f>IMAGE("https://mitra.stanford.edu/kundaje/oak/projects/neuro-variants/variant_position/credible/roussos_2024/variant_figures/roussos_2024.childhood.GABA/rs4235409_profile_position.png",4,220,900)</f>
        <v/>
      </c>
    </row>
    <row r="3089">
      <c r="A3089" t="inlineStr">
        <is>
          <t>chr4</t>
        </is>
      </c>
      <c r="B3089" t="n">
        <v>102957720</v>
      </c>
      <c r="C3089" t="inlineStr">
        <is>
          <t>C</t>
        </is>
      </c>
      <c r="D3089" t="inlineStr">
        <is>
          <t>T</t>
        </is>
      </c>
      <c r="E3089" t="inlineStr">
        <is>
          <t>rs3857198</t>
        </is>
      </c>
      <c r="F3089" t="n">
        <v>-0.090090109</v>
      </c>
      <c r="G3089" t="n">
        <v>0.0415266664493909</v>
      </c>
      <c r="H3089" t="n">
        <v>0.0143771416135603</v>
      </c>
      <c r="I3089" t="n">
        <v>0.2539520938611534</v>
      </c>
      <c r="J3089" t="n">
        <v>0.0097170739879792</v>
      </c>
      <c r="K3089" t="n">
        <v>0.762812654960913</v>
      </c>
      <c r="L3089" t="b">
        <v>0</v>
      </c>
      <c r="M3089" t="b">
        <v>0</v>
      </c>
      <c r="N3089" t="inlineStr">
        <is>
          <t>ref</t>
        </is>
      </c>
      <c r="O3089" t="n">
        <v>-100</v>
      </c>
      <c r="P3089" t="n">
        <v>0.00531</v>
      </c>
      <c r="Q3089" t="n">
        <v>-10</v>
      </c>
      <c r="R3089" t="n">
        <v>0.01135</v>
      </c>
      <c r="S3089">
        <f>IMAGE("https://mitra.stanford.edu/kundaje/oak/projects/neuro-variants/variant_position/credible/roussos_2024/variant_figures/roussos_2024.childhood.GABA/rs3857198_count_position.png",4,220,900)</f>
        <v/>
      </c>
      <c r="T3089">
        <f>IMAGE("https://mitra.stanford.edu/kundaje/oak/projects/neuro-variants/variant_position/credible/roussos_2024/variant_figures/roussos_2024.childhood.GABA/rs3857198_profile_position.png",4,220,900)</f>
        <v/>
      </c>
    </row>
    <row r="3090">
      <c r="A3090" t="inlineStr">
        <is>
          <t>chr4</t>
        </is>
      </c>
      <c r="B3090" t="n">
        <v>102961049</v>
      </c>
      <c r="C3090" t="inlineStr">
        <is>
          <t>A</t>
        </is>
      </c>
      <c r="D3090" t="inlineStr">
        <is>
          <t>C</t>
        </is>
      </c>
      <c r="E3090" t="inlineStr">
        <is>
          <t>rs4698867</t>
        </is>
      </c>
      <c r="F3090" t="n">
        <v>-0.003678290448</v>
      </c>
      <c r="G3090" t="n">
        <v>0.7588662400354413</v>
      </c>
      <c r="H3090" t="n">
        <v>0.0221077242972554</v>
      </c>
      <c r="I3090" t="n">
        <v>0.0488246177249666</v>
      </c>
      <c r="J3090" t="n">
        <v>0.110200833490398</v>
      </c>
      <c r="K3090" t="n">
        <v>0.3289494304164886</v>
      </c>
      <c r="L3090" t="b">
        <v>0</v>
      </c>
      <c r="M3090" t="b">
        <v>0</v>
      </c>
      <c r="N3090" t="inlineStr">
        <is>
          <t>ref</t>
        </is>
      </c>
      <c r="O3090" t="n">
        <v>95</v>
      </c>
      <c r="P3090" t="n">
        <v>0.009039999999999999</v>
      </c>
      <c r="Q3090" t="n">
        <v>-100</v>
      </c>
      <c r="R3090" t="n">
        <v>0.0788</v>
      </c>
      <c r="S3090">
        <f>IMAGE("https://mitra.stanford.edu/kundaje/oak/projects/neuro-variants/variant_position/credible/roussos_2024/variant_figures/roussos_2024.childhood.GABA/rs4698867_count_position.png",4,220,900)</f>
        <v/>
      </c>
      <c r="T3090">
        <f>IMAGE("https://mitra.stanford.edu/kundaje/oak/projects/neuro-variants/variant_position/credible/roussos_2024/variant_figures/roussos_2024.childhood.GABA/rs4698867_profile_position.png",4,220,900)</f>
        <v/>
      </c>
    </row>
    <row r="3091">
      <c r="A3091" t="inlineStr">
        <is>
          <t>chr4</t>
        </is>
      </c>
      <c r="B3091" t="n">
        <v>102974160</v>
      </c>
      <c r="C3091" t="inlineStr">
        <is>
          <t>T</t>
        </is>
      </c>
      <c r="D3091" t="inlineStr">
        <is>
          <t>G</t>
        </is>
      </c>
      <c r="E3091" t="inlineStr">
        <is>
          <t>rs7659468</t>
        </is>
      </c>
      <c r="F3091" t="n">
        <v>0.0446518366</v>
      </c>
      <c r="G3091" t="n">
        <v>0.1727795082896322</v>
      </c>
      <c r="H3091" t="n">
        <v>0.0161011385831898</v>
      </c>
      <c r="I3091" t="n">
        <v>0.1755915667125262</v>
      </c>
      <c r="J3091" t="n">
        <v>0.0003047056606144</v>
      </c>
      <c r="K3091" t="n">
        <v>0.9497508887088654</v>
      </c>
      <c r="L3091" t="b">
        <v>0</v>
      </c>
      <c r="M3091" t="b">
        <v>0</v>
      </c>
      <c r="N3091" t="inlineStr">
        <is>
          <t>alt</t>
        </is>
      </c>
      <c r="O3091" t="n">
        <v>100</v>
      </c>
      <c r="P3091" t="n">
        <v>0.009639999999999999</v>
      </c>
      <c r="Q3091" t="n">
        <v>-20</v>
      </c>
      <c r="R3091" t="n">
        <v>0.063</v>
      </c>
      <c r="S3091">
        <f>IMAGE("https://mitra.stanford.edu/kundaje/oak/projects/neuro-variants/variant_position/credible/roussos_2024/variant_figures/roussos_2024.childhood.GABA/rs7659468_count_position.png",4,220,900)</f>
        <v/>
      </c>
      <c r="T3091">
        <f>IMAGE("https://mitra.stanford.edu/kundaje/oak/projects/neuro-variants/variant_position/credible/roussos_2024/variant_figures/roussos_2024.childhood.GABA/rs7659468_profile_position.png",4,220,900)</f>
        <v/>
      </c>
    </row>
    <row r="3092">
      <c r="A3092" t="inlineStr">
        <is>
          <t>chr4</t>
        </is>
      </c>
      <c r="B3092" t="n">
        <v>102976939</v>
      </c>
      <c r="C3092" t="inlineStr">
        <is>
          <t>A</t>
        </is>
      </c>
      <c r="D3092" t="inlineStr">
        <is>
          <t>G</t>
        </is>
      </c>
      <c r="E3092" t="inlineStr">
        <is>
          <t>rs4699044</t>
        </is>
      </c>
      <c r="F3092" t="n">
        <v>0.145089156</v>
      </c>
      <c r="G3092" t="n">
        <v>0.0126400607941817</v>
      </c>
      <c r="H3092" t="n">
        <v>0.0214251112188664</v>
      </c>
      <c r="I3092" t="n">
        <v>0.0567520677674486</v>
      </c>
      <c r="J3092" t="n">
        <v>0.0009936964670895999</v>
      </c>
      <c r="K3092" t="n">
        <v>0.9220401597731728</v>
      </c>
      <c r="L3092" t="b">
        <v>1</v>
      </c>
      <c r="M3092" t="b">
        <v>0</v>
      </c>
      <c r="N3092" t="inlineStr">
        <is>
          <t>alt</t>
        </is>
      </c>
      <c r="O3092" t="n">
        <v>100</v>
      </c>
      <c r="P3092" t="n">
        <v>0.013885</v>
      </c>
      <c r="Q3092" t="n">
        <v>-100</v>
      </c>
      <c r="R3092" t="n">
        <v>0.01413</v>
      </c>
      <c r="S3092">
        <f>IMAGE("https://mitra.stanford.edu/kundaje/oak/projects/neuro-variants/variant_position/credible/roussos_2024/variant_figures/roussos_2024.childhood.GABA/rs4699044_count_position.png",4,220,900)</f>
        <v/>
      </c>
      <c r="T3092">
        <f>IMAGE("https://mitra.stanford.edu/kundaje/oak/projects/neuro-variants/variant_position/credible/roussos_2024/variant_figures/roussos_2024.childhood.GABA/rs4699044_profile_position.png",4,220,900)</f>
        <v/>
      </c>
    </row>
    <row r="3093">
      <c r="A3093" t="inlineStr">
        <is>
          <t>chr4</t>
        </is>
      </c>
      <c r="B3093" t="n">
        <v>102983598</v>
      </c>
      <c r="C3093" t="inlineStr">
        <is>
          <t>C</t>
        </is>
      </c>
      <c r="D3093" t="inlineStr">
        <is>
          <t>G</t>
        </is>
      </c>
      <c r="E3093" t="inlineStr">
        <is>
          <t>rs12508069</t>
        </is>
      </c>
      <c r="F3093" t="n">
        <v>-0.0261855090999999</v>
      </c>
      <c r="G3093" t="n">
        <v>0.3493626885524905</v>
      </c>
      <c r="H3093" t="n">
        <v>0.009150852461533099</v>
      </c>
      <c r="I3093" t="n">
        <v>0.7282800443427351</v>
      </c>
      <c r="J3093" t="n">
        <v>7.329689430585921e-05</v>
      </c>
      <c r="K3093" t="n">
        <v>0.9816803364246732</v>
      </c>
      <c r="L3093" t="b">
        <v>0</v>
      </c>
      <c r="M3093" t="b">
        <v>0</v>
      </c>
      <c r="N3093" t="inlineStr">
        <is>
          <t>ref</t>
        </is>
      </c>
      <c r="O3093" t="n">
        <v>-100</v>
      </c>
      <c r="P3093" t="n">
        <v>0.002094</v>
      </c>
      <c r="Q3093" t="n">
        <v>-95</v>
      </c>
      <c r="R3093" t="n">
        <v>0.1179</v>
      </c>
      <c r="S3093">
        <f>IMAGE("https://mitra.stanford.edu/kundaje/oak/projects/neuro-variants/variant_position/credible/roussos_2024/variant_figures/roussos_2024.childhood.GABA/rs12508069_count_position.png",4,220,900)</f>
        <v/>
      </c>
      <c r="T3093">
        <f>IMAGE("https://mitra.stanford.edu/kundaje/oak/projects/neuro-variants/variant_position/credible/roussos_2024/variant_figures/roussos_2024.childhood.GABA/rs12508069_profile_position.png",4,220,900)</f>
        <v/>
      </c>
    </row>
    <row r="3094">
      <c r="A3094" t="inlineStr">
        <is>
          <t>chr4</t>
        </is>
      </c>
      <c r="B3094" t="n">
        <v>102994153</v>
      </c>
      <c r="C3094" t="inlineStr">
        <is>
          <t>T</t>
        </is>
      </c>
      <c r="D3094" t="inlineStr">
        <is>
          <t>G</t>
        </is>
      </c>
      <c r="E3094" t="inlineStr">
        <is>
          <t>rs7688940</t>
        </is>
      </c>
      <c r="F3094" t="n">
        <v>0.02664212206</v>
      </c>
      <c r="G3094" t="n">
        <v>0.3260211658993499</v>
      </c>
      <c r="H3094" t="n">
        <v>0.0238294622719919</v>
      </c>
      <c r="I3094" t="n">
        <v>0.0355431518880659</v>
      </c>
      <c r="J3094" t="n">
        <v>0.1526575359678331</v>
      </c>
      <c r="K3094" t="n">
        <v>0.2787085825877528</v>
      </c>
      <c r="L3094" t="b">
        <v>0</v>
      </c>
      <c r="M3094" t="b">
        <v>0</v>
      </c>
      <c r="N3094" t="inlineStr">
        <is>
          <t>alt</t>
        </is>
      </c>
      <c r="O3094" t="n">
        <v>-15</v>
      </c>
      <c r="P3094" t="n">
        <v>0.0009155</v>
      </c>
      <c r="Q3094" t="n">
        <v>-80</v>
      </c>
      <c r="R3094" t="n">
        <v>0.0919</v>
      </c>
      <c r="S3094">
        <f>IMAGE("https://mitra.stanford.edu/kundaje/oak/projects/neuro-variants/variant_position/credible/roussos_2024/variant_figures/roussos_2024.childhood.GABA/rs7688940_count_position.png",4,220,900)</f>
        <v/>
      </c>
      <c r="T3094">
        <f>IMAGE("https://mitra.stanford.edu/kundaje/oak/projects/neuro-variants/variant_position/credible/roussos_2024/variant_figures/roussos_2024.childhood.GABA/rs7688940_profile_position.png",4,220,900)</f>
        <v/>
      </c>
    </row>
    <row r="3095">
      <c r="A3095" t="inlineStr">
        <is>
          <t>chr4</t>
        </is>
      </c>
      <c r="B3095" t="n">
        <v>103003981</v>
      </c>
      <c r="C3095" t="inlineStr">
        <is>
          <t>G</t>
        </is>
      </c>
      <c r="D3095" t="inlineStr">
        <is>
          <t>C</t>
        </is>
      </c>
      <c r="E3095" t="inlineStr">
        <is>
          <t>rs13117110</t>
        </is>
      </c>
      <c r="F3095" t="n">
        <v>0.021295335</v>
      </c>
      <c r="G3095" t="n">
        <v>0.3820114142166322</v>
      </c>
      <c r="H3095" t="n">
        <v>0.0095349814617049</v>
      </c>
      <c r="I3095" t="n">
        <v>0.6768145236402952</v>
      </c>
      <c r="J3095" t="n">
        <v>0.0073464430064291</v>
      </c>
      <c r="K3095" t="n">
        <v>0.7798056551119269</v>
      </c>
      <c r="L3095" t="b">
        <v>0</v>
      </c>
      <c r="M3095" t="b">
        <v>0</v>
      </c>
      <c r="N3095" t="inlineStr">
        <is>
          <t>alt</t>
        </is>
      </c>
      <c r="O3095" t="n">
        <v>-100</v>
      </c>
      <c r="P3095" t="n">
        <v>0.004765</v>
      </c>
      <c r="Q3095" t="n">
        <v>-75</v>
      </c>
      <c r="R3095" t="n">
        <v>0.1337</v>
      </c>
      <c r="S3095">
        <f>IMAGE("https://mitra.stanford.edu/kundaje/oak/projects/neuro-variants/variant_position/credible/roussos_2024/variant_figures/roussos_2024.childhood.GABA/rs13117110_count_position.png",4,220,900)</f>
        <v/>
      </c>
      <c r="T3095">
        <f>IMAGE("https://mitra.stanford.edu/kundaje/oak/projects/neuro-variants/variant_position/credible/roussos_2024/variant_figures/roussos_2024.childhood.GABA/rs13117110_profile_position.png",4,220,900)</f>
        <v/>
      </c>
    </row>
    <row r="3096">
      <c r="A3096" t="inlineStr">
        <is>
          <t>chr4</t>
        </is>
      </c>
      <c r="B3096" t="n">
        <v>103011399</v>
      </c>
      <c r="C3096" t="inlineStr">
        <is>
          <t>C</t>
        </is>
      </c>
      <c r="D3096" t="inlineStr">
        <is>
          <t>T</t>
        </is>
      </c>
      <c r="E3096" t="inlineStr">
        <is>
          <t>rs7695096</t>
        </is>
      </c>
      <c r="F3096" t="n">
        <v>-0.00533702018</v>
      </c>
      <c r="G3096" t="n">
        <v>0.6586159689665283</v>
      </c>
      <c r="H3096" t="n">
        <v>0.011548052831661</v>
      </c>
      <c r="I3096" t="n">
        <v>0.461628312139108</v>
      </c>
      <c r="J3096" t="n">
        <v>0.0848547674394253</v>
      </c>
      <c r="K3096" t="n">
        <v>0.3967297848672259</v>
      </c>
      <c r="L3096" t="b">
        <v>0</v>
      </c>
      <c r="M3096" t="b">
        <v>0</v>
      </c>
      <c r="N3096" t="inlineStr">
        <is>
          <t>ref</t>
        </is>
      </c>
      <c r="O3096" t="n">
        <v>100</v>
      </c>
      <c r="P3096" t="n">
        <v>0.00405</v>
      </c>
      <c r="Q3096" t="n">
        <v>25</v>
      </c>
      <c r="R3096" t="n">
        <v>0.0303</v>
      </c>
      <c r="S3096">
        <f>IMAGE("https://mitra.stanford.edu/kundaje/oak/projects/neuro-variants/variant_position/credible/roussos_2024/variant_figures/roussos_2024.childhood.GABA/rs7695096_count_position.png",4,220,900)</f>
        <v/>
      </c>
      <c r="T3096">
        <f>IMAGE("https://mitra.stanford.edu/kundaje/oak/projects/neuro-variants/variant_position/credible/roussos_2024/variant_figures/roussos_2024.childhood.GABA/rs7695096_profile_position.png",4,220,900)</f>
        <v/>
      </c>
    </row>
    <row r="3097">
      <c r="A3097" t="inlineStr">
        <is>
          <t>chr4</t>
        </is>
      </c>
      <c r="B3097" t="n">
        <v>104524048</v>
      </c>
      <c r="C3097" t="inlineStr">
        <is>
          <t>A</t>
        </is>
      </c>
      <c r="D3097" t="inlineStr">
        <is>
          <t>C</t>
        </is>
      </c>
      <c r="E3097" t="inlineStr">
        <is>
          <t>rs2905625</t>
        </is>
      </c>
      <c r="F3097" t="n">
        <v>0.0006661520099999</v>
      </c>
      <c r="G3097" t="n">
        <v>0.8545473144768349</v>
      </c>
      <c r="H3097" t="n">
        <v>0.0169894352144706</v>
      </c>
      <c r="I3097" t="n">
        <v>0.143538299389037</v>
      </c>
      <c r="J3097" t="n">
        <v>0.1935069422629892</v>
      </c>
      <c r="K3097" t="n">
        <v>0.2203846260486554</v>
      </c>
      <c r="L3097" t="b">
        <v>0</v>
      </c>
      <c r="M3097" t="b">
        <v>0</v>
      </c>
      <c r="N3097" t="inlineStr">
        <is>
          <t>alt</t>
        </is>
      </c>
      <c r="O3097" t="n">
        <v>55</v>
      </c>
      <c r="P3097" t="n">
        <v>0.003784</v>
      </c>
      <c r="Q3097" t="n">
        <v>60</v>
      </c>
      <c r="R3097" t="n">
        <v>0.03442</v>
      </c>
      <c r="S3097">
        <f>IMAGE("https://mitra.stanford.edu/kundaje/oak/projects/neuro-variants/variant_position/credible/roussos_2024/variant_figures/roussos_2024.childhood.GABA/rs2905625_count_position.png",4,220,900)</f>
        <v/>
      </c>
      <c r="T3097">
        <f>IMAGE("https://mitra.stanford.edu/kundaje/oak/projects/neuro-variants/variant_position/credible/roussos_2024/variant_figures/roussos_2024.childhood.GABA/rs2905625_profile_position.png",4,220,900)</f>
        <v/>
      </c>
    </row>
    <row r="3098">
      <c r="A3098" t="inlineStr">
        <is>
          <t>chr4</t>
        </is>
      </c>
      <c r="B3098" t="n">
        <v>104633005</v>
      </c>
      <c r="C3098" t="inlineStr">
        <is>
          <t>A</t>
        </is>
      </c>
      <c r="D3098" t="inlineStr">
        <is>
          <t>G</t>
        </is>
      </c>
      <c r="E3098" t="inlineStr">
        <is>
          <t>rs1875310</t>
        </is>
      </c>
      <c r="F3098" t="n">
        <v>-0.07235354419999999</v>
      </c>
      <c r="G3098" t="n">
        <v>0.0793262329363054</v>
      </c>
      <c r="H3098" t="n">
        <v>0.0137017912539147</v>
      </c>
      <c r="I3098" t="n">
        <v>0.3007308024274729</v>
      </c>
      <c r="J3098" t="n">
        <v>0.0326935561558919</v>
      </c>
      <c r="K3098" t="n">
        <v>0.5629414093185576</v>
      </c>
      <c r="L3098" t="b">
        <v>0</v>
      </c>
      <c r="M3098" t="b">
        <v>0</v>
      </c>
      <c r="N3098" t="inlineStr">
        <is>
          <t>ref</t>
        </is>
      </c>
      <c r="O3098" t="n">
        <v>0</v>
      </c>
      <c r="P3098" t="n">
        <v>0</v>
      </c>
      <c r="Q3098" t="n">
        <v>85</v>
      </c>
      <c r="R3098" t="n">
        <v>0.04236</v>
      </c>
      <c r="S3098">
        <f>IMAGE("https://mitra.stanford.edu/kundaje/oak/projects/neuro-variants/variant_position/credible/roussos_2024/variant_figures/roussos_2024.childhood.GABA/rs1875310_count_position.png",4,220,900)</f>
        <v/>
      </c>
      <c r="T3098">
        <f>IMAGE("https://mitra.stanford.edu/kundaje/oak/projects/neuro-variants/variant_position/credible/roussos_2024/variant_figures/roussos_2024.childhood.GABA/rs1875310_profile_position.png",4,220,900)</f>
        <v/>
      </c>
    </row>
    <row r="3099">
      <c r="A3099" t="inlineStr">
        <is>
          <t>chr4</t>
        </is>
      </c>
      <c r="B3099" t="n">
        <v>104645245</v>
      </c>
      <c r="C3099" t="inlineStr">
        <is>
          <t>C</t>
        </is>
      </c>
      <c r="D3099" t="inlineStr">
        <is>
          <t>T</t>
        </is>
      </c>
      <c r="E3099" t="inlineStr">
        <is>
          <t>rs72662364</t>
        </is>
      </c>
      <c r="F3099" t="n">
        <v>-0.1055634894</v>
      </c>
      <c r="G3099" t="n">
        <v>0.0342956230930303</v>
      </c>
      <c r="H3099" t="n">
        <v>0.0183505221335442</v>
      </c>
      <c r="I3099" t="n">
        <v>0.1274635942031126</v>
      </c>
      <c r="J3099" t="n">
        <v>0.264826914619589</v>
      </c>
      <c r="K3099" t="n">
        <v>0.1547318695410935</v>
      </c>
      <c r="L3099" t="b">
        <v>0</v>
      </c>
      <c r="M3099" t="b">
        <v>0</v>
      </c>
      <c r="N3099" t="inlineStr">
        <is>
          <t>ref</t>
        </is>
      </c>
      <c r="O3099" t="n">
        <v>-30</v>
      </c>
      <c r="P3099" t="n">
        <v>0.004456</v>
      </c>
      <c r="Q3099" t="n">
        <v>90</v>
      </c>
      <c r="R3099" t="n">
        <v>0.3848</v>
      </c>
      <c r="S3099">
        <f>IMAGE("https://mitra.stanford.edu/kundaje/oak/projects/neuro-variants/variant_position/credible/roussos_2024/variant_figures/roussos_2024.childhood.GABA/rs72662364_count_position.png",4,220,900)</f>
        <v/>
      </c>
      <c r="T3099">
        <f>IMAGE("https://mitra.stanford.edu/kundaje/oak/projects/neuro-variants/variant_position/credible/roussos_2024/variant_figures/roussos_2024.childhood.GABA/rs72662364_profile_position.png",4,220,900)</f>
        <v/>
      </c>
    </row>
    <row r="3100">
      <c r="A3100" t="inlineStr">
        <is>
          <t>chr4</t>
        </is>
      </c>
      <c r="B3100" t="n">
        <v>104657130</v>
      </c>
      <c r="C3100" t="inlineStr">
        <is>
          <t>A</t>
        </is>
      </c>
      <c r="D3100" t="inlineStr">
        <is>
          <t>G</t>
        </is>
      </c>
      <c r="E3100" t="inlineStr">
        <is>
          <t>rs17034785</t>
        </is>
      </c>
      <c r="F3100" t="n">
        <v>0.0210156440599999</v>
      </c>
      <c r="G3100" t="n">
        <v>0.4053799265201308</v>
      </c>
      <c r="H3100" t="n">
        <v>0.0110889904084506</v>
      </c>
      <c r="I3100" t="n">
        <v>0.5288972759608777</v>
      </c>
      <c r="J3100" t="n">
        <v>0.0319741994932043</v>
      </c>
      <c r="K3100" t="n">
        <v>0.5775657543949757</v>
      </c>
      <c r="L3100" t="b">
        <v>0</v>
      </c>
      <c r="M3100" t="b">
        <v>0</v>
      </c>
      <c r="N3100" t="inlineStr">
        <is>
          <t>alt</t>
        </is>
      </c>
      <c r="O3100" t="n">
        <v>10</v>
      </c>
      <c r="P3100" t="n">
        <v>0.000389</v>
      </c>
      <c r="Q3100" t="n">
        <v>15</v>
      </c>
      <c r="R3100" t="n">
        <v>0.02478</v>
      </c>
      <c r="S3100">
        <f>IMAGE("https://mitra.stanford.edu/kundaje/oak/projects/neuro-variants/variant_position/credible/roussos_2024/variant_figures/roussos_2024.childhood.GABA/rs17034785_count_position.png",4,220,900)</f>
        <v/>
      </c>
      <c r="T3100">
        <f>IMAGE("https://mitra.stanford.edu/kundaje/oak/projects/neuro-variants/variant_position/credible/roussos_2024/variant_figures/roussos_2024.childhood.GABA/rs17034785_profile_position.png",4,220,900)</f>
        <v/>
      </c>
    </row>
    <row r="3101">
      <c r="A3101" t="inlineStr">
        <is>
          <t>chr4</t>
        </is>
      </c>
      <c r="B3101" t="n">
        <v>117737811</v>
      </c>
      <c r="C3101" t="inlineStr">
        <is>
          <t>G</t>
        </is>
      </c>
      <c r="D3101" t="inlineStr">
        <is>
          <t>A</t>
        </is>
      </c>
      <c r="E3101" t="inlineStr">
        <is>
          <t>rs6856296</t>
        </is>
      </c>
      <c r="F3101" t="n">
        <v>0.1085208211999999</v>
      </c>
      <c r="G3101" t="n">
        <v>0.0288742402077378</v>
      </c>
      <c r="H3101" t="n">
        <v>0.0292312389345547</v>
      </c>
      <c r="I3101" t="n">
        <v>0.0159040843444042</v>
      </c>
      <c r="J3101" t="n">
        <v>0.0401865929509329</v>
      </c>
      <c r="K3101" t="n">
        <v>0.5291813249938125</v>
      </c>
      <c r="L3101" t="b">
        <v>1</v>
      </c>
      <c r="M3101" t="b">
        <v>0</v>
      </c>
      <c r="N3101" t="inlineStr">
        <is>
          <t>alt</t>
        </is>
      </c>
      <c r="O3101" t="n">
        <v>-40</v>
      </c>
      <c r="P3101" t="n">
        <v>0.008064</v>
      </c>
      <c r="Q3101" t="n">
        <v>100</v>
      </c>
      <c r="R3101" t="n">
        <v>0.02014</v>
      </c>
      <c r="S3101">
        <f>IMAGE("https://mitra.stanford.edu/kundaje/oak/projects/neuro-variants/variant_position/credible/roussos_2024/variant_figures/roussos_2024.childhood.GABA/rs6856296_count_position.png",4,220,900)</f>
        <v/>
      </c>
      <c r="T3101">
        <f>IMAGE("https://mitra.stanford.edu/kundaje/oak/projects/neuro-variants/variant_position/credible/roussos_2024/variant_figures/roussos_2024.childhood.GABA/rs6856296_profile_position.png",4,220,900)</f>
        <v/>
      </c>
    </row>
    <row r="3102">
      <c r="A3102" t="inlineStr">
        <is>
          <t>chr4</t>
        </is>
      </c>
      <c r="B3102" t="n">
        <v>117741466</v>
      </c>
      <c r="C3102" t="inlineStr">
        <is>
          <t>T</t>
        </is>
      </c>
      <c r="D3102" t="inlineStr">
        <is>
          <t>G</t>
        </is>
      </c>
      <c r="E3102" t="inlineStr">
        <is>
          <t>rs6855141</t>
        </is>
      </c>
      <c r="F3102" t="n">
        <v>-0.0079014054</v>
      </c>
      <c r="G3102" t="n">
        <v>0.6994707004914734</v>
      </c>
      <c r="H3102" t="n">
        <v>0.0181943322712779</v>
      </c>
      <c r="I3102" t="n">
        <v>0.1116676060905034</v>
      </c>
      <c r="J3102" t="n">
        <v>0.0031863207053255</v>
      </c>
      <c r="K3102" t="n">
        <v>0.8515136983457111</v>
      </c>
      <c r="L3102" t="b">
        <v>0</v>
      </c>
      <c r="M3102" t="b">
        <v>0</v>
      </c>
      <c r="N3102" t="inlineStr">
        <is>
          <t>ref</t>
        </is>
      </c>
      <c r="O3102" t="n">
        <v>95</v>
      </c>
      <c r="P3102" t="n">
        <v>0.02132</v>
      </c>
      <c r="Q3102" t="n">
        <v>40</v>
      </c>
      <c r="R3102" t="n">
        <v>0.08119999999999999</v>
      </c>
      <c r="S3102">
        <f>IMAGE("https://mitra.stanford.edu/kundaje/oak/projects/neuro-variants/variant_position/credible/roussos_2024/variant_figures/roussos_2024.childhood.GABA/rs6855141_count_position.png",4,220,900)</f>
        <v/>
      </c>
      <c r="T3102">
        <f>IMAGE("https://mitra.stanford.edu/kundaje/oak/projects/neuro-variants/variant_position/credible/roussos_2024/variant_figures/roussos_2024.childhood.GABA/rs6855141_profile_position.png",4,220,900)</f>
        <v/>
      </c>
    </row>
    <row r="3103">
      <c r="A3103" t="inlineStr">
        <is>
          <t>chr4</t>
        </is>
      </c>
      <c r="B3103" t="n">
        <v>117743748</v>
      </c>
      <c r="C3103" t="inlineStr">
        <is>
          <t>A</t>
        </is>
      </c>
      <c r="D3103" t="inlineStr">
        <is>
          <t>T</t>
        </is>
      </c>
      <c r="E3103" t="inlineStr">
        <is>
          <t>rs7655540</t>
        </is>
      </c>
      <c r="F3103" t="n">
        <v>0.00515882726</v>
      </c>
      <c r="G3103" t="n">
        <v>0.7630754653044162</v>
      </c>
      <c r="H3103" t="n">
        <v>0.0240201054750055</v>
      </c>
      <c r="I3103" t="n">
        <v>0.0335133565935795</v>
      </c>
      <c r="J3103" t="n">
        <v>0.0044208498251344</v>
      </c>
      <c r="K3103" t="n">
        <v>0.8183582103779208</v>
      </c>
      <c r="L3103" t="b">
        <v>0</v>
      </c>
      <c r="M3103" t="b">
        <v>0</v>
      </c>
      <c r="N3103" t="inlineStr">
        <is>
          <t>alt</t>
        </is>
      </c>
      <c r="O3103" t="n">
        <v>-85</v>
      </c>
      <c r="P3103" t="n">
        <v>0.00354</v>
      </c>
      <c r="Q3103" t="n">
        <v>-35</v>
      </c>
      <c r="R3103" t="n">
        <v>0.04144</v>
      </c>
      <c r="S3103">
        <f>IMAGE("https://mitra.stanford.edu/kundaje/oak/projects/neuro-variants/variant_position/credible/roussos_2024/variant_figures/roussos_2024.childhood.GABA/rs7655540_count_position.png",4,220,900)</f>
        <v/>
      </c>
      <c r="T3103">
        <f>IMAGE("https://mitra.stanford.edu/kundaje/oak/projects/neuro-variants/variant_position/credible/roussos_2024/variant_figures/roussos_2024.childhood.GABA/rs7655540_profile_position.png",4,220,900)</f>
        <v/>
      </c>
    </row>
    <row r="3104">
      <c r="A3104" t="inlineStr">
        <is>
          <t>chr4</t>
        </is>
      </c>
      <c r="B3104" t="n">
        <v>117744362</v>
      </c>
      <c r="C3104" t="inlineStr">
        <is>
          <t>T</t>
        </is>
      </c>
      <c r="D3104" t="inlineStr">
        <is>
          <t>C</t>
        </is>
      </c>
      <c r="E3104" t="inlineStr">
        <is>
          <t>rs9990663</t>
        </is>
      </c>
      <c r="F3104" t="n">
        <v>0.0454739664</v>
      </c>
      <c r="G3104" t="n">
        <v>0.1732489003804235</v>
      </c>
      <c r="H3104" t="n">
        <v>0.008849671299252</v>
      </c>
      <c r="I3104" t="n">
        <v>0.768349909130438</v>
      </c>
      <c r="J3104" t="n">
        <v>0.0003947561307616</v>
      </c>
      <c r="K3104" t="n">
        <v>0.9482055917146488</v>
      </c>
      <c r="L3104" t="b">
        <v>0</v>
      </c>
      <c r="M3104" t="b">
        <v>0</v>
      </c>
      <c r="N3104" t="inlineStr">
        <is>
          <t>alt</t>
        </is>
      </c>
      <c r="O3104" t="n">
        <v>-100</v>
      </c>
      <c r="P3104" t="n">
        <v>0.01116</v>
      </c>
      <c r="Q3104" t="n">
        <v>-45</v>
      </c>
      <c r="R3104" t="n">
        <v>0.05856</v>
      </c>
      <c r="S3104">
        <f>IMAGE("https://mitra.stanford.edu/kundaje/oak/projects/neuro-variants/variant_position/credible/roussos_2024/variant_figures/roussos_2024.childhood.GABA/rs9990663_count_position.png",4,220,900)</f>
        <v/>
      </c>
      <c r="T3104">
        <f>IMAGE("https://mitra.stanford.edu/kundaje/oak/projects/neuro-variants/variant_position/credible/roussos_2024/variant_figures/roussos_2024.childhood.GABA/rs9990663_profile_position.png",4,220,900)</f>
        <v/>
      </c>
    </row>
    <row r="3105">
      <c r="A3105" t="inlineStr">
        <is>
          <t>chr4</t>
        </is>
      </c>
      <c r="B3105" t="n">
        <v>117745510</v>
      </c>
      <c r="C3105" t="inlineStr">
        <is>
          <t>G</t>
        </is>
      </c>
      <c r="D3105" t="inlineStr">
        <is>
          <t>A</t>
        </is>
      </c>
      <c r="E3105" t="inlineStr">
        <is>
          <t>rs2012723</t>
        </is>
      </c>
      <c r="F3105" t="n">
        <v>-0.0724688904</v>
      </c>
      <c r="G3105" t="n">
        <v>0.06548132029250719</v>
      </c>
      <c r="H3105" t="n">
        <v>0.0206555088115221</v>
      </c>
      <c r="I3105" t="n">
        <v>0.06982918384915621</v>
      </c>
      <c r="J3105" t="n">
        <v>0.1027276915666687</v>
      </c>
      <c r="K3105" t="n">
        <v>0.3450007797868187</v>
      </c>
      <c r="L3105" t="b">
        <v>0</v>
      </c>
      <c r="M3105" t="b">
        <v>0</v>
      </c>
      <c r="N3105" t="inlineStr">
        <is>
          <t>ref</t>
        </is>
      </c>
      <c r="O3105" t="n">
        <v>40</v>
      </c>
      <c r="P3105" t="n">
        <v>0.004364</v>
      </c>
      <c r="Q3105" t="n">
        <v>60</v>
      </c>
      <c r="R3105" t="n">
        <v>0.0796</v>
      </c>
      <c r="S3105">
        <f>IMAGE("https://mitra.stanford.edu/kundaje/oak/projects/neuro-variants/variant_position/credible/roussos_2024/variant_figures/roussos_2024.childhood.GABA/rs2012723_count_position.png",4,220,900)</f>
        <v/>
      </c>
      <c r="T3105">
        <f>IMAGE("https://mitra.stanford.edu/kundaje/oak/projects/neuro-variants/variant_position/credible/roussos_2024/variant_figures/roussos_2024.childhood.GABA/rs2012723_profile_position.png",4,220,900)</f>
        <v/>
      </c>
    </row>
    <row r="3106">
      <c r="A3106" t="inlineStr">
        <is>
          <t>chr4</t>
        </is>
      </c>
      <c r="B3106" t="n">
        <v>117755278</v>
      </c>
      <c r="C3106" t="inlineStr">
        <is>
          <t>T</t>
        </is>
      </c>
      <c r="D3106" t="inlineStr">
        <is>
          <t>G</t>
        </is>
      </c>
      <c r="E3106" t="inlineStr">
        <is>
          <t>rs4600992</t>
        </is>
      </c>
      <c r="F3106" t="n">
        <v>-0.0327944565139999</v>
      </c>
      <c r="G3106" t="n">
        <v>0.3190779746185445</v>
      </c>
      <c r="H3106" t="n">
        <v>0.0138068821801162</v>
      </c>
      <c r="I3106" t="n">
        <v>0.2837816088350764</v>
      </c>
      <c r="J3106" t="n">
        <v>0.0174896860798726</v>
      </c>
      <c r="K3106" t="n">
        <v>0.6688288723608915</v>
      </c>
      <c r="L3106" t="b">
        <v>0</v>
      </c>
      <c r="M3106" t="b">
        <v>0</v>
      </c>
      <c r="N3106" t="inlineStr">
        <is>
          <t>ref</t>
        </is>
      </c>
      <c r="O3106" t="n">
        <v>-10</v>
      </c>
      <c r="P3106" t="n">
        <v>0.001495</v>
      </c>
      <c r="Q3106" t="n">
        <v>95</v>
      </c>
      <c r="R3106" t="n">
        <v>0.05927</v>
      </c>
      <c r="S3106">
        <f>IMAGE("https://mitra.stanford.edu/kundaje/oak/projects/neuro-variants/variant_position/credible/roussos_2024/variant_figures/roussos_2024.childhood.GABA/rs4600992_count_position.png",4,220,900)</f>
        <v/>
      </c>
      <c r="T3106">
        <f>IMAGE("https://mitra.stanford.edu/kundaje/oak/projects/neuro-variants/variant_position/credible/roussos_2024/variant_figures/roussos_2024.childhood.GABA/rs4600992_profile_position.png",4,220,900)</f>
        <v/>
      </c>
    </row>
    <row r="3107">
      <c r="A3107" t="inlineStr">
        <is>
          <t>chr4</t>
        </is>
      </c>
      <c r="B3107" t="n">
        <v>117758445</v>
      </c>
      <c r="C3107" t="inlineStr">
        <is>
          <t>C</t>
        </is>
      </c>
      <c r="D3107" t="inlineStr">
        <is>
          <t>T</t>
        </is>
      </c>
      <c r="E3107" t="inlineStr">
        <is>
          <t>rs2169057</t>
        </is>
      </c>
      <c r="F3107" t="n">
        <v>-0.00466896461</v>
      </c>
      <c r="G3107" t="n">
        <v>0.8097035877495694</v>
      </c>
      <c r="H3107" t="n">
        <v>0.009144994007190601</v>
      </c>
      <c r="I3107" t="n">
        <v>0.7261642989294331</v>
      </c>
      <c r="J3107" t="n">
        <v>0.0336715461456304</v>
      </c>
      <c r="K3107" t="n">
        <v>0.6161349804208445</v>
      </c>
      <c r="L3107" t="b">
        <v>0</v>
      </c>
      <c r="M3107" t="b">
        <v>0</v>
      </c>
      <c r="N3107" t="inlineStr">
        <is>
          <t>ref</t>
        </is>
      </c>
      <c r="O3107" t="n">
        <v>60</v>
      </c>
      <c r="P3107" t="n">
        <v>0.0023</v>
      </c>
      <c r="Q3107" t="n">
        <v>-100</v>
      </c>
      <c r="R3107" t="n">
        <v>0.09753000000000001</v>
      </c>
      <c r="S3107">
        <f>IMAGE("https://mitra.stanford.edu/kundaje/oak/projects/neuro-variants/variant_position/credible/roussos_2024/variant_figures/roussos_2024.childhood.GABA/rs2169057_count_position.png",4,220,900)</f>
        <v/>
      </c>
      <c r="T3107">
        <f>IMAGE("https://mitra.stanford.edu/kundaje/oak/projects/neuro-variants/variant_position/credible/roussos_2024/variant_figures/roussos_2024.childhood.GABA/rs2169057_profile_position.png",4,220,900)</f>
        <v/>
      </c>
    </row>
    <row r="3108">
      <c r="A3108" t="inlineStr">
        <is>
          <t>chr4</t>
        </is>
      </c>
      <c r="B3108" t="n">
        <v>117759419</v>
      </c>
      <c r="C3108" t="inlineStr">
        <is>
          <t>T</t>
        </is>
      </c>
      <c r="D3108" t="inlineStr">
        <is>
          <t>C</t>
        </is>
      </c>
      <c r="E3108" t="inlineStr">
        <is>
          <t>rs1540575</t>
        </is>
      </c>
      <c r="F3108" t="n">
        <v>0.0178825052</v>
      </c>
      <c r="G3108" t="n">
        <v>0.4114888887235254</v>
      </c>
      <c r="H3108" t="n">
        <v>0.0107716904853908</v>
      </c>
      <c r="I3108" t="n">
        <v>0.5570672373110808</v>
      </c>
      <c r="J3108" t="n">
        <v>0.0304789428493643</v>
      </c>
      <c r="K3108" t="n">
        <v>0.5828140116638079</v>
      </c>
      <c r="L3108" t="b">
        <v>0</v>
      </c>
      <c r="M3108" t="b">
        <v>0</v>
      </c>
      <c r="N3108" t="inlineStr">
        <is>
          <t>alt</t>
        </is>
      </c>
      <c r="O3108" t="n">
        <v>95</v>
      </c>
      <c r="P3108" t="n">
        <v>0.01007</v>
      </c>
      <c r="Q3108" t="n">
        <v>100</v>
      </c>
      <c r="R3108" t="n">
        <v>0.0674</v>
      </c>
      <c r="S3108">
        <f>IMAGE("https://mitra.stanford.edu/kundaje/oak/projects/neuro-variants/variant_position/credible/roussos_2024/variant_figures/roussos_2024.childhood.GABA/rs1540575_count_position.png",4,220,900)</f>
        <v/>
      </c>
      <c r="T3108">
        <f>IMAGE("https://mitra.stanford.edu/kundaje/oak/projects/neuro-variants/variant_position/credible/roussos_2024/variant_figures/roussos_2024.childhood.GABA/rs1540575_profile_position.png",4,220,900)</f>
        <v/>
      </c>
    </row>
    <row r="3109">
      <c r="A3109" t="inlineStr">
        <is>
          <t>chr4</t>
        </is>
      </c>
      <c r="B3109" t="n">
        <v>117768523</v>
      </c>
      <c r="C3109" t="inlineStr">
        <is>
          <t>G</t>
        </is>
      </c>
      <c r="D3109" t="inlineStr">
        <is>
          <t>A</t>
        </is>
      </c>
      <c r="E3109" t="inlineStr">
        <is>
          <t>rs6857739</t>
        </is>
      </c>
      <c r="F3109" t="n">
        <v>0.0441375422</v>
      </c>
      <c r="G3109" t="n">
        <v>0.1846181111132413</v>
      </c>
      <c r="H3109" t="n">
        <v>0.0242417456147019</v>
      </c>
      <c r="I3109" t="n">
        <v>0.0326962748731262</v>
      </c>
      <c r="J3109" t="n">
        <v>0.0107788318569244</v>
      </c>
      <c r="K3109" t="n">
        <v>0.7337742666466748</v>
      </c>
      <c r="L3109" t="b">
        <v>0</v>
      </c>
      <c r="M3109" t="b">
        <v>0</v>
      </c>
      <c r="N3109" t="inlineStr">
        <is>
          <t>alt</t>
        </is>
      </c>
      <c r="O3109" t="n">
        <v>-65</v>
      </c>
      <c r="P3109" t="n">
        <v>0.01374</v>
      </c>
      <c r="Q3109" t="n">
        <v>75</v>
      </c>
      <c r="R3109" t="n">
        <v>0.073</v>
      </c>
      <c r="S3109">
        <f>IMAGE("https://mitra.stanford.edu/kundaje/oak/projects/neuro-variants/variant_position/credible/roussos_2024/variant_figures/roussos_2024.childhood.GABA/rs6857739_count_position.png",4,220,900)</f>
        <v/>
      </c>
      <c r="T3109">
        <f>IMAGE("https://mitra.stanford.edu/kundaje/oak/projects/neuro-variants/variant_position/credible/roussos_2024/variant_figures/roussos_2024.childhood.GABA/rs6857739_profile_position.png",4,220,900)</f>
        <v/>
      </c>
    </row>
    <row r="3110">
      <c r="A3110" t="inlineStr">
        <is>
          <t>chr4</t>
        </is>
      </c>
      <c r="B3110" t="n">
        <v>117768799</v>
      </c>
      <c r="C3110" t="inlineStr">
        <is>
          <t>G</t>
        </is>
      </c>
      <c r="D3110" t="inlineStr">
        <is>
          <t>A</t>
        </is>
      </c>
      <c r="E3110" t="inlineStr">
        <is>
          <t>rs1350618</t>
        </is>
      </c>
      <c r="F3110" t="n">
        <v>-0.0684522174</v>
      </c>
      <c r="G3110" t="n">
        <v>0.0850074231564311</v>
      </c>
      <c r="H3110" t="n">
        <v>0.0217669918856454</v>
      </c>
      <c r="I3110" t="n">
        <v>0.0531693429345557</v>
      </c>
      <c r="J3110" t="n">
        <v>0.009580951184268299</v>
      </c>
      <c r="K3110" t="n">
        <v>0.7506763809600837</v>
      </c>
      <c r="L3110" t="b">
        <v>0</v>
      </c>
      <c r="M3110" t="b">
        <v>0</v>
      </c>
      <c r="N3110" t="inlineStr">
        <is>
          <t>ref</t>
        </is>
      </c>
      <c r="O3110" t="n">
        <v>85</v>
      </c>
      <c r="P3110" t="n">
        <v>0.01318</v>
      </c>
      <c r="Q3110" t="n">
        <v>-80</v>
      </c>
      <c r="R3110" t="n">
        <v>0.2261</v>
      </c>
      <c r="S3110">
        <f>IMAGE("https://mitra.stanford.edu/kundaje/oak/projects/neuro-variants/variant_position/credible/roussos_2024/variant_figures/roussos_2024.childhood.GABA/rs1350618_count_position.png",4,220,900)</f>
        <v/>
      </c>
      <c r="T3110">
        <f>IMAGE("https://mitra.stanford.edu/kundaje/oak/projects/neuro-variants/variant_position/credible/roussos_2024/variant_figures/roussos_2024.childhood.GABA/rs1350618_profile_position.png",4,220,900)</f>
        <v/>
      </c>
    </row>
    <row r="3111">
      <c r="A3111" t="inlineStr">
        <is>
          <t>chr4</t>
        </is>
      </c>
      <c r="B3111" t="n">
        <v>117771815</v>
      </c>
      <c r="C3111" t="inlineStr">
        <is>
          <t>C</t>
        </is>
      </c>
      <c r="D3111" t="inlineStr">
        <is>
          <t>A</t>
        </is>
      </c>
      <c r="E3111" t="inlineStr">
        <is>
          <t>rs1459538</t>
        </is>
      </c>
      <c r="F3111" t="n">
        <v>0.1985915509999999</v>
      </c>
      <c r="G3111" t="n">
        <v>0.0050521475433932</v>
      </c>
      <c r="H3111" t="n">
        <v>0.08104845884245709</v>
      </c>
      <c r="I3111" t="n">
        <v>0.0004869323756075</v>
      </c>
      <c r="J3111" t="n">
        <v>0.3438870390148897</v>
      </c>
      <c r="K3111" t="n">
        <v>0.1110760837803717</v>
      </c>
      <c r="L3111" t="b">
        <v>1</v>
      </c>
      <c r="M3111" t="b">
        <v>1</v>
      </c>
      <c r="N3111" t="inlineStr">
        <is>
          <t>alt</t>
        </is>
      </c>
      <c r="O3111" t="n">
        <v>-55</v>
      </c>
      <c r="P3111" t="n">
        <v>0.0047</v>
      </c>
      <c r="Q3111" t="n">
        <v>-85</v>
      </c>
      <c r="R3111" t="n">
        <v>0.05078</v>
      </c>
      <c r="S3111">
        <f>IMAGE("https://mitra.stanford.edu/kundaje/oak/projects/neuro-variants/variant_position/credible/roussos_2024/variant_figures/roussos_2024.childhood.GABA/rs1459538_count_position.png",4,220,900)</f>
        <v/>
      </c>
      <c r="T3111">
        <f>IMAGE("https://mitra.stanford.edu/kundaje/oak/projects/neuro-variants/variant_position/credible/roussos_2024/variant_figures/roussos_2024.childhood.GABA/rs1459538_profile_position.png",4,220,900)</f>
        <v/>
      </c>
    </row>
    <row r="3112">
      <c r="A3112" t="inlineStr">
        <is>
          <t>chr4</t>
        </is>
      </c>
      <c r="B3112" t="n">
        <v>117772174</v>
      </c>
      <c r="C3112" t="inlineStr">
        <is>
          <t>A</t>
        </is>
      </c>
      <c r="D3112" t="inlineStr">
        <is>
          <t>C</t>
        </is>
      </c>
      <c r="E3112" t="inlineStr">
        <is>
          <t>rs10011404</t>
        </is>
      </c>
      <c r="F3112" t="n">
        <v>0.0286888477</v>
      </c>
      <c r="G3112" t="n">
        <v>0.3023963142618306</v>
      </c>
      <c r="H3112" t="n">
        <v>0.0169640572737292</v>
      </c>
      <c r="I3112" t="n">
        <v>0.1421952983597136</v>
      </c>
      <c r="J3112" t="n">
        <v>0.4682655860610248</v>
      </c>
      <c r="K3112" t="n">
        <v>0.0610962807980001</v>
      </c>
      <c r="L3112" t="b">
        <v>0</v>
      </c>
      <c r="M3112" t="b">
        <v>0</v>
      </c>
      <c r="N3112" t="inlineStr">
        <is>
          <t>alt</t>
        </is>
      </c>
      <c r="O3112" t="n">
        <v>35</v>
      </c>
      <c r="P3112" t="n">
        <v>0.00757</v>
      </c>
      <c r="Q3112" t="n">
        <v>35</v>
      </c>
      <c r="R3112" t="n">
        <v>0.08594</v>
      </c>
      <c r="S3112">
        <f>IMAGE("https://mitra.stanford.edu/kundaje/oak/projects/neuro-variants/variant_position/credible/roussos_2024/variant_figures/roussos_2024.childhood.GABA/rs10011404_count_position.png",4,220,900)</f>
        <v/>
      </c>
      <c r="T3112">
        <f>IMAGE("https://mitra.stanford.edu/kundaje/oak/projects/neuro-variants/variant_position/credible/roussos_2024/variant_figures/roussos_2024.childhood.GABA/rs10011404_profile_position.png",4,220,900)</f>
        <v/>
      </c>
    </row>
    <row r="3113">
      <c r="A3113" t="inlineStr">
        <is>
          <t>chr4</t>
        </is>
      </c>
      <c r="B3113" t="n">
        <v>117772414</v>
      </c>
      <c r="C3113" t="inlineStr">
        <is>
          <t>A</t>
        </is>
      </c>
      <c r="D3113" t="inlineStr">
        <is>
          <t>G</t>
        </is>
      </c>
      <c r="E3113" t="inlineStr">
        <is>
          <t>rs17867553</t>
        </is>
      </c>
      <c r="F3113" t="n">
        <v>0.128049266</v>
      </c>
      <c r="G3113" t="n">
        <v>0.0159842581055375</v>
      </c>
      <c r="H3113" t="n">
        <v>0.0160778333218132</v>
      </c>
      <c r="I3113" t="n">
        <v>0.1817471851809385</v>
      </c>
      <c r="J3113" t="n">
        <v>0.4793679713513853</v>
      </c>
      <c r="K3113" t="n">
        <v>0.0579894656230991</v>
      </c>
      <c r="L3113" t="b">
        <v>1</v>
      </c>
      <c r="M3113" t="b">
        <v>0</v>
      </c>
      <c r="N3113" t="inlineStr">
        <is>
          <t>alt</t>
        </is>
      </c>
      <c r="O3113" t="n">
        <v>-85</v>
      </c>
      <c r="P3113" t="n">
        <v>0.01434</v>
      </c>
      <c r="Q3113" t="n">
        <v>-85</v>
      </c>
      <c r="R3113" t="n">
        <v>0.06884999999999999</v>
      </c>
      <c r="S3113">
        <f>IMAGE("https://mitra.stanford.edu/kundaje/oak/projects/neuro-variants/variant_position/credible/roussos_2024/variant_figures/roussos_2024.childhood.GABA/rs17867553_count_position.png",4,220,900)</f>
        <v/>
      </c>
      <c r="T3113">
        <f>IMAGE("https://mitra.stanford.edu/kundaje/oak/projects/neuro-variants/variant_position/credible/roussos_2024/variant_figures/roussos_2024.childhood.GABA/rs17867553_profile_position.png",4,220,900)</f>
        <v/>
      </c>
    </row>
    <row r="3114">
      <c r="A3114" t="inlineStr">
        <is>
          <t>chr4</t>
        </is>
      </c>
      <c r="B3114" t="n">
        <v>117773188</v>
      </c>
      <c r="C3114" t="inlineStr">
        <is>
          <t>G</t>
        </is>
      </c>
      <c r="D3114" t="inlineStr">
        <is>
          <t>T</t>
        </is>
      </c>
      <c r="E3114" t="inlineStr">
        <is>
          <t>rs1459540</t>
        </is>
      </c>
      <c r="F3114" t="n">
        <v>-0.0476631658</v>
      </c>
      <c r="G3114" t="n">
        <v>0.1687331675200467</v>
      </c>
      <c r="H3114" t="n">
        <v>0.0118898591642813</v>
      </c>
      <c r="I3114" t="n">
        <v>0.4477735971192073</v>
      </c>
      <c r="J3114" t="n">
        <v>0.127170111620699</v>
      </c>
      <c r="K3114" t="n">
        <v>0.3039021590773386</v>
      </c>
      <c r="L3114" t="b">
        <v>0</v>
      </c>
      <c r="M3114" t="b">
        <v>0</v>
      </c>
      <c r="N3114" t="inlineStr">
        <is>
          <t>ref</t>
        </is>
      </c>
      <c r="O3114" t="n">
        <v>5</v>
      </c>
      <c r="P3114" t="n">
        <v>4.34e-05</v>
      </c>
      <c r="Q3114" t="n">
        <v>-45</v>
      </c>
      <c r="R3114" t="n">
        <v>0.06665</v>
      </c>
      <c r="S3114">
        <f>IMAGE("https://mitra.stanford.edu/kundaje/oak/projects/neuro-variants/variant_position/credible/roussos_2024/variant_figures/roussos_2024.childhood.GABA/rs1459540_count_position.png",4,220,900)</f>
        <v/>
      </c>
      <c r="T3114">
        <f>IMAGE("https://mitra.stanford.edu/kundaje/oak/projects/neuro-variants/variant_position/credible/roussos_2024/variant_figures/roussos_2024.childhood.GABA/rs1459540_profile_position.png",4,220,900)</f>
        <v/>
      </c>
    </row>
    <row r="3115">
      <c r="A3115" t="inlineStr">
        <is>
          <t>chr4</t>
        </is>
      </c>
      <c r="B3115" t="n">
        <v>117776551</v>
      </c>
      <c r="C3115" t="inlineStr">
        <is>
          <t>G</t>
        </is>
      </c>
      <c r="D3115" t="inlineStr">
        <is>
          <t>A</t>
        </is>
      </c>
      <c r="E3115" t="inlineStr">
        <is>
          <t>rs17861256</t>
        </is>
      </c>
      <c r="F3115" t="n">
        <v>0.039801279</v>
      </c>
      <c r="G3115" t="n">
        <v>0.2025595839501157</v>
      </c>
      <c r="H3115" t="n">
        <v>0.0297187738019939</v>
      </c>
      <c r="I3115" t="n">
        <v>0.0132338543636054</v>
      </c>
      <c r="J3115" t="n">
        <v>0.0018565056229188</v>
      </c>
      <c r="K3115" t="n">
        <v>0.8831229400812424</v>
      </c>
      <c r="L3115" t="b">
        <v>0</v>
      </c>
      <c r="M3115" t="b">
        <v>0</v>
      </c>
      <c r="N3115" t="inlineStr">
        <is>
          <t>alt</t>
        </is>
      </c>
      <c r="O3115" t="n">
        <v>90</v>
      </c>
      <c r="P3115" t="n">
        <v>0.00588</v>
      </c>
      <c r="Q3115" t="n">
        <v>-15</v>
      </c>
      <c r="R3115" t="n">
        <v>0.03107</v>
      </c>
      <c r="S3115">
        <f>IMAGE("https://mitra.stanford.edu/kundaje/oak/projects/neuro-variants/variant_position/credible/roussos_2024/variant_figures/roussos_2024.childhood.GABA/rs17861256_count_position.png",4,220,900)</f>
        <v/>
      </c>
      <c r="T3115">
        <f>IMAGE("https://mitra.stanford.edu/kundaje/oak/projects/neuro-variants/variant_position/credible/roussos_2024/variant_figures/roussos_2024.childhood.GABA/rs17861256_profile_position.png",4,220,900)</f>
        <v/>
      </c>
    </row>
    <row r="3116">
      <c r="A3116" t="inlineStr">
        <is>
          <t>chr4</t>
        </is>
      </c>
      <c r="B3116" t="n">
        <v>117778480</v>
      </c>
      <c r="C3116" t="inlineStr">
        <is>
          <t>G</t>
        </is>
      </c>
      <c r="D3116" t="inlineStr">
        <is>
          <t>A</t>
        </is>
      </c>
      <c r="E3116" t="inlineStr">
        <is>
          <t>rs1350616</t>
        </is>
      </c>
      <c r="F3116" t="n">
        <v>-0.0069025142399999</v>
      </c>
      <c r="G3116" t="n">
        <v>0.7365970631032159</v>
      </c>
      <c r="H3116" t="n">
        <v>0.0208756566926527</v>
      </c>
      <c r="I3116" t="n">
        <v>0.0624343189277285</v>
      </c>
      <c r="J3116" t="n">
        <v>0.007121316831061</v>
      </c>
      <c r="K3116" t="n">
        <v>0.7934568167472583</v>
      </c>
      <c r="L3116" t="b">
        <v>0</v>
      </c>
      <c r="M3116" t="b">
        <v>0</v>
      </c>
      <c r="N3116" t="inlineStr">
        <is>
          <t>ref</t>
        </is>
      </c>
      <c r="O3116" t="n">
        <v>-85</v>
      </c>
      <c r="P3116" t="n">
        <v>0.004086</v>
      </c>
      <c r="Q3116" t="n">
        <v>-80</v>
      </c>
      <c r="R3116" t="n">
        <v>0.1334</v>
      </c>
      <c r="S3116">
        <f>IMAGE("https://mitra.stanford.edu/kundaje/oak/projects/neuro-variants/variant_position/credible/roussos_2024/variant_figures/roussos_2024.childhood.GABA/rs1350616_count_position.png",4,220,900)</f>
        <v/>
      </c>
      <c r="T3116">
        <f>IMAGE("https://mitra.stanford.edu/kundaje/oak/projects/neuro-variants/variant_position/credible/roussos_2024/variant_figures/roussos_2024.childhood.GABA/rs1350616_profile_position.png",4,220,900)</f>
        <v/>
      </c>
    </row>
    <row r="3117">
      <c r="A3117" t="inlineStr">
        <is>
          <t>chr4</t>
        </is>
      </c>
      <c r="B3117" t="n">
        <v>117781119</v>
      </c>
      <c r="C3117" t="inlineStr">
        <is>
          <t>C</t>
        </is>
      </c>
      <c r="D3117" t="inlineStr">
        <is>
          <t>A</t>
        </is>
      </c>
      <c r="E3117" t="inlineStr">
        <is>
          <t>rs4295331</t>
        </is>
      </c>
      <c r="F3117" t="n">
        <v>-0.0012826962</v>
      </c>
      <c r="G3117" t="n">
        <v>0.8252590971114825</v>
      </c>
      <c r="H3117" t="n">
        <v>0.0181069415825543</v>
      </c>
      <c r="I3117" t="n">
        <v>0.1190971620696302</v>
      </c>
      <c r="J3117" t="n">
        <v>9.319176561744716e-05</v>
      </c>
      <c r="K3117" t="n">
        <v>0.9782980537469044</v>
      </c>
      <c r="L3117" t="b">
        <v>0</v>
      </c>
      <c r="M3117" t="b">
        <v>0</v>
      </c>
      <c r="N3117" t="inlineStr">
        <is>
          <t>ref</t>
        </is>
      </c>
      <c r="O3117" t="n">
        <v>60</v>
      </c>
      <c r="P3117" t="n">
        <v>0.001602</v>
      </c>
      <c r="Q3117" t="n">
        <v>-30</v>
      </c>
      <c r="R3117" t="n">
        <v>0.0443</v>
      </c>
      <c r="S3117">
        <f>IMAGE("https://mitra.stanford.edu/kundaje/oak/projects/neuro-variants/variant_position/credible/roussos_2024/variant_figures/roussos_2024.childhood.GABA/rs4295331_count_position.png",4,220,900)</f>
        <v/>
      </c>
      <c r="T3117">
        <f>IMAGE("https://mitra.stanford.edu/kundaje/oak/projects/neuro-variants/variant_position/credible/roussos_2024/variant_figures/roussos_2024.childhood.GABA/rs4295331_profile_position.png",4,220,900)</f>
        <v/>
      </c>
    </row>
    <row r="3118">
      <c r="A3118" t="inlineStr">
        <is>
          <t>chr4</t>
        </is>
      </c>
      <c r="B3118" t="n">
        <v>117782152</v>
      </c>
      <c r="C3118" t="inlineStr">
        <is>
          <t>C</t>
        </is>
      </c>
      <c r="D3118" t="inlineStr">
        <is>
          <t>T</t>
        </is>
      </c>
      <c r="E3118" t="inlineStr">
        <is>
          <t>rs1380370</t>
        </is>
      </c>
      <c r="F3118" t="n">
        <v>0.00096223595</v>
      </c>
      <c r="G3118" t="n">
        <v>0.8258016351637285</v>
      </c>
      <c r="H3118" t="n">
        <v>0.0221219088287071</v>
      </c>
      <c r="I3118" t="n">
        <v>0.0498959895084897</v>
      </c>
      <c r="J3118" t="n">
        <v>0.0003989445247219</v>
      </c>
      <c r="K3118" t="n">
        <v>0.9502696079943558</v>
      </c>
      <c r="L3118" t="b">
        <v>0</v>
      </c>
      <c r="M3118" t="b">
        <v>0</v>
      </c>
      <c r="N3118" t="inlineStr">
        <is>
          <t>alt</t>
        </is>
      </c>
      <c r="O3118" t="n">
        <v>-100</v>
      </c>
      <c r="P3118" t="n">
        <v>0.005157</v>
      </c>
      <c r="Q3118" t="n">
        <v>65</v>
      </c>
      <c r="R3118" t="n">
        <v>0.05493</v>
      </c>
      <c r="S3118">
        <f>IMAGE("https://mitra.stanford.edu/kundaje/oak/projects/neuro-variants/variant_position/credible/roussos_2024/variant_figures/roussos_2024.childhood.GABA/rs1380370_count_position.png",4,220,900)</f>
        <v/>
      </c>
      <c r="T3118">
        <f>IMAGE("https://mitra.stanford.edu/kundaje/oak/projects/neuro-variants/variant_position/credible/roussos_2024/variant_figures/roussos_2024.childhood.GABA/rs1380370_profile_position.png",4,220,900)</f>
        <v/>
      </c>
    </row>
    <row r="3119">
      <c r="A3119" t="inlineStr">
        <is>
          <t>chr4</t>
        </is>
      </c>
      <c r="B3119" t="n">
        <v>117783014</v>
      </c>
      <c r="C3119" t="inlineStr">
        <is>
          <t>G</t>
        </is>
      </c>
      <c r="D3119" t="inlineStr">
        <is>
          <t>A</t>
        </is>
      </c>
      <c r="E3119" t="inlineStr">
        <is>
          <t>rs4516794</t>
        </is>
      </c>
      <c r="F3119" t="n">
        <v>-0.0619127986</v>
      </c>
      <c r="G3119" t="n">
        <v>0.0929619222348716</v>
      </c>
      <c r="H3119" t="n">
        <v>0.0178736403823789</v>
      </c>
      <c r="I3119" t="n">
        <v>0.1189841735297647</v>
      </c>
      <c r="J3119" t="n">
        <v>0.0106343322652928</v>
      </c>
      <c r="K3119" t="n">
        <v>0.7468330822367366</v>
      </c>
      <c r="L3119" t="b">
        <v>0</v>
      </c>
      <c r="M3119" t="b">
        <v>0</v>
      </c>
      <c r="N3119" t="inlineStr">
        <is>
          <t>ref</t>
        </is>
      </c>
      <c r="O3119" t="n">
        <v>100</v>
      </c>
      <c r="P3119" t="n">
        <v>0.003212</v>
      </c>
      <c r="Q3119" t="n">
        <v>25</v>
      </c>
      <c r="R3119" t="n">
        <v>0.009339999999999999</v>
      </c>
      <c r="S3119">
        <f>IMAGE("https://mitra.stanford.edu/kundaje/oak/projects/neuro-variants/variant_position/credible/roussos_2024/variant_figures/roussos_2024.childhood.GABA/rs4516794_count_position.png",4,220,900)</f>
        <v/>
      </c>
      <c r="T3119">
        <f>IMAGE("https://mitra.stanford.edu/kundaje/oak/projects/neuro-variants/variant_position/credible/roussos_2024/variant_figures/roussos_2024.childhood.GABA/rs4516794_profile_position.png",4,220,900)</f>
        <v/>
      </c>
    </row>
    <row r="3120">
      <c r="A3120" t="inlineStr">
        <is>
          <t>chr4</t>
        </is>
      </c>
      <c r="B3120" t="n">
        <v>117784084</v>
      </c>
      <c r="C3120" t="inlineStr">
        <is>
          <t>G</t>
        </is>
      </c>
      <c r="D3120" t="inlineStr">
        <is>
          <t>C</t>
        </is>
      </c>
      <c r="E3120" t="inlineStr">
        <is>
          <t>rs4568305</t>
        </is>
      </c>
      <c r="F3120" t="n">
        <v>0.0541104261999999</v>
      </c>
      <c r="G3120" t="n">
        <v>0.1409821613724559</v>
      </c>
      <c r="H3120" t="n">
        <v>0.0150731749348621</v>
      </c>
      <c r="I3120" t="n">
        <v>0.2205704110384154</v>
      </c>
      <c r="J3120" t="n">
        <v>0.0562134824401582</v>
      </c>
      <c r="K3120" t="n">
        <v>0.4648265884995308</v>
      </c>
      <c r="L3120" t="b">
        <v>0</v>
      </c>
      <c r="M3120" t="b">
        <v>0</v>
      </c>
      <c r="N3120" t="inlineStr">
        <is>
          <t>alt</t>
        </is>
      </c>
      <c r="O3120" t="n">
        <v>-100</v>
      </c>
      <c r="P3120" t="n">
        <v>0.0177</v>
      </c>
      <c r="Q3120" t="n">
        <v>-100</v>
      </c>
      <c r="R3120" t="n">
        <v>0.267</v>
      </c>
      <c r="S3120">
        <f>IMAGE("https://mitra.stanford.edu/kundaje/oak/projects/neuro-variants/variant_position/credible/roussos_2024/variant_figures/roussos_2024.childhood.GABA/rs4568305_count_position.png",4,220,900)</f>
        <v/>
      </c>
      <c r="T3120">
        <f>IMAGE("https://mitra.stanford.edu/kundaje/oak/projects/neuro-variants/variant_position/credible/roussos_2024/variant_figures/roussos_2024.childhood.GABA/rs4568305_profile_position.png",4,220,900)</f>
        <v/>
      </c>
    </row>
    <row r="3121">
      <c r="A3121" t="inlineStr">
        <is>
          <t>chr4</t>
        </is>
      </c>
      <c r="B3121" t="n">
        <v>117785060</v>
      </c>
      <c r="C3121" t="inlineStr">
        <is>
          <t>C</t>
        </is>
      </c>
      <c r="D3121" t="inlineStr">
        <is>
          <t>A</t>
        </is>
      </c>
      <c r="E3121" t="inlineStr">
        <is>
          <t>rs7661175</t>
        </is>
      </c>
      <c r="F3121" t="n">
        <v>-0.008466986080000001</v>
      </c>
      <c r="G3121" t="n">
        <v>0.6825427995975761</v>
      </c>
      <c r="H3121" t="n">
        <v>0.0210677328618394</v>
      </c>
      <c r="I3121" t="n">
        <v>0.0601670303912163</v>
      </c>
      <c r="J3121" t="n">
        <v>1.780067433142762e-05</v>
      </c>
      <c r="K3121" t="n">
        <v>0.999647254551155</v>
      </c>
      <c r="L3121" t="b">
        <v>0</v>
      </c>
      <c r="M3121" t="b">
        <v>0</v>
      </c>
      <c r="N3121" t="inlineStr">
        <is>
          <t>ref</t>
        </is>
      </c>
      <c r="O3121" t="n">
        <v>-35</v>
      </c>
      <c r="P3121" t="n">
        <v>0.004345</v>
      </c>
      <c r="Q3121" t="n">
        <v>20</v>
      </c>
      <c r="R3121" t="n">
        <v>0.00319</v>
      </c>
      <c r="S3121">
        <f>IMAGE("https://mitra.stanford.edu/kundaje/oak/projects/neuro-variants/variant_position/credible/roussos_2024/variant_figures/roussos_2024.childhood.GABA/rs7661175_count_position.png",4,220,900)</f>
        <v/>
      </c>
      <c r="T3121">
        <f>IMAGE("https://mitra.stanford.edu/kundaje/oak/projects/neuro-variants/variant_position/credible/roussos_2024/variant_figures/roussos_2024.childhood.GABA/rs7661175_profile_position.png",4,220,900)</f>
        <v/>
      </c>
    </row>
    <row r="3122">
      <c r="A3122" t="inlineStr">
        <is>
          <t>chr4</t>
        </is>
      </c>
      <c r="B3122" t="n">
        <v>117805467</v>
      </c>
      <c r="C3122" t="inlineStr">
        <is>
          <t>G</t>
        </is>
      </c>
      <c r="D3122" t="inlineStr">
        <is>
          <t>A</t>
        </is>
      </c>
      <c r="E3122" t="inlineStr">
        <is>
          <t>rs1350617</t>
        </is>
      </c>
      <c r="F3122" t="n">
        <v>-0.08979733199999999</v>
      </c>
      <c r="G3122" t="n">
        <v>0.0427565177577147</v>
      </c>
      <c r="H3122" t="n">
        <v>0.0160266087066183</v>
      </c>
      <c r="I3122" t="n">
        <v>0.1794666498943573</v>
      </c>
      <c r="J3122" t="n">
        <v>0.043916357772612</v>
      </c>
      <c r="K3122" t="n">
        <v>0.5073112160504302</v>
      </c>
      <c r="L3122" t="b">
        <v>0</v>
      </c>
      <c r="M3122" t="b">
        <v>0</v>
      </c>
      <c r="N3122" t="inlineStr">
        <is>
          <t>ref</t>
        </is>
      </c>
      <c r="O3122" t="n">
        <v>-75</v>
      </c>
      <c r="P3122" t="n">
        <v>0.00316</v>
      </c>
      <c r="Q3122" t="n">
        <v>-40</v>
      </c>
      <c r="R3122" t="n">
        <v>0.07240000000000001</v>
      </c>
      <c r="S3122">
        <f>IMAGE("https://mitra.stanford.edu/kundaje/oak/projects/neuro-variants/variant_position/credible/roussos_2024/variant_figures/roussos_2024.childhood.GABA/rs1350617_count_position.png",4,220,900)</f>
        <v/>
      </c>
      <c r="T3122">
        <f>IMAGE("https://mitra.stanford.edu/kundaje/oak/projects/neuro-variants/variant_position/credible/roussos_2024/variant_figures/roussos_2024.childhood.GABA/rs1350617_profile_position.png",4,220,900)</f>
        <v/>
      </c>
    </row>
    <row r="3123">
      <c r="A3123" t="inlineStr">
        <is>
          <t>chr4</t>
        </is>
      </c>
      <c r="B3123" t="n">
        <v>117806257</v>
      </c>
      <c r="C3123" t="inlineStr">
        <is>
          <t>A</t>
        </is>
      </c>
      <c r="D3123" t="inlineStr">
        <is>
          <t>G</t>
        </is>
      </c>
      <c r="E3123" t="inlineStr">
        <is>
          <t>rs17863939</t>
        </is>
      </c>
      <c r="F3123" t="n">
        <v>-0.103793675</v>
      </c>
      <c r="G3123" t="n">
        <v>0.0301755057500029</v>
      </c>
      <c r="H3123" t="n">
        <v>0.0258795188555779</v>
      </c>
      <c r="I3123" t="n">
        <v>0.0270062404769933</v>
      </c>
      <c r="J3123" t="n">
        <v>0.07086343741492319</v>
      </c>
      <c r="K3123" t="n">
        <v>0.4262515815320407</v>
      </c>
      <c r="L3123" t="b">
        <v>0</v>
      </c>
      <c r="M3123" t="b">
        <v>0</v>
      </c>
      <c r="N3123" t="inlineStr">
        <is>
          <t>ref</t>
        </is>
      </c>
      <c r="O3123" t="n">
        <v>-25</v>
      </c>
      <c r="P3123" t="n">
        <v>0.005108</v>
      </c>
      <c r="Q3123" t="n">
        <v>100</v>
      </c>
      <c r="R3123" t="n">
        <v>0.04187</v>
      </c>
      <c r="S3123">
        <f>IMAGE("https://mitra.stanford.edu/kundaje/oak/projects/neuro-variants/variant_position/credible/roussos_2024/variant_figures/roussos_2024.childhood.GABA/rs17863939_count_position.png",4,220,900)</f>
        <v/>
      </c>
      <c r="T3123">
        <f>IMAGE("https://mitra.stanford.edu/kundaje/oak/projects/neuro-variants/variant_position/credible/roussos_2024/variant_figures/roussos_2024.childhood.GABA/rs17863939_profile_position.png",4,220,900)</f>
        <v/>
      </c>
    </row>
    <row r="3124">
      <c r="A3124" t="inlineStr">
        <is>
          <t>chr4</t>
        </is>
      </c>
      <c r="B3124" t="n">
        <v>117807611</v>
      </c>
      <c r="C3124" t="inlineStr">
        <is>
          <t>A</t>
        </is>
      </c>
      <c r="D3124" t="inlineStr">
        <is>
          <t>G</t>
        </is>
      </c>
      <c r="E3124" t="inlineStr">
        <is>
          <t>rs9995094</t>
        </is>
      </c>
      <c r="F3124" t="n">
        <v>-0.00645233242</v>
      </c>
      <c r="G3124" t="n">
        <v>0.7543494338406111</v>
      </c>
      <c r="H3124" t="n">
        <v>0.0112751491825361</v>
      </c>
      <c r="I3124" t="n">
        <v>0.4695331429796142</v>
      </c>
      <c r="J3124" t="n">
        <v>0.0086909174676969</v>
      </c>
      <c r="K3124" t="n">
        <v>0.759370849946623</v>
      </c>
      <c r="L3124" t="b">
        <v>0</v>
      </c>
      <c r="M3124" t="b">
        <v>0</v>
      </c>
      <c r="N3124" t="inlineStr">
        <is>
          <t>ref</t>
        </is>
      </c>
      <c r="O3124" t="n">
        <v>-30</v>
      </c>
      <c r="P3124" t="n">
        <v>0.003334</v>
      </c>
      <c r="Q3124" t="n">
        <v>-100</v>
      </c>
      <c r="R3124" t="n">
        <v>0.09576</v>
      </c>
      <c r="S3124">
        <f>IMAGE("https://mitra.stanford.edu/kundaje/oak/projects/neuro-variants/variant_position/credible/roussos_2024/variant_figures/roussos_2024.childhood.GABA/rs9995094_count_position.png",4,220,900)</f>
        <v/>
      </c>
      <c r="T3124">
        <f>IMAGE("https://mitra.stanford.edu/kundaje/oak/projects/neuro-variants/variant_position/credible/roussos_2024/variant_figures/roussos_2024.childhood.GABA/rs9995094_profile_position.png",4,220,900)</f>
        <v/>
      </c>
    </row>
    <row r="3125">
      <c r="A3125" t="inlineStr">
        <is>
          <t>chr4</t>
        </is>
      </c>
      <c r="B3125" t="n">
        <v>117812502</v>
      </c>
      <c r="C3125" t="inlineStr">
        <is>
          <t>C</t>
        </is>
      </c>
      <c r="D3125" t="inlineStr">
        <is>
          <t>A</t>
        </is>
      </c>
      <c r="E3125" t="inlineStr">
        <is>
          <t>rs17865121</t>
        </is>
      </c>
      <c r="F3125" t="n">
        <v>0.157965536</v>
      </c>
      <c r="G3125" t="n">
        <v>0.0106378562695873</v>
      </c>
      <c r="H3125" t="n">
        <v>0.0328608876518524</v>
      </c>
      <c r="I3125" t="n">
        <v>0.0105493383596777</v>
      </c>
      <c r="J3125" t="n">
        <v>0.0448964419593306</v>
      </c>
      <c r="K3125" t="n">
        <v>0.5071700664830756</v>
      </c>
      <c r="L3125" t="b">
        <v>1</v>
      </c>
      <c r="M3125" t="b">
        <v>0</v>
      </c>
      <c r="N3125" t="inlineStr">
        <is>
          <t>alt</t>
        </is>
      </c>
      <c r="O3125" t="n">
        <v>-35</v>
      </c>
      <c r="P3125" t="n">
        <v>0.003588</v>
      </c>
      <c r="Q3125" t="n">
        <v>100</v>
      </c>
      <c r="R3125" t="n">
        <v>0.1943</v>
      </c>
      <c r="S3125">
        <f>IMAGE("https://mitra.stanford.edu/kundaje/oak/projects/neuro-variants/variant_position/credible/roussos_2024/variant_figures/roussos_2024.childhood.GABA/rs17865121_count_position.png",4,220,900)</f>
        <v/>
      </c>
      <c r="T3125">
        <f>IMAGE("https://mitra.stanford.edu/kundaje/oak/projects/neuro-variants/variant_position/credible/roussos_2024/variant_figures/roussos_2024.childhood.GABA/rs17865121_profile_position.png",4,220,900)</f>
        <v/>
      </c>
    </row>
    <row r="3126">
      <c r="A3126" t="inlineStr">
        <is>
          <t>chr4</t>
        </is>
      </c>
      <c r="B3126" t="n">
        <v>117815750</v>
      </c>
      <c r="C3126" t="inlineStr">
        <is>
          <t>G</t>
        </is>
      </c>
      <c r="D3126" t="inlineStr">
        <is>
          <t>C</t>
        </is>
      </c>
      <c r="E3126" t="inlineStr">
        <is>
          <t>rs6824201</t>
        </is>
      </c>
      <c r="F3126" t="n">
        <v>0.0984850476</v>
      </c>
      <c r="G3126" t="n">
        <v>0.0438706618390812</v>
      </c>
      <c r="H3126" t="n">
        <v>0.0188568465818578</v>
      </c>
      <c r="I3126" t="n">
        <v>0.1152947488007523</v>
      </c>
      <c r="J3126" t="n">
        <v>0.008731754308810199</v>
      </c>
      <c r="K3126" t="n">
        <v>0.7629679969406883</v>
      </c>
      <c r="L3126" t="b">
        <v>0</v>
      </c>
      <c r="M3126" t="b">
        <v>0</v>
      </c>
      <c r="N3126" t="inlineStr">
        <is>
          <t>alt</t>
        </is>
      </c>
      <c r="O3126" t="n">
        <v>100</v>
      </c>
      <c r="P3126" t="n">
        <v>0.004578</v>
      </c>
      <c r="Q3126" t="n">
        <v>-50</v>
      </c>
      <c r="R3126" t="n">
        <v>0.05078</v>
      </c>
      <c r="S3126">
        <f>IMAGE("https://mitra.stanford.edu/kundaje/oak/projects/neuro-variants/variant_position/credible/roussos_2024/variant_figures/roussos_2024.childhood.GABA/rs6824201_count_position.png",4,220,900)</f>
        <v/>
      </c>
      <c r="T3126">
        <f>IMAGE("https://mitra.stanford.edu/kundaje/oak/projects/neuro-variants/variant_position/credible/roussos_2024/variant_figures/roussos_2024.childhood.GABA/rs6824201_profile_position.png",4,220,900)</f>
        <v/>
      </c>
    </row>
    <row r="3127">
      <c r="A3127" t="inlineStr">
        <is>
          <t>chr4</t>
        </is>
      </c>
      <c r="B3127" t="n">
        <v>117825076</v>
      </c>
      <c r="C3127" t="inlineStr">
        <is>
          <t>A</t>
        </is>
      </c>
      <c r="D3127" t="inlineStr">
        <is>
          <t>C</t>
        </is>
      </c>
      <c r="E3127" t="inlineStr">
        <is>
          <t>rs1459530</t>
        </is>
      </c>
      <c r="F3127" t="n">
        <v>-0.000593349516</v>
      </c>
      <c r="G3127" t="n">
        <v>0.6492448078626751</v>
      </c>
      <c r="H3127" t="n">
        <v>0.0156621273969949</v>
      </c>
      <c r="I3127" t="n">
        <v>0.1898362795624309</v>
      </c>
      <c r="J3127" t="n">
        <v>0.07928315637368839</v>
      </c>
      <c r="K3127" t="n">
        <v>0.3982444002829124</v>
      </c>
      <c r="L3127" t="b">
        <v>0</v>
      </c>
      <c r="M3127" t="b">
        <v>0</v>
      </c>
      <c r="N3127" t="inlineStr">
        <is>
          <t>ref</t>
        </is>
      </c>
      <c r="O3127" t="n">
        <v>-90</v>
      </c>
      <c r="P3127" t="n">
        <v>0.01328</v>
      </c>
      <c r="Q3127" t="n">
        <v>50</v>
      </c>
      <c r="R3127" t="n">
        <v>0.02466</v>
      </c>
      <c r="S3127">
        <f>IMAGE("https://mitra.stanford.edu/kundaje/oak/projects/neuro-variants/variant_position/credible/roussos_2024/variant_figures/roussos_2024.childhood.GABA/rs1459530_count_position.png",4,220,900)</f>
        <v/>
      </c>
      <c r="T3127">
        <f>IMAGE("https://mitra.stanford.edu/kundaje/oak/projects/neuro-variants/variant_position/credible/roussos_2024/variant_figures/roussos_2024.childhood.GABA/rs1459530_profile_position.png",4,220,900)</f>
        <v/>
      </c>
    </row>
    <row r="3128">
      <c r="A3128" t="inlineStr">
        <is>
          <t>chr4</t>
        </is>
      </c>
      <c r="B3128" t="n">
        <v>117833987</v>
      </c>
      <c r="C3128" t="inlineStr">
        <is>
          <t>T</t>
        </is>
      </c>
      <c r="D3128" t="inlineStr">
        <is>
          <t>C</t>
        </is>
      </c>
      <c r="E3128" t="inlineStr">
        <is>
          <t>rs4834639</t>
        </is>
      </c>
      <c r="F3128" t="n">
        <v>0.0458612714</v>
      </c>
      <c r="G3128" t="n">
        <v>0.1612624465071696</v>
      </c>
      <c r="H3128" t="n">
        <v>0.0194429337880541</v>
      </c>
      <c r="I3128" t="n">
        <v>0.0848196367071031</v>
      </c>
      <c r="J3128" t="n">
        <v>0.1046459760005025</v>
      </c>
      <c r="K3128" t="n">
        <v>0.3569508793332125</v>
      </c>
      <c r="L3128" t="b">
        <v>0</v>
      </c>
      <c r="M3128" t="b">
        <v>0</v>
      </c>
      <c r="N3128" t="inlineStr">
        <is>
          <t>alt</t>
        </is>
      </c>
      <c r="O3128" t="n">
        <v>100</v>
      </c>
      <c r="P3128" t="n">
        <v>0.002811</v>
      </c>
      <c r="Q3128" t="n">
        <v>-65</v>
      </c>
      <c r="R3128" t="n">
        <v>0.04022</v>
      </c>
      <c r="S3128">
        <f>IMAGE("https://mitra.stanford.edu/kundaje/oak/projects/neuro-variants/variant_position/credible/roussos_2024/variant_figures/roussos_2024.childhood.GABA/rs4834639_count_position.png",4,220,900)</f>
        <v/>
      </c>
      <c r="T3128">
        <f>IMAGE("https://mitra.stanford.edu/kundaje/oak/projects/neuro-variants/variant_position/credible/roussos_2024/variant_figures/roussos_2024.childhood.GABA/rs4834639_profile_position.png",4,220,900)</f>
        <v/>
      </c>
    </row>
    <row r="3129">
      <c r="A3129" t="inlineStr">
        <is>
          <t>chr4</t>
        </is>
      </c>
      <c r="B3129" t="n">
        <v>117861630</v>
      </c>
      <c r="C3129" t="inlineStr">
        <is>
          <t>C</t>
        </is>
      </c>
      <c r="D3129" t="inlineStr">
        <is>
          <t>A</t>
        </is>
      </c>
      <c r="E3129" t="inlineStr">
        <is>
          <t>rs4377658</t>
        </is>
      </c>
      <c r="F3129" t="n">
        <v>0.00109563818</v>
      </c>
      <c r="G3129" t="n">
        <v>0.7742342785135321</v>
      </c>
      <c r="H3129" t="n">
        <v>0.0298917531396106</v>
      </c>
      <c r="I3129" t="n">
        <v>0.012869450273799</v>
      </c>
      <c r="J3129" t="n">
        <v>0.001921425729304</v>
      </c>
      <c r="K3129" t="n">
        <v>0.8798894831687024</v>
      </c>
      <c r="L3129" t="b">
        <v>0</v>
      </c>
      <c r="M3129" t="b">
        <v>0</v>
      </c>
      <c r="N3129" t="inlineStr">
        <is>
          <t>alt</t>
        </is>
      </c>
      <c r="O3129" t="n">
        <v>100</v>
      </c>
      <c r="P3129" t="n">
        <v>0.0006713999999999999</v>
      </c>
      <c r="Q3129" t="n">
        <v>-100</v>
      </c>
      <c r="R3129" t="n">
        <v>0.07635</v>
      </c>
      <c r="S3129">
        <f>IMAGE("https://mitra.stanford.edu/kundaje/oak/projects/neuro-variants/variant_position/credible/roussos_2024/variant_figures/roussos_2024.childhood.GABA/rs4377658_count_position.png",4,220,900)</f>
        <v/>
      </c>
      <c r="T3129">
        <f>IMAGE("https://mitra.stanford.edu/kundaje/oak/projects/neuro-variants/variant_position/credible/roussos_2024/variant_figures/roussos_2024.childhood.GABA/rs4377658_profile_position.png",4,220,900)</f>
        <v/>
      </c>
    </row>
    <row r="3130">
      <c r="A3130" t="inlineStr">
        <is>
          <t>chr4</t>
        </is>
      </c>
      <c r="B3130" t="n">
        <v>117913276</v>
      </c>
      <c r="C3130" t="inlineStr">
        <is>
          <t>A</t>
        </is>
      </c>
      <c r="D3130" t="inlineStr">
        <is>
          <t>G</t>
        </is>
      </c>
      <c r="E3130" t="inlineStr">
        <is>
          <t>rs7680858</t>
        </is>
      </c>
      <c r="F3130" t="n">
        <v>0.097167328</v>
      </c>
      <c r="G3130" t="n">
        <v>0.0313094275274906</v>
      </c>
      <c r="H3130" t="n">
        <v>0.0155669727872872</v>
      </c>
      <c r="I3130" t="n">
        <v>0.2015138174776871</v>
      </c>
      <c r="J3130" t="n">
        <v>0.0153714058344327</v>
      </c>
      <c r="K3130" t="n">
        <v>0.6883455724849857</v>
      </c>
      <c r="L3130" t="b">
        <v>0</v>
      </c>
      <c r="M3130" t="b">
        <v>0</v>
      </c>
      <c r="N3130" t="inlineStr">
        <is>
          <t>alt</t>
        </is>
      </c>
      <c r="O3130" t="n">
        <v>45</v>
      </c>
      <c r="P3130" t="n">
        <v>0.001611</v>
      </c>
      <c r="Q3130" t="n">
        <v>20</v>
      </c>
      <c r="R3130" t="n">
        <v>0.01361</v>
      </c>
      <c r="S3130">
        <f>IMAGE("https://mitra.stanford.edu/kundaje/oak/projects/neuro-variants/variant_position/credible/roussos_2024/variant_figures/roussos_2024.childhood.GABA/rs7680858_count_position.png",4,220,900)</f>
        <v/>
      </c>
      <c r="T3130">
        <f>IMAGE("https://mitra.stanford.edu/kundaje/oak/projects/neuro-variants/variant_position/credible/roussos_2024/variant_figures/roussos_2024.childhood.GABA/rs7680858_profile_position.png",4,220,900)</f>
        <v/>
      </c>
    </row>
    <row r="3131">
      <c r="A3131" t="inlineStr">
        <is>
          <t>chr4</t>
        </is>
      </c>
      <c r="B3131" t="n">
        <v>117917400</v>
      </c>
      <c r="C3131" t="inlineStr">
        <is>
          <t>A</t>
        </is>
      </c>
      <c r="D3131" t="inlineStr">
        <is>
          <t>G</t>
        </is>
      </c>
      <c r="E3131" t="inlineStr">
        <is>
          <t>rs67213843</t>
        </is>
      </c>
      <c r="F3131" t="n">
        <v>0.0639871086</v>
      </c>
      <c r="G3131" t="n">
        <v>0.0955577237736967</v>
      </c>
      <c r="H3131" t="n">
        <v>0.0121406997758846</v>
      </c>
      <c r="I3131" t="n">
        <v>0.4266819695240033</v>
      </c>
      <c r="J3131" t="n">
        <v>0.2022564972461309</v>
      </c>
      <c r="K3131" t="n">
        <v>0.2149892591323189</v>
      </c>
      <c r="L3131" t="b">
        <v>0</v>
      </c>
      <c r="M3131" t="b">
        <v>0</v>
      </c>
      <c r="N3131" t="inlineStr">
        <is>
          <t>alt</t>
        </is>
      </c>
      <c r="O3131" t="n">
        <v>75</v>
      </c>
      <c r="P3131" t="n">
        <v>0.00338</v>
      </c>
      <c r="Q3131" t="n">
        <v>30</v>
      </c>
      <c r="R3131" t="n">
        <v>0.05118</v>
      </c>
      <c r="S3131">
        <f>IMAGE("https://mitra.stanford.edu/kundaje/oak/projects/neuro-variants/variant_position/credible/roussos_2024/variant_figures/roussos_2024.childhood.GABA/rs67213843_count_position.png",4,220,900)</f>
        <v/>
      </c>
      <c r="T3131">
        <f>IMAGE("https://mitra.stanford.edu/kundaje/oak/projects/neuro-variants/variant_position/credible/roussos_2024/variant_figures/roussos_2024.childhood.GABA/rs67213843_profile_position.png",4,220,900)</f>
        <v/>
      </c>
    </row>
    <row r="3132">
      <c r="A3132" t="inlineStr">
        <is>
          <t>chr4</t>
        </is>
      </c>
      <c r="B3132" t="n">
        <v>117929247</v>
      </c>
      <c r="C3132" t="inlineStr">
        <is>
          <t>A</t>
        </is>
      </c>
      <c r="D3132" t="inlineStr">
        <is>
          <t>G</t>
        </is>
      </c>
      <c r="E3132" t="inlineStr">
        <is>
          <t>rs55923363</t>
        </is>
      </c>
      <c r="F3132" t="n">
        <v>-0.0694059752</v>
      </c>
      <c r="G3132" t="n">
        <v>0.0824515542157844</v>
      </c>
      <c r="H3132" t="n">
        <v>0.0201004045247832</v>
      </c>
      <c r="I3132" t="n">
        <v>0.0759637260557154</v>
      </c>
      <c r="J3132" t="n">
        <v>0.0218843584427551</v>
      </c>
      <c r="K3132" t="n">
        <v>0.636514051799307</v>
      </c>
      <c r="L3132" t="b">
        <v>0</v>
      </c>
      <c r="M3132" t="b">
        <v>0</v>
      </c>
      <c r="N3132" t="inlineStr">
        <is>
          <t>ref</t>
        </is>
      </c>
      <c r="O3132" t="n">
        <v>100</v>
      </c>
      <c r="P3132" t="n">
        <v>0.0163</v>
      </c>
      <c r="Q3132" t="n">
        <v>-90</v>
      </c>
      <c r="R3132" t="n">
        <v>0.05112</v>
      </c>
      <c r="S3132">
        <f>IMAGE("https://mitra.stanford.edu/kundaje/oak/projects/neuro-variants/variant_position/credible/roussos_2024/variant_figures/roussos_2024.childhood.GABA/rs55923363_count_position.png",4,220,900)</f>
        <v/>
      </c>
      <c r="T3132">
        <f>IMAGE("https://mitra.stanford.edu/kundaje/oak/projects/neuro-variants/variant_position/credible/roussos_2024/variant_figures/roussos_2024.childhood.GABA/rs55923363_profile_position.png",4,220,900)</f>
        <v/>
      </c>
    </row>
    <row r="3133">
      <c r="A3133" t="inlineStr">
        <is>
          <t>chr4</t>
        </is>
      </c>
      <c r="B3133" t="n">
        <v>117931831</v>
      </c>
      <c r="C3133" t="inlineStr">
        <is>
          <t>C</t>
        </is>
      </c>
      <c r="D3133" t="inlineStr">
        <is>
          <t>T</t>
        </is>
      </c>
      <c r="E3133" t="inlineStr">
        <is>
          <t>rs28521069</t>
        </is>
      </c>
      <c r="F3133" t="n">
        <v>0.0192795433</v>
      </c>
      <c r="G3133" t="n">
        <v>0.4396533778712854</v>
      </c>
      <c r="H3133" t="n">
        <v>0.0246009656532786</v>
      </c>
      <c r="I3133" t="n">
        <v>0.0305666142859856</v>
      </c>
      <c r="J3133" t="n">
        <v>0.018368201713053</v>
      </c>
      <c r="K3133" t="n">
        <v>0.6626303420452457</v>
      </c>
      <c r="L3133" t="b">
        <v>0</v>
      </c>
      <c r="M3133" t="b">
        <v>0</v>
      </c>
      <c r="N3133" t="inlineStr">
        <is>
          <t>alt</t>
        </is>
      </c>
      <c r="O3133" t="n">
        <v>20</v>
      </c>
      <c r="P3133" t="n">
        <v>0.002075</v>
      </c>
      <c r="Q3133" t="n">
        <v>75</v>
      </c>
      <c r="R3133" t="n">
        <v>0.02795</v>
      </c>
      <c r="S3133">
        <f>IMAGE("https://mitra.stanford.edu/kundaje/oak/projects/neuro-variants/variant_position/credible/roussos_2024/variant_figures/roussos_2024.childhood.GABA/rs28521069_count_position.png",4,220,900)</f>
        <v/>
      </c>
      <c r="T3133">
        <f>IMAGE("https://mitra.stanford.edu/kundaje/oak/projects/neuro-variants/variant_position/credible/roussos_2024/variant_figures/roussos_2024.childhood.GABA/rs28521069_profile_position.png",4,220,900)</f>
        <v/>
      </c>
    </row>
    <row r="3134">
      <c r="A3134" t="inlineStr">
        <is>
          <t>chr4</t>
        </is>
      </c>
      <c r="B3134" t="n">
        <v>117937561</v>
      </c>
      <c r="C3134" t="inlineStr">
        <is>
          <t>T</t>
        </is>
      </c>
      <c r="D3134" t="inlineStr">
        <is>
          <t>C</t>
        </is>
      </c>
      <c r="E3134" t="inlineStr">
        <is>
          <t>rs7666685</t>
        </is>
      </c>
      <c r="F3134" t="n">
        <v>0.01121592338</v>
      </c>
      <c r="G3134" t="n">
        <v>0.5985548233909964</v>
      </c>
      <c r="H3134" t="n">
        <v>0.0251543808658641</v>
      </c>
      <c r="I3134" t="n">
        <v>0.0274064332934653</v>
      </c>
      <c r="J3134" t="n">
        <v>0.015350463864631</v>
      </c>
      <c r="K3134" t="n">
        <v>0.6900647317365086</v>
      </c>
      <c r="L3134" t="b">
        <v>0</v>
      </c>
      <c r="M3134" t="b">
        <v>0</v>
      </c>
      <c r="N3134" t="inlineStr">
        <is>
          <t>alt</t>
        </is>
      </c>
      <c r="O3134" t="n">
        <v>65</v>
      </c>
      <c r="P3134" t="n">
        <v>0.01532</v>
      </c>
      <c r="Q3134" t="n">
        <v>100</v>
      </c>
      <c r="R3134" t="n">
        <v>0.1467</v>
      </c>
      <c r="S3134">
        <f>IMAGE("https://mitra.stanford.edu/kundaje/oak/projects/neuro-variants/variant_position/credible/roussos_2024/variant_figures/roussos_2024.childhood.GABA/rs7666685_count_position.png",4,220,900)</f>
        <v/>
      </c>
      <c r="T3134">
        <f>IMAGE("https://mitra.stanford.edu/kundaje/oak/projects/neuro-variants/variant_position/credible/roussos_2024/variant_figures/roussos_2024.childhood.GABA/rs7666685_profile_position.png",4,220,900)</f>
        <v/>
      </c>
    </row>
    <row r="3135">
      <c r="A3135" t="inlineStr">
        <is>
          <t>chr4</t>
        </is>
      </c>
      <c r="B3135" t="n">
        <v>117946001</v>
      </c>
      <c r="C3135" t="inlineStr">
        <is>
          <t>A</t>
        </is>
      </c>
      <c r="D3135" t="inlineStr">
        <is>
          <t>G</t>
        </is>
      </c>
      <c r="E3135" t="inlineStr">
        <is>
          <t>rs6821845</t>
        </is>
      </c>
      <c r="F3135" t="n">
        <v>0.0509470072</v>
      </c>
      <c r="G3135" t="n">
        <v>0.1311155965344798</v>
      </c>
      <c r="H3135" t="n">
        <v>0.0128606500237211</v>
      </c>
      <c r="I3135" t="n">
        <v>0.3666708656581046</v>
      </c>
      <c r="J3135" t="n">
        <v>0.0033119725241355</v>
      </c>
      <c r="K3135" t="n">
        <v>0.8571636918017093</v>
      </c>
      <c r="L3135" t="b">
        <v>0</v>
      </c>
      <c r="M3135" t="b">
        <v>0</v>
      </c>
      <c r="N3135" t="inlineStr">
        <is>
          <t>alt</t>
        </is>
      </c>
      <c r="O3135" t="n">
        <v>-65</v>
      </c>
      <c r="P3135" t="n">
        <v>0.003822</v>
      </c>
      <c r="Q3135" t="n">
        <v>-80</v>
      </c>
      <c r="R3135" t="n">
        <v>0.0592</v>
      </c>
      <c r="S3135">
        <f>IMAGE("https://mitra.stanford.edu/kundaje/oak/projects/neuro-variants/variant_position/credible/roussos_2024/variant_figures/roussos_2024.childhood.GABA/rs6821845_count_position.png",4,220,900)</f>
        <v/>
      </c>
      <c r="T3135">
        <f>IMAGE("https://mitra.stanford.edu/kundaje/oak/projects/neuro-variants/variant_position/credible/roussos_2024/variant_figures/roussos_2024.childhood.GABA/rs6821845_profile_position.png",4,220,900)</f>
        <v/>
      </c>
    </row>
    <row r="3136">
      <c r="A3136" t="inlineStr">
        <is>
          <t>chr4</t>
        </is>
      </c>
      <c r="B3136" t="n">
        <v>117951461</v>
      </c>
      <c r="C3136" t="inlineStr">
        <is>
          <t>T</t>
        </is>
      </c>
      <c r="D3136" t="inlineStr">
        <is>
          <t>C</t>
        </is>
      </c>
      <c r="E3136" t="inlineStr">
        <is>
          <t>rs145065097</t>
        </is>
      </c>
      <c r="F3136" t="n">
        <v>0.0200436937999999</v>
      </c>
      <c r="G3136" t="n">
        <v>0.3458056486989018</v>
      </c>
      <c r="H3136" t="n">
        <v>0.0115269776304083</v>
      </c>
      <c r="I3136" t="n">
        <v>0.478866670373031</v>
      </c>
      <c r="J3136" t="n">
        <v>0.03167158802957</v>
      </c>
      <c r="K3136" t="n">
        <v>0.5789965154389716</v>
      </c>
      <c r="L3136" t="b">
        <v>0</v>
      </c>
      <c r="M3136" t="b">
        <v>0</v>
      </c>
      <c r="N3136" t="inlineStr">
        <is>
          <t>alt</t>
        </is>
      </c>
      <c r="O3136" t="n">
        <v>85</v>
      </c>
      <c r="P3136" t="n">
        <v>0.01804</v>
      </c>
      <c r="Q3136" t="n">
        <v>-90</v>
      </c>
      <c r="R3136" t="n">
        <v>0.11926</v>
      </c>
      <c r="S3136">
        <f>IMAGE("https://mitra.stanford.edu/kundaje/oak/projects/neuro-variants/variant_position/credible/roussos_2024/variant_figures/roussos_2024.childhood.GABA/rs145065097_count_position.png",4,220,900)</f>
        <v/>
      </c>
      <c r="T3136">
        <f>IMAGE("https://mitra.stanford.edu/kundaje/oak/projects/neuro-variants/variant_position/credible/roussos_2024/variant_figures/roussos_2024.childhood.GABA/rs145065097_profile_position.png",4,220,900)</f>
        <v/>
      </c>
    </row>
    <row r="3137">
      <c r="A3137" t="inlineStr">
        <is>
          <t>chr4</t>
        </is>
      </c>
      <c r="B3137" t="n">
        <v>117956409</v>
      </c>
      <c r="C3137" t="inlineStr">
        <is>
          <t>G</t>
        </is>
      </c>
      <c r="D3137" t="inlineStr">
        <is>
          <t>A</t>
        </is>
      </c>
      <c r="E3137" t="inlineStr">
        <is>
          <t>rs12641736</t>
        </is>
      </c>
      <c r="F3137" t="n">
        <v>0.063833347</v>
      </c>
      <c r="G3137" t="n">
        <v>0.0887664920167745</v>
      </c>
      <c r="H3137" t="n">
        <v>0.0182927912938947</v>
      </c>
      <c r="I3137" t="n">
        <v>0.1110899568024802</v>
      </c>
      <c r="J3137" t="n">
        <v>0.0542344662938995</v>
      </c>
      <c r="K3137" t="n">
        <v>0.4712163181192237</v>
      </c>
      <c r="L3137" t="b">
        <v>0</v>
      </c>
      <c r="M3137" t="b">
        <v>0</v>
      </c>
      <c r="N3137" t="inlineStr">
        <is>
          <t>alt</t>
        </is>
      </c>
      <c r="O3137" t="n">
        <v>10</v>
      </c>
      <c r="P3137" t="n">
        <v>0.000572</v>
      </c>
      <c r="Q3137" t="n">
        <v>95</v>
      </c>
      <c r="R3137" t="n">
        <v>0.10657</v>
      </c>
      <c r="S3137">
        <f>IMAGE("https://mitra.stanford.edu/kundaje/oak/projects/neuro-variants/variant_position/credible/roussos_2024/variant_figures/roussos_2024.childhood.GABA/rs12641736_count_position.png",4,220,900)</f>
        <v/>
      </c>
      <c r="T3137">
        <f>IMAGE("https://mitra.stanford.edu/kundaje/oak/projects/neuro-variants/variant_position/credible/roussos_2024/variant_figures/roussos_2024.childhood.GABA/rs12641736_profile_position.png",4,220,900)</f>
        <v/>
      </c>
    </row>
    <row r="3138">
      <c r="A3138" t="inlineStr">
        <is>
          <t>chr4</t>
        </is>
      </c>
      <c r="B3138" t="n">
        <v>117959589</v>
      </c>
      <c r="C3138" t="inlineStr">
        <is>
          <t>T</t>
        </is>
      </c>
      <c r="D3138" t="inlineStr">
        <is>
          <t>C</t>
        </is>
      </c>
      <c r="E3138" t="inlineStr">
        <is>
          <t>rs4834649</t>
        </is>
      </c>
      <c r="F3138" t="n">
        <v>0.01206667314</v>
      </c>
      <c r="G3138" t="n">
        <v>0.5933981917402609</v>
      </c>
      <c r="H3138" t="n">
        <v>0.0236486414391479</v>
      </c>
      <c r="I3138" t="n">
        <v>0.0365778869847441</v>
      </c>
      <c r="J3138" t="n">
        <v>0.0095945634646394</v>
      </c>
      <c r="K3138" t="n">
        <v>0.746665668427714</v>
      </c>
      <c r="L3138" t="b">
        <v>0</v>
      </c>
      <c r="M3138" t="b">
        <v>0</v>
      </c>
      <c r="N3138" t="inlineStr">
        <is>
          <t>alt</t>
        </is>
      </c>
      <c r="O3138" t="n">
        <v>100</v>
      </c>
      <c r="P3138" t="n">
        <v>0.004272</v>
      </c>
      <c r="Q3138" t="n">
        <v>-65</v>
      </c>
      <c r="R3138" t="n">
        <v>0.07240000000000001</v>
      </c>
      <c r="S3138">
        <f>IMAGE("https://mitra.stanford.edu/kundaje/oak/projects/neuro-variants/variant_position/credible/roussos_2024/variant_figures/roussos_2024.childhood.GABA/rs4834649_count_position.png",4,220,900)</f>
        <v/>
      </c>
      <c r="T3138">
        <f>IMAGE("https://mitra.stanford.edu/kundaje/oak/projects/neuro-variants/variant_position/credible/roussos_2024/variant_figures/roussos_2024.childhood.GABA/rs4834649_profile_position.png",4,220,900)</f>
        <v/>
      </c>
    </row>
    <row r="3139">
      <c r="A3139" t="inlineStr">
        <is>
          <t>chr4</t>
        </is>
      </c>
      <c r="B3139" t="n">
        <v>117960299</v>
      </c>
      <c r="C3139" t="inlineStr">
        <is>
          <t>G</t>
        </is>
      </c>
      <c r="D3139" t="inlineStr">
        <is>
          <t>T</t>
        </is>
      </c>
      <c r="E3139" t="inlineStr">
        <is>
          <t>rs2389473</t>
        </is>
      </c>
      <c r="F3139" t="n">
        <v>0.01189227332</v>
      </c>
      <c r="G3139" t="n">
        <v>0.5726033551037388</v>
      </c>
      <c r="H3139" t="n">
        <v>0.0314302998786617</v>
      </c>
      <c r="I3139" t="n">
        <v>0.0105046106855885</v>
      </c>
      <c r="J3139" t="n">
        <v>0.0129274779585767</v>
      </c>
      <c r="K3139" t="n">
        <v>0.707558244533678</v>
      </c>
      <c r="L3139" t="b">
        <v>1</v>
      </c>
      <c r="M3139" t="b">
        <v>0</v>
      </c>
      <c r="N3139" t="inlineStr">
        <is>
          <t>alt</t>
        </is>
      </c>
      <c r="O3139" t="n">
        <v>100</v>
      </c>
      <c r="P3139" t="n">
        <v>0.0115</v>
      </c>
      <c r="Q3139" t="n">
        <v>100</v>
      </c>
      <c r="R3139" t="n">
        <v>0.07214</v>
      </c>
      <c r="S3139">
        <f>IMAGE("https://mitra.stanford.edu/kundaje/oak/projects/neuro-variants/variant_position/credible/roussos_2024/variant_figures/roussos_2024.childhood.GABA/rs2389473_count_position.png",4,220,900)</f>
        <v/>
      </c>
      <c r="T3139">
        <f>IMAGE("https://mitra.stanford.edu/kundaje/oak/projects/neuro-variants/variant_position/credible/roussos_2024/variant_figures/roussos_2024.childhood.GABA/rs2389473_profile_position.png",4,220,900)</f>
        <v/>
      </c>
    </row>
    <row r="3140">
      <c r="A3140" t="inlineStr">
        <is>
          <t>chr4</t>
        </is>
      </c>
      <c r="B3140" t="n">
        <v>117976359</v>
      </c>
      <c r="C3140" t="inlineStr">
        <is>
          <t>T</t>
        </is>
      </c>
      <c r="D3140" t="inlineStr">
        <is>
          <t>C</t>
        </is>
      </c>
      <c r="E3140" t="inlineStr">
        <is>
          <t>rs13111689</t>
        </is>
      </c>
      <c r="F3140" t="n">
        <v>0.0641781516</v>
      </c>
      <c r="G3140" t="n">
        <v>0.0801775657589411</v>
      </c>
      <c r="H3140" t="n">
        <v>0.0144643306782233</v>
      </c>
      <c r="I3140" t="n">
        <v>0.2526592588811362</v>
      </c>
      <c r="J3140" t="n">
        <v>0.001834516554627</v>
      </c>
      <c r="K3140" t="n">
        <v>0.8934735137789174</v>
      </c>
      <c r="L3140" t="b">
        <v>0</v>
      </c>
      <c r="M3140" t="b">
        <v>0</v>
      </c>
      <c r="N3140" t="inlineStr">
        <is>
          <t>alt</t>
        </is>
      </c>
      <c r="O3140" t="n">
        <v>-100</v>
      </c>
      <c r="P3140" t="n">
        <v>0.02292</v>
      </c>
      <c r="Q3140" t="n">
        <v>-25</v>
      </c>
      <c r="R3140" t="n">
        <v>0.03055</v>
      </c>
      <c r="S3140">
        <f>IMAGE("https://mitra.stanford.edu/kundaje/oak/projects/neuro-variants/variant_position/credible/roussos_2024/variant_figures/roussos_2024.childhood.GABA/rs13111689_count_position.png",4,220,900)</f>
        <v/>
      </c>
      <c r="T3140">
        <f>IMAGE("https://mitra.stanford.edu/kundaje/oak/projects/neuro-variants/variant_position/credible/roussos_2024/variant_figures/roussos_2024.childhood.GABA/rs13111689_profile_position.png",4,220,900)</f>
        <v/>
      </c>
    </row>
    <row r="3141">
      <c r="A3141" t="inlineStr">
        <is>
          <t>chr4</t>
        </is>
      </c>
      <c r="B3141" t="n">
        <v>117983309</v>
      </c>
      <c r="C3141" t="inlineStr">
        <is>
          <t>C</t>
        </is>
      </c>
      <c r="D3141" t="inlineStr">
        <is>
          <t>T</t>
        </is>
      </c>
      <c r="E3141" t="inlineStr">
        <is>
          <t>rs10005201</t>
        </is>
      </c>
      <c r="F3141" t="n">
        <v>0.00820814668</v>
      </c>
      <c r="G3141" t="n">
        <v>0.6657008472059721</v>
      </c>
      <c r="H3141" t="n">
        <v>0.0490208457062109</v>
      </c>
      <c r="I3141" t="n">
        <v>0.0019449904974198</v>
      </c>
      <c r="J3141" t="n">
        <v>0.0055810349521475</v>
      </c>
      <c r="K3141" t="n">
        <v>0.8124292897852303</v>
      </c>
      <c r="L3141" t="b">
        <v>0</v>
      </c>
      <c r="M3141" t="b">
        <v>0</v>
      </c>
      <c r="N3141" t="inlineStr">
        <is>
          <t>alt</t>
        </is>
      </c>
      <c r="O3141" t="n">
        <v>95</v>
      </c>
      <c r="P3141" t="n">
        <v>0.003235</v>
      </c>
      <c r="Q3141" t="n">
        <v>-75</v>
      </c>
      <c r="R3141" t="n">
        <v>0.04224</v>
      </c>
      <c r="S3141">
        <f>IMAGE("https://mitra.stanford.edu/kundaje/oak/projects/neuro-variants/variant_position/credible/roussos_2024/variant_figures/roussos_2024.childhood.GABA/rs10005201_count_position.png",4,220,900)</f>
        <v/>
      </c>
      <c r="T3141">
        <f>IMAGE("https://mitra.stanford.edu/kundaje/oak/projects/neuro-variants/variant_position/credible/roussos_2024/variant_figures/roussos_2024.childhood.GABA/rs10005201_profile_position.png",4,220,900)</f>
        <v/>
      </c>
    </row>
    <row r="3142">
      <c r="A3142" t="inlineStr">
        <is>
          <t>chr4</t>
        </is>
      </c>
      <c r="B3142" t="n">
        <v>118005778</v>
      </c>
      <c r="C3142" t="inlineStr">
        <is>
          <t>A</t>
        </is>
      </c>
      <c r="D3142" t="inlineStr">
        <is>
          <t>G</t>
        </is>
      </c>
      <c r="E3142" t="inlineStr">
        <is>
          <t>rs1994381</t>
        </is>
      </c>
      <c r="F3142" t="n">
        <v>0.0239909479999999</v>
      </c>
      <c r="G3142" t="n">
        <v>0.3572877157256667</v>
      </c>
      <c r="H3142" t="n">
        <v>0.0175989798639052</v>
      </c>
      <c r="I3142" t="n">
        <v>0.1252118446184632</v>
      </c>
      <c r="J3142" t="n">
        <v>0.0175305229209859</v>
      </c>
      <c r="K3142" t="n">
        <v>0.6845362878165319</v>
      </c>
      <c r="L3142" t="b">
        <v>0</v>
      </c>
      <c r="M3142" t="b">
        <v>0</v>
      </c>
      <c r="N3142" t="inlineStr">
        <is>
          <t>alt</t>
        </is>
      </c>
      <c r="O3142" t="n">
        <v>100</v>
      </c>
      <c r="P3142" t="n">
        <v>0.004303</v>
      </c>
      <c r="Q3142" t="n">
        <v>-75</v>
      </c>
      <c r="R3142" t="n">
        <v>0.03067</v>
      </c>
      <c r="S3142">
        <f>IMAGE("https://mitra.stanford.edu/kundaje/oak/projects/neuro-variants/variant_position/credible/roussos_2024/variant_figures/roussos_2024.childhood.GABA/rs1994381_count_position.png",4,220,900)</f>
        <v/>
      </c>
      <c r="T3142">
        <f>IMAGE("https://mitra.stanford.edu/kundaje/oak/projects/neuro-variants/variant_position/credible/roussos_2024/variant_figures/roussos_2024.childhood.GABA/rs1994381_profile_position.png",4,220,900)</f>
        <v/>
      </c>
    </row>
    <row r="3143">
      <c r="A3143" t="inlineStr">
        <is>
          <t>chr4</t>
        </is>
      </c>
      <c r="B3143" t="n">
        <v>118006805</v>
      </c>
      <c r="C3143" t="inlineStr">
        <is>
          <t>C</t>
        </is>
      </c>
      <c r="D3143" t="inlineStr">
        <is>
          <t>A</t>
        </is>
      </c>
      <c r="E3143" t="inlineStr">
        <is>
          <t>rs2892779</t>
        </is>
      </c>
      <c r="F3143" t="n">
        <v>0.0235934478</v>
      </c>
      <c r="G3143" t="n">
        <v>0.3541330227757294</v>
      </c>
      <c r="H3143" t="n">
        <v>0.0265688039255102</v>
      </c>
      <c r="I3143" t="n">
        <v>0.0218037132198904</v>
      </c>
      <c r="J3143" t="n">
        <v>0.0065914849950786</v>
      </c>
      <c r="K3143" t="n">
        <v>0.7887172879461832</v>
      </c>
      <c r="L3143" t="b">
        <v>0</v>
      </c>
      <c r="M3143" t="b">
        <v>0</v>
      </c>
      <c r="N3143" t="inlineStr">
        <is>
          <t>alt</t>
        </is>
      </c>
      <c r="O3143" t="n">
        <v>-100</v>
      </c>
      <c r="P3143" t="n">
        <v>0.00507</v>
      </c>
      <c r="Q3143" t="n">
        <v>95</v>
      </c>
      <c r="R3143" t="n">
        <v>0.0916</v>
      </c>
      <c r="S3143">
        <f>IMAGE("https://mitra.stanford.edu/kundaje/oak/projects/neuro-variants/variant_position/credible/roussos_2024/variant_figures/roussos_2024.childhood.GABA/rs2892779_count_position.png",4,220,900)</f>
        <v/>
      </c>
      <c r="T3143">
        <f>IMAGE("https://mitra.stanford.edu/kundaje/oak/projects/neuro-variants/variant_position/credible/roussos_2024/variant_figures/roussos_2024.childhood.GABA/rs2892779_profile_position.png",4,220,900)</f>
        <v/>
      </c>
    </row>
    <row r="3144">
      <c r="A3144" t="inlineStr">
        <is>
          <t>chr4</t>
        </is>
      </c>
      <c r="B3144" t="n">
        <v>142816006</v>
      </c>
      <c r="C3144" t="inlineStr">
        <is>
          <t>G</t>
        </is>
      </c>
      <c r="D3144" t="inlineStr">
        <is>
          <t>A</t>
        </is>
      </c>
      <c r="E3144" t="inlineStr">
        <is>
          <t>rs1992418</t>
        </is>
      </c>
      <c r="F3144" t="n">
        <v>-0.08782107879999999</v>
      </c>
      <c r="G3144" t="n">
        <v>0.0413557342301512</v>
      </c>
      <c r="H3144" t="n">
        <v>0.0152240326607979</v>
      </c>
      <c r="I3144" t="n">
        <v>0.2211494793544734</v>
      </c>
      <c r="J3144" t="n">
        <v>0.1423289564616447</v>
      </c>
      <c r="K3144" t="n">
        <v>0.2778539102048782</v>
      </c>
      <c r="L3144" t="b">
        <v>0</v>
      </c>
      <c r="M3144" t="b">
        <v>0</v>
      </c>
      <c r="N3144" t="inlineStr">
        <is>
          <t>ref</t>
        </is>
      </c>
      <c r="O3144" t="n">
        <v>-5</v>
      </c>
      <c r="P3144" t="n">
        <v>0.0003357</v>
      </c>
      <c r="Q3144" t="n">
        <v>45</v>
      </c>
      <c r="R3144" t="n">
        <v>0.006348</v>
      </c>
      <c r="S3144">
        <f>IMAGE("https://mitra.stanford.edu/kundaje/oak/projects/neuro-variants/variant_position/credible/roussos_2024/variant_figures/roussos_2024.childhood.GABA/rs1992418_count_position.png",4,220,900)</f>
        <v/>
      </c>
      <c r="T3144">
        <f>IMAGE("https://mitra.stanford.edu/kundaje/oak/projects/neuro-variants/variant_position/credible/roussos_2024/variant_figures/roussos_2024.childhood.GABA/rs1992418_profile_position.png",4,220,900)</f>
        <v/>
      </c>
    </row>
    <row r="3145">
      <c r="A3145" t="inlineStr">
        <is>
          <t>chr4</t>
        </is>
      </c>
      <c r="B3145" t="n">
        <v>142880194</v>
      </c>
      <c r="C3145" t="inlineStr">
        <is>
          <t>C</t>
        </is>
      </c>
      <c r="D3145" t="inlineStr">
        <is>
          <t>G</t>
        </is>
      </c>
      <c r="E3145" t="inlineStr">
        <is>
          <t>rs6537131</t>
        </is>
      </c>
      <c r="F3145" t="n">
        <v>0.0617464662</v>
      </c>
      <c r="G3145" t="n">
        <v>0.0890662562995015</v>
      </c>
      <c r="H3145" t="n">
        <v>0.0119328731492079</v>
      </c>
      <c r="I3145" t="n">
        <v>0.4299935981764271</v>
      </c>
      <c r="J3145" t="n">
        <v>0.0055883646415781</v>
      </c>
      <c r="K3145" t="n">
        <v>0.799788111778473</v>
      </c>
      <c r="L3145" t="b">
        <v>0</v>
      </c>
      <c r="M3145" t="b">
        <v>0</v>
      </c>
      <c r="N3145" t="inlineStr">
        <is>
          <t>alt</t>
        </is>
      </c>
      <c r="O3145" t="n">
        <v>-45</v>
      </c>
      <c r="P3145" t="n">
        <v>0.0003357</v>
      </c>
      <c r="Q3145" t="n">
        <v>10</v>
      </c>
      <c r="R3145" t="n">
        <v>0.01874</v>
      </c>
      <c r="S3145">
        <f>IMAGE("https://mitra.stanford.edu/kundaje/oak/projects/neuro-variants/variant_position/credible/roussos_2024/variant_figures/roussos_2024.childhood.GABA/rs6537131_count_position.png",4,220,900)</f>
        <v/>
      </c>
      <c r="T3145">
        <f>IMAGE("https://mitra.stanford.edu/kundaje/oak/projects/neuro-variants/variant_position/credible/roussos_2024/variant_figures/roussos_2024.childhood.GABA/rs6537131_profile_position.png",4,220,900)</f>
        <v/>
      </c>
    </row>
    <row r="3146">
      <c r="A3146" t="inlineStr">
        <is>
          <t>chr4</t>
        </is>
      </c>
      <c r="B3146" t="n">
        <v>142881443</v>
      </c>
      <c r="C3146" t="inlineStr">
        <is>
          <t>T</t>
        </is>
      </c>
      <c r="D3146" t="inlineStr">
        <is>
          <t>C</t>
        </is>
      </c>
      <c r="E3146" t="inlineStr">
        <is>
          <t>rs17016873</t>
        </is>
      </c>
      <c r="F3146" t="n">
        <v>0.0538147464</v>
      </c>
      <c r="G3146" t="n">
        <v>0.1211260382083064</v>
      </c>
      <c r="H3146" t="n">
        <v>0.0162649260239796</v>
      </c>
      <c r="I3146" t="n">
        <v>0.1738516185695791</v>
      </c>
      <c r="J3146" t="n">
        <v>0.07386651588448399</v>
      </c>
      <c r="K3146" t="n">
        <v>0.4139564261383872</v>
      </c>
      <c r="L3146" t="b">
        <v>0</v>
      </c>
      <c r="M3146" t="b">
        <v>0</v>
      </c>
      <c r="N3146" t="inlineStr">
        <is>
          <t>alt</t>
        </is>
      </c>
      <c r="O3146" t="n">
        <v>-100</v>
      </c>
      <c r="P3146" t="n">
        <v>0.013115</v>
      </c>
      <c r="Q3146" t="n">
        <v>100</v>
      </c>
      <c r="R3146" t="n">
        <v>0.06909999999999999</v>
      </c>
      <c r="S3146">
        <f>IMAGE("https://mitra.stanford.edu/kundaje/oak/projects/neuro-variants/variant_position/credible/roussos_2024/variant_figures/roussos_2024.childhood.GABA/rs17016873_count_position.png",4,220,900)</f>
        <v/>
      </c>
      <c r="T3146">
        <f>IMAGE("https://mitra.stanford.edu/kundaje/oak/projects/neuro-variants/variant_position/credible/roussos_2024/variant_figures/roussos_2024.childhood.GABA/rs17016873_profile_position.png",4,220,900)</f>
        <v/>
      </c>
    </row>
    <row r="3147">
      <c r="A3147" t="inlineStr">
        <is>
          <t>chr4</t>
        </is>
      </c>
      <c r="B3147" t="n">
        <v>142885070</v>
      </c>
      <c r="C3147" t="inlineStr">
        <is>
          <t>C</t>
        </is>
      </c>
      <c r="D3147" t="inlineStr">
        <is>
          <t>A</t>
        </is>
      </c>
      <c r="E3147" t="inlineStr">
        <is>
          <t>rs7681616</t>
        </is>
      </c>
      <c r="F3147" t="n">
        <v>-0.0117295762</v>
      </c>
      <c r="G3147" t="n">
        <v>0.4922587493209109</v>
      </c>
      <c r="H3147" t="n">
        <v>0.0203143840411797</v>
      </c>
      <c r="I3147" t="n">
        <v>0.07024562976402091</v>
      </c>
      <c r="J3147" t="n">
        <v>0.0074741890222194</v>
      </c>
      <c r="K3147" t="n">
        <v>0.7766632104650407</v>
      </c>
      <c r="L3147" t="b">
        <v>0</v>
      </c>
      <c r="M3147" t="b">
        <v>0</v>
      </c>
      <c r="N3147" t="inlineStr">
        <is>
          <t>ref</t>
        </is>
      </c>
      <c r="O3147" t="n">
        <v>70</v>
      </c>
      <c r="P3147" t="n">
        <v>0.003365</v>
      </c>
      <c r="Q3147" t="n">
        <v>-25</v>
      </c>
      <c r="R3147" t="n">
        <v>0.010925</v>
      </c>
      <c r="S3147">
        <f>IMAGE("https://mitra.stanford.edu/kundaje/oak/projects/neuro-variants/variant_position/credible/roussos_2024/variant_figures/roussos_2024.childhood.GABA/rs7681616_count_position.png",4,220,900)</f>
        <v/>
      </c>
      <c r="T3147">
        <f>IMAGE("https://mitra.stanford.edu/kundaje/oak/projects/neuro-variants/variant_position/credible/roussos_2024/variant_figures/roussos_2024.childhood.GABA/rs7681616_profile_position.png",4,220,900)</f>
        <v/>
      </c>
    </row>
    <row r="3148">
      <c r="A3148" t="inlineStr">
        <is>
          <t>chr4</t>
        </is>
      </c>
      <c r="B3148" t="n">
        <v>142889951</v>
      </c>
      <c r="C3148" t="inlineStr">
        <is>
          <t>C</t>
        </is>
      </c>
      <c r="D3148" t="inlineStr">
        <is>
          <t>T</t>
        </is>
      </c>
      <c r="E3148" t="inlineStr">
        <is>
          <t>rs7679474</t>
        </is>
      </c>
      <c r="F3148" t="n">
        <v>-0.09044483839999989</v>
      </c>
      <c r="G3148" t="n">
        <v>0.038341789956662</v>
      </c>
      <c r="H3148" t="n">
        <v>0.0171540235253812</v>
      </c>
      <c r="I3148" t="n">
        <v>0.145091970435971</v>
      </c>
      <c r="J3148" t="n">
        <v>0.0091055684697702</v>
      </c>
      <c r="K3148" t="n">
        <v>0.7503100996933559</v>
      </c>
      <c r="L3148" t="b">
        <v>0</v>
      </c>
      <c r="M3148" t="b">
        <v>0</v>
      </c>
      <c r="N3148" t="inlineStr">
        <is>
          <t>ref</t>
        </is>
      </c>
      <c r="O3148" t="n">
        <v>-35</v>
      </c>
      <c r="P3148" t="n">
        <v>0.002708</v>
      </c>
      <c r="Q3148" t="n">
        <v>-35</v>
      </c>
      <c r="R3148" t="n">
        <v>0.0464</v>
      </c>
      <c r="S3148">
        <f>IMAGE("https://mitra.stanford.edu/kundaje/oak/projects/neuro-variants/variant_position/credible/roussos_2024/variant_figures/roussos_2024.childhood.GABA/rs7679474_count_position.png",4,220,900)</f>
        <v/>
      </c>
      <c r="T3148">
        <f>IMAGE("https://mitra.stanford.edu/kundaje/oak/projects/neuro-variants/variant_position/credible/roussos_2024/variant_figures/roussos_2024.childhood.GABA/rs7679474_profile_position.png",4,220,900)</f>
        <v/>
      </c>
    </row>
    <row r="3149">
      <c r="A3149" t="inlineStr">
        <is>
          <t>chr4</t>
        </is>
      </c>
      <c r="B3149" t="n">
        <v>142891668</v>
      </c>
      <c r="C3149" t="inlineStr">
        <is>
          <t>T</t>
        </is>
      </c>
      <c r="D3149" t="inlineStr">
        <is>
          <t>A</t>
        </is>
      </c>
      <c r="E3149" t="inlineStr">
        <is>
          <t>rs10006846</t>
        </is>
      </c>
      <c r="F3149" t="n">
        <v>-0.01828490168</v>
      </c>
      <c r="G3149" t="n">
        <v>0.46878241856213</v>
      </c>
      <c r="H3149" t="n">
        <v>0.0085228176713765</v>
      </c>
      <c r="I3149" t="n">
        <v>0.788720706897583</v>
      </c>
      <c r="J3149" t="n">
        <v>0.0016104374777491</v>
      </c>
      <c r="K3149" t="n">
        <v>0.897894220153991</v>
      </c>
      <c r="L3149" t="b">
        <v>0</v>
      </c>
      <c r="M3149" t="b">
        <v>0</v>
      </c>
      <c r="N3149" t="inlineStr">
        <is>
          <t>ref</t>
        </is>
      </c>
      <c r="O3149" t="n">
        <v>30</v>
      </c>
      <c r="P3149" t="n">
        <v>0.00091</v>
      </c>
      <c r="Q3149" t="n">
        <v>75</v>
      </c>
      <c r="R3149" t="n">
        <v>0.07446</v>
      </c>
      <c r="S3149">
        <f>IMAGE("https://mitra.stanford.edu/kundaje/oak/projects/neuro-variants/variant_position/credible/roussos_2024/variant_figures/roussos_2024.childhood.GABA/rs10006846_count_position.png",4,220,900)</f>
        <v/>
      </c>
      <c r="T3149">
        <f>IMAGE("https://mitra.stanford.edu/kundaje/oak/projects/neuro-variants/variant_position/credible/roussos_2024/variant_figures/roussos_2024.childhood.GABA/rs10006846_profile_position.png",4,220,900)</f>
        <v/>
      </c>
    </row>
    <row r="3150">
      <c r="A3150" t="inlineStr">
        <is>
          <t>chr4</t>
        </is>
      </c>
      <c r="B3150" t="n">
        <v>142899155</v>
      </c>
      <c r="C3150" t="inlineStr">
        <is>
          <t>A</t>
        </is>
      </c>
      <c r="D3150" t="inlineStr">
        <is>
          <t>G</t>
        </is>
      </c>
      <c r="E3150" t="inlineStr">
        <is>
          <t>rs4690706</t>
        </is>
      </c>
      <c r="F3150" t="n">
        <v>0.00417844852</v>
      </c>
      <c r="G3150" t="n">
        <v>0.7898389172856263</v>
      </c>
      <c r="H3150" t="n">
        <v>0.0158611221572167</v>
      </c>
      <c r="I3150" t="n">
        <v>0.1844947884836736</v>
      </c>
      <c r="J3150" t="n">
        <v>0.0311082490419048</v>
      </c>
      <c r="K3150" t="n">
        <v>0.5868118749337016</v>
      </c>
      <c r="L3150" t="b">
        <v>0</v>
      </c>
      <c r="M3150" t="b">
        <v>0</v>
      </c>
      <c r="N3150" t="inlineStr">
        <is>
          <t>alt</t>
        </is>
      </c>
      <c r="O3150" t="n">
        <v>-90</v>
      </c>
      <c r="P3150" t="n">
        <v>0.0016365</v>
      </c>
      <c r="Q3150" t="n">
        <v>100</v>
      </c>
      <c r="R3150" t="n">
        <v>0.02734</v>
      </c>
      <c r="S3150">
        <f>IMAGE("https://mitra.stanford.edu/kundaje/oak/projects/neuro-variants/variant_position/credible/roussos_2024/variant_figures/roussos_2024.childhood.GABA/rs4690706_count_position.png",4,220,900)</f>
        <v/>
      </c>
      <c r="T3150">
        <f>IMAGE("https://mitra.stanford.edu/kundaje/oak/projects/neuro-variants/variant_position/credible/roussos_2024/variant_figures/roussos_2024.childhood.GABA/rs4690706_profile_position.png",4,220,900)</f>
        <v/>
      </c>
    </row>
    <row r="3151">
      <c r="A3151" t="inlineStr">
        <is>
          <t>chr4</t>
        </is>
      </c>
      <c r="B3151" t="n">
        <v>142901689</v>
      </c>
      <c r="C3151" t="inlineStr">
        <is>
          <t>C</t>
        </is>
      </c>
      <c r="D3151" t="inlineStr">
        <is>
          <t>T</t>
        </is>
      </c>
      <c r="E3151" t="inlineStr">
        <is>
          <t>rs28390284</t>
        </is>
      </c>
      <c r="F3151" t="n">
        <v>-0.00253666416</v>
      </c>
      <c r="G3151" t="n">
        <v>0.7512683325386591</v>
      </c>
      <c r="H3151" t="n">
        <v>0.025153295609431</v>
      </c>
      <c r="I3151" t="n">
        <v>0.0283190057105812</v>
      </c>
      <c r="J3151" t="n">
        <v>0.0651316202802035</v>
      </c>
      <c r="K3151" t="n">
        <v>0.4478871814031608</v>
      </c>
      <c r="L3151" t="b">
        <v>0</v>
      </c>
      <c r="M3151" t="b">
        <v>0</v>
      </c>
      <c r="N3151" t="inlineStr">
        <is>
          <t>ref</t>
        </is>
      </c>
      <c r="O3151" t="n">
        <v>20</v>
      </c>
      <c r="P3151" t="n">
        <v>0.002563</v>
      </c>
      <c r="Q3151" t="n">
        <v>-100</v>
      </c>
      <c r="R3151" t="n">
        <v>0.07764</v>
      </c>
      <c r="S3151">
        <f>IMAGE("https://mitra.stanford.edu/kundaje/oak/projects/neuro-variants/variant_position/credible/roussos_2024/variant_figures/roussos_2024.childhood.GABA/rs28390284_count_position.png",4,220,900)</f>
        <v/>
      </c>
      <c r="T3151">
        <f>IMAGE("https://mitra.stanford.edu/kundaje/oak/projects/neuro-variants/variant_position/credible/roussos_2024/variant_figures/roussos_2024.childhood.GABA/rs28390284_profile_position.png",4,220,900)</f>
        <v/>
      </c>
    </row>
    <row r="3152">
      <c r="A3152" t="inlineStr">
        <is>
          <t>chr4</t>
        </is>
      </c>
      <c r="B3152" t="n">
        <v>142904550</v>
      </c>
      <c r="C3152" t="inlineStr">
        <is>
          <t>T</t>
        </is>
      </c>
      <c r="D3152" t="inlineStr">
        <is>
          <t>C</t>
        </is>
      </c>
      <c r="E3152" t="inlineStr">
        <is>
          <t>rs4690709</t>
        </is>
      </c>
      <c r="F3152" t="n">
        <v>0.0401824172</v>
      </c>
      <c r="G3152" t="n">
        <v>0.1986292997202346</v>
      </c>
      <c r="H3152" t="n">
        <v>0.0119413412414644</v>
      </c>
      <c r="I3152" t="n">
        <v>0.4255354506066461</v>
      </c>
      <c r="J3152" t="n">
        <v>0.0048951854411425</v>
      </c>
      <c r="K3152" t="n">
        <v>0.8200678970142802</v>
      </c>
      <c r="L3152" t="b">
        <v>0</v>
      </c>
      <c r="M3152" t="b">
        <v>0</v>
      </c>
      <c r="N3152" t="inlineStr">
        <is>
          <t>alt</t>
        </is>
      </c>
      <c r="O3152" t="n">
        <v>100</v>
      </c>
      <c r="P3152" t="n">
        <v>0.006832</v>
      </c>
      <c r="Q3152" t="n">
        <v>100</v>
      </c>
      <c r="R3152" t="n">
        <v>0.01831</v>
      </c>
      <c r="S3152">
        <f>IMAGE("https://mitra.stanford.edu/kundaje/oak/projects/neuro-variants/variant_position/credible/roussos_2024/variant_figures/roussos_2024.childhood.GABA/rs4690709_count_position.png",4,220,900)</f>
        <v/>
      </c>
      <c r="T3152">
        <f>IMAGE("https://mitra.stanford.edu/kundaje/oak/projects/neuro-variants/variant_position/credible/roussos_2024/variant_figures/roussos_2024.childhood.GABA/rs4690709_profile_position.png",4,220,900)</f>
        <v/>
      </c>
    </row>
    <row r="3153">
      <c r="A3153" t="inlineStr">
        <is>
          <t>chr4</t>
        </is>
      </c>
      <c r="B3153" t="n">
        <v>142906694</v>
      </c>
      <c r="C3153" t="inlineStr">
        <is>
          <t>G</t>
        </is>
      </c>
      <c r="D3153" t="inlineStr">
        <is>
          <t>C</t>
        </is>
      </c>
      <c r="E3153" t="inlineStr">
        <is>
          <t>rs1605954</t>
        </is>
      </c>
      <c r="F3153" t="n">
        <v>-0.1711216969999999</v>
      </c>
      <c r="G3153" t="n">
        <v>0.0079309239768422</v>
      </c>
      <c r="H3153" t="n">
        <v>0.022303225831989</v>
      </c>
      <c r="I3153" t="n">
        <v>0.0474540713544294</v>
      </c>
      <c r="J3153" t="n">
        <v>0.0010052145504805</v>
      </c>
      <c r="K3153" t="n">
        <v>0.9185881460662852</v>
      </c>
      <c r="L3153" t="b">
        <v>1</v>
      </c>
      <c r="M3153" t="b">
        <v>1</v>
      </c>
      <c r="N3153" t="inlineStr">
        <is>
          <t>ref</t>
        </is>
      </c>
      <c r="O3153" t="n">
        <v>-35</v>
      </c>
      <c r="P3153" t="n">
        <v>0.0045</v>
      </c>
      <c r="Q3153" t="n">
        <v>-35</v>
      </c>
      <c r="R3153" t="n">
        <v>0.004395</v>
      </c>
      <c r="S3153">
        <f>IMAGE("https://mitra.stanford.edu/kundaje/oak/projects/neuro-variants/variant_position/credible/roussos_2024/variant_figures/roussos_2024.childhood.GABA/rs1605954_count_position.png",4,220,900)</f>
        <v/>
      </c>
      <c r="T3153">
        <f>IMAGE("https://mitra.stanford.edu/kundaje/oak/projects/neuro-variants/variant_position/credible/roussos_2024/variant_figures/roussos_2024.childhood.GABA/rs1605954_profile_position.png",4,220,900)</f>
        <v/>
      </c>
    </row>
    <row r="3154">
      <c r="A3154" t="inlineStr">
        <is>
          <t>chr4</t>
        </is>
      </c>
      <c r="B3154" t="n">
        <v>142908324</v>
      </c>
      <c r="C3154" t="inlineStr">
        <is>
          <t>T</t>
        </is>
      </c>
      <c r="D3154" t="inlineStr">
        <is>
          <t>A</t>
        </is>
      </c>
      <c r="E3154" t="inlineStr">
        <is>
          <t>rs28849788</t>
        </is>
      </c>
      <c r="F3154" t="n">
        <v>-0.0003969314599999</v>
      </c>
      <c r="G3154" t="n">
        <v>0.8667963558661476</v>
      </c>
      <c r="H3154" t="n">
        <v>0.0059433190793047</v>
      </c>
      <c r="I3154" t="n">
        <v>0.9890981424330736</v>
      </c>
      <c r="J3154" t="n">
        <v>0.00685954220854</v>
      </c>
      <c r="K3154" t="n">
        <v>0.7835267243924474</v>
      </c>
      <c r="L3154" t="b">
        <v>0</v>
      </c>
      <c r="M3154" t="b">
        <v>0</v>
      </c>
      <c r="N3154" t="inlineStr">
        <is>
          <t>ref</t>
        </is>
      </c>
      <c r="O3154" t="n">
        <v>100</v>
      </c>
      <c r="P3154" t="n">
        <v>0.0214</v>
      </c>
      <c r="Q3154" t="n">
        <v>70</v>
      </c>
      <c r="R3154" t="n">
        <v>0.03387</v>
      </c>
      <c r="S3154">
        <f>IMAGE("https://mitra.stanford.edu/kundaje/oak/projects/neuro-variants/variant_position/credible/roussos_2024/variant_figures/roussos_2024.childhood.GABA/rs28849788_count_position.png",4,220,900)</f>
        <v/>
      </c>
      <c r="T3154">
        <f>IMAGE("https://mitra.stanford.edu/kundaje/oak/projects/neuro-variants/variant_position/credible/roussos_2024/variant_figures/roussos_2024.childhood.GABA/rs28849788_profile_position.png",4,220,900)</f>
        <v/>
      </c>
    </row>
    <row r="3155">
      <c r="A3155" t="inlineStr">
        <is>
          <t>chr4</t>
        </is>
      </c>
      <c r="B3155" t="n">
        <v>142918372</v>
      </c>
      <c r="C3155" t="inlineStr">
        <is>
          <t>C</t>
        </is>
      </c>
      <c r="D3155" t="inlineStr">
        <is>
          <t>T</t>
        </is>
      </c>
      <c r="E3155" t="inlineStr">
        <is>
          <t>rs1510139</t>
        </is>
      </c>
      <c r="F3155" t="n">
        <v>0.016042408622</v>
      </c>
      <c r="G3155" t="n">
        <v>0.4726619848302971</v>
      </c>
      <c r="H3155" t="n">
        <v>0.0211351047389165</v>
      </c>
      <c r="I3155" t="n">
        <v>0.0594678105750656</v>
      </c>
      <c r="J3155" t="n">
        <v>0.010749513099202</v>
      </c>
      <c r="K3155" t="n">
        <v>0.7353882276879473</v>
      </c>
      <c r="L3155" t="b">
        <v>0</v>
      </c>
      <c r="M3155" t="b">
        <v>0</v>
      </c>
      <c r="N3155" t="inlineStr">
        <is>
          <t>alt</t>
        </is>
      </c>
      <c r="O3155" t="n">
        <v>90</v>
      </c>
      <c r="P3155" t="n">
        <v>0.04303</v>
      </c>
      <c r="Q3155" t="n">
        <v>-45</v>
      </c>
      <c r="R3155" t="n">
        <v>0.05405</v>
      </c>
      <c r="S3155">
        <f>IMAGE("https://mitra.stanford.edu/kundaje/oak/projects/neuro-variants/variant_position/credible/roussos_2024/variant_figures/roussos_2024.childhood.GABA/rs1510139_count_position.png",4,220,900)</f>
        <v/>
      </c>
      <c r="T3155">
        <f>IMAGE("https://mitra.stanford.edu/kundaje/oak/projects/neuro-variants/variant_position/credible/roussos_2024/variant_figures/roussos_2024.childhood.GABA/rs1510139_profile_position.png",4,220,900)</f>
        <v/>
      </c>
    </row>
    <row r="3156">
      <c r="A3156" t="inlineStr">
        <is>
          <t>chr4</t>
        </is>
      </c>
      <c r="B3156" t="n">
        <v>142922142</v>
      </c>
      <c r="C3156" t="inlineStr">
        <is>
          <t>G</t>
        </is>
      </c>
      <c r="D3156" t="inlineStr">
        <is>
          <t>T</t>
        </is>
      </c>
      <c r="E3156" t="inlineStr">
        <is>
          <t>rs2083619</t>
        </is>
      </c>
      <c r="F3156" t="n">
        <v>0.0145381749199999</v>
      </c>
      <c r="G3156" t="n">
        <v>0.4112254581926076</v>
      </c>
      <c r="H3156" t="n">
        <v>0.0122474096367332</v>
      </c>
      <c r="I3156" t="n">
        <v>0.4176759263284979</v>
      </c>
      <c r="J3156" t="n">
        <v>0.046434629641264</v>
      </c>
      <c r="K3156" t="n">
        <v>0.5166365015835264</v>
      </c>
      <c r="L3156" t="b">
        <v>0</v>
      </c>
      <c r="M3156" t="b">
        <v>0</v>
      </c>
      <c r="N3156" t="inlineStr">
        <is>
          <t>alt</t>
        </is>
      </c>
      <c r="O3156" t="n">
        <v>-85</v>
      </c>
      <c r="P3156" t="n">
        <v>0.01979</v>
      </c>
      <c r="Q3156" t="n">
        <v>60</v>
      </c>
      <c r="R3156" t="n">
        <v>0.0818</v>
      </c>
      <c r="S3156">
        <f>IMAGE("https://mitra.stanford.edu/kundaje/oak/projects/neuro-variants/variant_position/credible/roussos_2024/variant_figures/roussos_2024.childhood.GABA/rs2083619_count_position.png",4,220,900)</f>
        <v/>
      </c>
      <c r="T3156">
        <f>IMAGE("https://mitra.stanford.edu/kundaje/oak/projects/neuro-variants/variant_position/credible/roussos_2024/variant_figures/roussos_2024.childhood.GABA/rs2083619_profile_position.png",4,220,900)</f>
        <v/>
      </c>
    </row>
    <row r="3157">
      <c r="A3157" t="inlineStr">
        <is>
          <t>chr4</t>
        </is>
      </c>
      <c r="B3157" t="n">
        <v>142925492</v>
      </c>
      <c r="C3157" t="inlineStr">
        <is>
          <t>A</t>
        </is>
      </c>
      <c r="D3157" t="inlineStr">
        <is>
          <t>G</t>
        </is>
      </c>
      <c r="E3157" t="inlineStr">
        <is>
          <t>rs10017013</t>
        </is>
      </c>
      <c r="F3157" t="n">
        <v>0.073470256</v>
      </c>
      <c r="G3157" t="n">
        <v>0.0602487555909297</v>
      </c>
      <c r="H3157" t="n">
        <v>0.0171685397590474</v>
      </c>
      <c r="I3157" t="n">
        <v>0.1369956599870561</v>
      </c>
      <c r="J3157" t="n">
        <v>0.062258382023413</v>
      </c>
      <c r="K3157" t="n">
        <v>0.4404123697575721</v>
      </c>
      <c r="L3157" t="b">
        <v>0</v>
      </c>
      <c r="M3157" t="b">
        <v>0</v>
      </c>
      <c r="N3157" t="inlineStr">
        <is>
          <t>alt</t>
        </is>
      </c>
      <c r="O3157" t="n">
        <v>-30</v>
      </c>
      <c r="P3157" t="n">
        <v>0.01013</v>
      </c>
      <c r="Q3157" t="n">
        <v>-65</v>
      </c>
      <c r="R3157" t="n">
        <v>0.303</v>
      </c>
      <c r="S3157">
        <f>IMAGE("https://mitra.stanford.edu/kundaje/oak/projects/neuro-variants/variant_position/credible/roussos_2024/variant_figures/roussos_2024.childhood.GABA/rs10017013_count_position.png",4,220,900)</f>
        <v/>
      </c>
      <c r="T3157">
        <f>IMAGE("https://mitra.stanford.edu/kundaje/oak/projects/neuro-variants/variant_position/credible/roussos_2024/variant_figures/roussos_2024.childhood.GABA/rs10017013_profile_position.png",4,220,900)</f>
        <v/>
      </c>
    </row>
    <row r="3158">
      <c r="A3158" t="inlineStr">
        <is>
          <t>chr4</t>
        </is>
      </c>
      <c r="B3158" t="n">
        <v>142926884</v>
      </c>
      <c r="C3158" t="inlineStr">
        <is>
          <t>C</t>
        </is>
      </c>
      <c r="D3158" t="inlineStr">
        <is>
          <t>T</t>
        </is>
      </c>
      <c r="E3158" t="inlineStr">
        <is>
          <t>rs1876939</t>
        </is>
      </c>
      <c r="F3158" t="n">
        <v>-0.1019201394</v>
      </c>
      <c r="G3158" t="n">
        <v>0.0407261578971202</v>
      </c>
      <c r="H3158" t="n">
        <v>0.0197782290154358</v>
      </c>
      <c r="I3158" t="n">
        <v>0.0842185882879754</v>
      </c>
      <c r="J3158" t="n">
        <v>0.0288203388410713</v>
      </c>
      <c r="K3158" t="n">
        <v>0.5891779708253223</v>
      </c>
      <c r="L3158" t="b">
        <v>0</v>
      </c>
      <c r="M3158" t="b">
        <v>0</v>
      </c>
      <c r="N3158" t="inlineStr">
        <is>
          <t>ref</t>
        </is>
      </c>
      <c r="O3158" t="n">
        <v>100</v>
      </c>
      <c r="P3158" t="n">
        <v>0.00551</v>
      </c>
      <c r="Q3158" t="n">
        <v>100</v>
      </c>
      <c r="R3158" t="n">
        <v>0.1207</v>
      </c>
      <c r="S3158">
        <f>IMAGE("https://mitra.stanford.edu/kundaje/oak/projects/neuro-variants/variant_position/credible/roussos_2024/variant_figures/roussos_2024.childhood.GABA/rs1876939_count_position.png",4,220,900)</f>
        <v/>
      </c>
      <c r="T3158">
        <f>IMAGE("https://mitra.stanford.edu/kundaje/oak/projects/neuro-variants/variant_position/credible/roussos_2024/variant_figures/roussos_2024.childhood.GABA/rs1876939_profile_position.png",4,220,900)</f>
        <v/>
      </c>
    </row>
    <row r="3159">
      <c r="A3159" t="inlineStr">
        <is>
          <t>chr4</t>
        </is>
      </c>
      <c r="B3159" t="n">
        <v>142932630</v>
      </c>
      <c r="C3159" t="inlineStr">
        <is>
          <t>G</t>
        </is>
      </c>
      <c r="D3159" t="inlineStr">
        <is>
          <t>T</t>
        </is>
      </c>
      <c r="E3159" t="inlineStr">
        <is>
          <t>rs2010483</t>
        </is>
      </c>
      <c r="F3159" t="n">
        <v>0.0101985095</v>
      </c>
      <c r="G3159" t="n">
        <v>0.6204458661361201</v>
      </c>
      <c r="H3159" t="n">
        <v>0.0242740969860942</v>
      </c>
      <c r="I3159" t="n">
        <v>0.0329883214208729</v>
      </c>
      <c r="J3159" t="n">
        <v>0.0294161378819291</v>
      </c>
      <c r="K3159" t="n">
        <v>0.6042658548175452</v>
      </c>
      <c r="L3159" t="b">
        <v>0</v>
      </c>
      <c r="M3159" t="b">
        <v>0</v>
      </c>
      <c r="N3159" t="inlineStr">
        <is>
          <t>alt</t>
        </is>
      </c>
      <c r="O3159" t="n">
        <v>100</v>
      </c>
      <c r="P3159" t="n">
        <v>0.001251</v>
      </c>
      <c r="Q3159" t="n">
        <v>-60</v>
      </c>
      <c r="R3159" t="n">
        <v>0.0888</v>
      </c>
      <c r="S3159">
        <f>IMAGE("https://mitra.stanford.edu/kundaje/oak/projects/neuro-variants/variant_position/credible/roussos_2024/variant_figures/roussos_2024.childhood.GABA/rs2010483_count_position.png",4,220,900)</f>
        <v/>
      </c>
      <c r="T3159">
        <f>IMAGE("https://mitra.stanford.edu/kundaje/oak/projects/neuro-variants/variant_position/credible/roussos_2024/variant_figures/roussos_2024.childhood.GABA/rs2010483_profile_position.png",4,220,900)</f>
        <v/>
      </c>
    </row>
    <row r="3160">
      <c r="A3160" t="inlineStr">
        <is>
          <t>chr4</t>
        </is>
      </c>
      <c r="B3160" t="n">
        <v>142944753</v>
      </c>
      <c r="C3160" t="inlineStr">
        <is>
          <t>A</t>
        </is>
      </c>
      <c r="D3160" t="inlineStr">
        <is>
          <t>G</t>
        </is>
      </c>
      <c r="E3160" t="inlineStr">
        <is>
          <t>rs4690738</t>
        </is>
      </c>
      <c r="F3160" t="n">
        <v>0.0540936615999999</v>
      </c>
      <c r="G3160" t="n">
        <v>0.1181987457832226</v>
      </c>
      <c r="H3160" t="n">
        <v>0.009557796963599201</v>
      </c>
      <c r="I3160" t="n">
        <v>0.6862372057562574</v>
      </c>
      <c r="J3160" t="n">
        <v>0.0098155012460471</v>
      </c>
      <c r="K3160" t="n">
        <v>0.7437821525854896</v>
      </c>
      <c r="L3160" t="b">
        <v>0</v>
      </c>
      <c r="M3160" t="b">
        <v>0</v>
      </c>
      <c r="N3160" t="inlineStr">
        <is>
          <t>alt</t>
        </is>
      </c>
      <c r="O3160" t="n">
        <v>-45</v>
      </c>
      <c r="P3160" t="n">
        <v>0.003185</v>
      </c>
      <c r="Q3160" t="n">
        <v>50</v>
      </c>
      <c r="R3160" t="n">
        <v>0.04758</v>
      </c>
      <c r="S3160">
        <f>IMAGE("https://mitra.stanford.edu/kundaje/oak/projects/neuro-variants/variant_position/credible/roussos_2024/variant_figures/roussos_2024.childhood.GABA/rs4690738_count_position.png",4,220,900)</f>
        <v/>
      </c>
      <c r="T3160">
        <f>IMAGE("https://mitra.stanford.edu/kundaje/oak/projects/neuro-variants/variant_position/credible/roussos_2024/variant_figures/roussos_2024.childhood.GABA/rs4690738_profile_position.png",4,220,900)</f>
        <v/>
      </c>
    </row>
    <row r="3161">
      <c r="A3161" t="inlineStr">
        <is>
          <t>chr4</t>
        </is>
      </c>
      <c r="B3161" t="n">
        <v>142945462</v>
      </c>
      <c r="C3161" t="inlineStr">
        <is>
          <t>G</t>
        </is>
      </c>
      <c r="D3161" t="inlineStr">
        <is>
          <t>A</t>
        </is>
      </c>
      <c r="E3161" t="inlineStr">
        <is>
          <t>rs13115045</t>
        </is>
      </c>
      <c r="F3161" t="n">
        <v>-0.0471896114</v>
      </c>
      <c r="G3161" t="n">
        <v>0.1772026264701366</v>
      </c>
      <c r="H3161" t="n">
        <v>0.0112221578573034</v>
      </c>
      <c r="I3161" t="n">
        <v>0.5043378142738412</v>
      </c>
      <c r="J3161" t="n">
        <v>0.0759219702205189</v>
      </c>
      <c r="K3161" t="n">
        <v>0.4143739095953551</v>
      </c>
      <c r="L3161" t="b">
        <v>0</v>
      </c>
      <c r="M3161" t="b">
        <v>0</v>
      </c>
      <c r="N3161" t="inlineStr">
        <is>
          <t>ref</t>
        </is>
      </c>
      <c r="O3161" t="n">
        <v>-100</v>
      </c>
      <c r="P3161" t="n">
        <v>0.002449</v>
      </c>
      <c r="Q3161" t="n">
        <v>-10</v>
      </c>
      <c r="R3161" t="n">
        <v>0.02753</v>
      </c>
      <c r="S3161">
        <f>IMAGE("https://mitra.stanford.edu/kundaje/oak/projects/neuro-variants/variant_position/credible/roussos_2024/variant_figures/roussos_2024.childhood.GABA/rs13115045_count_position.png",4,220,900)</f>
        <v/>
      </c>
      <c r="T3161">
        <f>IMAGE("https://mitra.stanford.edu/kundaje/oak/projects/neuro-variants/variant_position/credible/roussos_2024/variant_figures/roussos_2024.childhood.GABA/rs13115045_profile_position.png",4,220,900)</f>
        <v/>
      </c>
    </row>
    <row r="3162">
      <c r="A3162" t="inlineStr">
        <is>
          <t>chr4</t>
        </is>
      </c>
      <c r="B3162" t="n">
        <v>142949730</v>
      </c>
      <c r="C3162" t="inlineStr">
        <is>
          <t>G</t>
        </is>
      </c>
      <c r="D3162" t="inlineStr">
        <is>
          <t>A</t>
        </is>
      </c>
      <c r="E3162" t="inlineStr">
        <is>
          <t>rs10009395</t>
        </is>
      </c>
      <c r="F3162" t="n">
        <v>0.0305932737999999</v>
      </c>
      <c r="G3162" t="n">
        <v>0.3038947792809681</v>
      </c>
      <c r="H3162" t="n">
        <v>0.0236902548317373</v>
      </c>
      <c r="I3162" t="n">
        <v>0.0358862720885127</v>
      </c>
      <c r="J3162" t="n">
        <v>0.0190236853678456</v>
      </c>
      <c r="K3162" t="n">
        <v>0.6599402005638841</v>
      </c>
      <c r="L3162" t="b">
        <v>0</v>
      </c>
      <c r="M3162" t="b">
        <v>0</v>
      </c>
      <c r="N3162" t="inlineStr">
        <is>
          <t>alt</t>
        </is>
      </c>
      <c r="O3162" t="n">
        <v>-30</v>
      </c>
      <c r="P3162" t="n">
        <v>0.0007086</v>
      </c>
      <c r="Q3162" t="n">
        <v>35</v>
      </c>
      <c r="R3162" t="n">
        <v>0.01294</v>
      </c>
      <c r="S3162">
        <f>IMAGE("https://mitra.stanford.edu/kundaje/oak/projects/neuro-variants/variant_position/credible/roussos_2024/variant_figures/roussos_2024.childhood.GABA/rs10009395_count_position.png",4,220,900)</f>
        <v/>
      </c>
      <c r="T3162">
        <f>IMAGE("https://mitra.stanford.edu/kundaje/oak/projects/neuro-variants/variant_position/credible/roussos_2024/variant_figures/roussos_2024.childhood.GABA/rs10009395_profile_position.png",4,220,900)</f>
        <v/>
      </c>
    </row>
    <row r="3163">
      <c r="A3163" t="inlineStr">
        <is>
          <t>chr4</t>
        </is>
      </c>
      <c r="B3163" t="n">
        <v>142955127</v>
      </c>
      <c r="C3163" t="inlineStr">
        <is>
          <t>A</t>
        </is>
      </c>
      <c r="D3163" t="inlineStr">
        <is>
          <t>G</t>
        </is>
      </c>
      <c r="E3163" t="inlineStr">
        <is>
          <t>rs34596213</t>
        </is>
      </c>
      <c r="F3163" t="n">
        <v>0.0699576536</v>
      </c>
      <c r="G3163" t="n">
        <v>0.065901256889478</v>
      </c>
      <c r="H3163" t="n">
        <v>0.0137728162361548</v>
      </c>
      <c r="I3163" t="n">
        <v>0.3038206389654553</v>
      </c>
      <c r="J3163" t="n">
        <v>0.1999769638332181</v>
      </c>
      <c r="K3163" t="n">
        <v>0.2247329677474008</v>
      </c>
      <c r="L3163" t="b">
        <v>0</v>
      </c>
      <c r="M3163" t="b">
        <v>0</v>
      </c>
      <c r="N3163" t="inlineStr">
        <is>
          <t>alt</t>
        </is>
      </c>
      <c r="O3163" t="n">
        <v>-95</v>
      </c>
      <c r="P3163" t="n">
        <v>0.01726</v>
      </c>
      <c r="Q3163" t="n">
        <v>-100</v>
      </c>
      <c r="R3163" t="n">
        <v>0.04468</v>
      </c>
      <c r="S3163">
        <f>IMAGE("https://mitra.stanford.edu/kundaje/oak/projects/neuro-variants/variant_position/credible/roussos_2024/variant_figures/roussos_2024.childhood.GABA/rs34596213_count_position.png",4,220,900)</f>
        <v/>
      </c>
      <c r="T3163">
        <f>IMAGE("https://mitra.stanford.edu/kundaje/oak/projects/neuro-variants/variant_position/credible/roussos_2024/variant_figures/roussos_2024.childhood.GABA/rs34596213_profile_position.png",4,220,900)</f>
        <v/>
      </c>
    </row>
    <row r="3164">
      <c r="A3164" t="inlineStr">
        <is>
          <t>chr4</t>
        </is>
      </c>
      <c r="B3164" t="n">
        <v>142960579</v>
      </c>
      <c r="C3164" t="inlineStr">
        <is>
          <t>A</t>
        </is>
      </c>
      <c r="D3164" t="inlineStr">
        <is>
          <t>T</t>
        </is>
      </c>
      <c r="E3164" t="inlineStr">
        <is>
          <t>rs4690740</t>
        </is>
      </c>
      <c r="F3164" t="n">
        <v>0.0105277612</v>
      </c>
      <c r="G3164" t="n">
        <v>0.5078776052952015</v>
      </c>
      <c r="H3164" t="n">
        <v>0.021847623320137</v>
      </c>
      <c r="I3164" t="n">
        <v>0.0521354202141407</v>
      </c>
      <c r="J3164" t="n">
        <v>0.09652363301292111</v>
      </c>
      <c r="K3164" t="n">
        <v>0.3567990081207641</v>
      </c>
      <c r="L3164" t="b">
        <v>0</v>
      </c>
      <c r="M3164" t="b">
        <v>0</v>
      </c>
      <c r="N3164" t="inlineStr">
        <is>
          <t>alt</t>
        </is>
      </c>
      <c r="O3164" t="n">
        <v>40</v>
      </c>
      <c r="P3164" t="n">
        <v>0.003967</v>
      </c>
      <c r="Q3164" t="n">
        <v>35</v>
      </c>
      <c r="R3164" t="n">
        <v>0.0569</v>
      </c>
      <c r="S3164">
        <f>IMAGE("https://mitra.stanford.edu/kundaje/oak/projects/neuro-variants/variant_position/credible/roussos_2024/variant_figures/roussos_2024.childhood.GABA/rs4690740_count_position.png",4,220,900)</f>
        <v/>
      </c>
      <c r="T3164">
        <f>IMAGE("https://mitra.stanford.edu/kundaje/oak/projects/neuro-variants/variant_position/credible/roussos_2024/variant_figures/roussos_2024.childhood.GABA/rs4690740_profile_position.png",4,220,900)</f>
        <v/>
      </c>
    </row>
    <row r="3165">
      <c r="A3165" t="inlineStr">
        <is>
          <t>chr4</t>
        </is>
      </c>
      <c r="B3165" t="n">
        <v>142964484</v>
      </c>
      <c r="C3165" t="inlineStr">
        <is>
          <t>C</t>
        </is>
      </c>
      <c r="D3165" t="inlineStr">
        <is>
          <t>T</t>
        </is>
      </c>
      <c r="E3165" t="inlineStr">
        <is>
          <t>rs17678304</t>
        </is>
      </c>
      <c r="F3165" t="n">
        <v>-0.0966250922</v>
      </c>
      <c r="G3165" t="n">
        <v>0.0349768681010747</v>
      </c>
      <c r="H3165" t="n">
        <v>0.015838315991357</v>
      </c>
      <c r="I3165" t="n">
        <v>0.1804779009462845</v>
      </c>
      <c r="J3165" t="n">
        <v>0.0332349060752654</v>
      </c>
      <c r="K3165" t="n">
        <v>0.5778124603606183</v>
      </c>
      <c r="L3165" t="b">
        <v>0</v>
      </c>
      <c r="M3165" t="b">
        <v>0</v>
      </c>
      <c r="N3165" t="inlineStr">
        <is>
          <t>ref</t>
        </is>
      </c>
      <c r="O3165" t="n">
        <v>-45</v>
      </c>
      <c r="P3165" t="n">
        <v>0.01662</v>
      </c>
      <c r="Q3165" t="n">
        <v>15</v>
      </c>
      <c r="R3165" t="n">
        <v>0.001343</v>
      </c>
      <c r="S3165">
        <f>IMAGE("https://mitra.stanford.edu/kundaje/oak/projects/neuro-variants/variant_position/credible/roussos_2024/variant_figures/roussos_2024.childhood.GABA/rs17678304_count_position.png",4,220,900)</f>
        <v/>
      </c>
      <c r="T3165">
        <f>IMAGE("https://mitra.stanford.edu/kundaje/oak/projects/neuro-variants/variant_position/credible/roussos_2024/variant_figures/roussos_2024.childhood.GABA/rs17678304_profile_position.png",4,220,900)</f>
        <v/>
      </c>
    </row>
    <row r="3166">
      <c r="A3166" t="inlineStr">
        <is>
          <t>chr4</t>
        </is>
      </c>
      <c r="B3166" t="n">
        <v>142965389</v>
      </c>
      <c r="C3166" t="inlineStr">
        <is>
          <t>G</t>
        </is>
      </c>
      <c r="D3166" t="inlineStr">
        <is>
          <t>A</t>
        </is>
      </c>
      <c r="E3166" t="inlineStr">
        <is>
          <t>rs10026166</t>
        </is>
      </c>
      <c r="F3166" t="n">
        <v>-0.0603121848</v>
      </c>
      <c r="G3166" t="n">
        <v>0.1010185980294553</v>
      </c>
      <c r="H3166" t="n">
        <v>0.013320374003394</v>
      </c>
      <c r="I3166" t="n">
        <v>0.3294493571041049</v>
      </c>
      <c r="J3166" t="n">
        <v>0.0302035559464722</v>
      </c>
      <c r="K3166" t="n">
        <v>0.6120815448447611</v>
      </c>
      <c r="L3166" t="b">
        <v>0</v>
      </c>
      <c r="M3166" t="b">
        <v>0</v>
      </c>
      <c r="N3166" t="inlineStr">
        <is>
          <t>ref</t>
        </is>
      </c>
      <c r="O3166" t="n">
        <v>-15</v>
      </c>
      <c r="P3166" t="n">
        <v>0.001017</v>
      </c>
      <c r="Q3166" t="n">
        <v>-100</v>
      </c>
      <c r="R3166" t="n">
        <v>0.0974</v>
      </c>
      <c r="S3166">
        <f>IMAGE("https://mitra.stanford.edu/kundaje/oak/projects/neuro-variants/variant_position/credible/roussos_2024/variant_figures/roussos_2024.childhood.GABA/rs10026166_count_position.png",4,220,900)</f>
        <v/>
      </c>
      <c r="T3166">
        <f>IMAGE("https://mitra.stanford.edu/kundaje/oak/projects/neuro-variants/variant_position/credible/roussos_2024/variant_figures/roussos_2024.childhood.GABA/rs10026166_profile_position.png",4,220,900)</f>
        <v/>
      </c>
    </row>
    <row r="3167">
      <c r="A3167" t="inlineStr">
        <is>
          <t>chr4</t>
        </is>
      </c>
      <c r="B3167" t="n">
        <v>142970712</v>
      </c>
      <c r="C3167" t="inlineStr">
        <is>
          <t>G</t>
        </is>
      </c>
      <c r="D3167" t="inlineStr">
        <is>
          <t>A</t>
        </is>
      </c>
      <c r="E3167" t="inlineStr">
        <is>
          <t>rs7666854</t>
        </is>
      </c>
      <c r="F3167" t="n">
        <v>-0.0720630892</v>
      </c>
      <c r="G3167" t="n">
        <v>0.07742071036548261</v>
      </c>
      <c r="H3167" t="n">
        <v>0.0461082373851802</v>
      </c>
      <c r="I3167" t="n">
        <v>0.0025344846850224</v>
      </c>
      <c r="J3167" t="n">
        <v>0.0305564281376306</v>
      </c>
      <c r="K3167" t="n">
        <v>0.5884116122611596</v>
      </c>
      <c r="L3167" t="b">
        <v>1</v>
      </c>
      <c r="M3167" t="b">
        <v>0</v>
      </c>
      <c r="N3167" t="inlineStr">
        <is>
          <t>ref</t>
        </is>
      </c>
      <c r="O3167" t="n">
        <v>-100</v>
      </c>
      <c r="P3167" t="n">
        <v>0.07340000000000001</v>
      </c>
      <c r="Q3167" t="n">
        <v>-60</v>
      </c>
      <c r="R3167" t="n">
        <v>0.03705</v>
      </c>
      <c r="S3167">
        <f>IMAGE("https://mitra.stanford.edu/kundaje/oak/projects/neuro-variants/variant_position/credible/roussos_2024/variant_figures/roussos_2024.childhood.GABA/rs7666854_count_position.png",4,220,900)</f>
        <v/>
      </c>
      <c r="T3167">
        <f>IMAGE("https://mitra.stanford.edu/kundaje/oak/projects/neuro-variants/variant_position/credible/roussos_2024/variant_figures/roussos_2024.childhood.GABA/rs7666854_profile_position.png",4,220,900)</f>
        <v/>
      </c>
    </row>
    <row r="3168">
      <c r="A3168" t="inlineStr">
        <is>
          <t>chr4</t>
        </is>
      </c>
      <c r="B3168" t="n">
        <v>142971699</v>
      </c>
      <c r="C3168" t="inlineStr">
        <is>
          <t>C</t>
        </is>
      </c>
      <c r="D3168" t="inlineStr">
        <is>
          <t>G</t>
        </is>
      </c>
      <c r="E3168" t="inlineStr">
        <is>
          <t>rs11936467</t>
        </is>
      </c>
      <c r="F3168" t="n">
        <v>-0.039390277</v>
      </c>
      <c r="G3168" t="n">
        <v>0.2372948686590851</v>
      </c>
      <c r="H3168" t="n">
        <v>0.0194067249480698</v>
      </c>
      <c r="I3168" t="n">
        <v>0.1014407193239287</v>
      </c>
      <c r="J3168" t="n">
        <v>0.0305061674101065</v>
      </c>
      <c r="K3168" t="n">
        <v>0.5737048304950357</v>
      </c>
      <c r="L3168" t="b">
        <v>0</v>
      </c>
      <c r="M3168" t="b">
        <v>0</v>
      </c>
      <c r="N3168" t="inlineStr">
        <is>
          <t>ref</t>
        </is>
      </c>
      <c r="O3168" t="n">
        <v>-100</v>
      </c>
      <c r="P3168" t="n">
        <v>0.03534</v>
      </c>
      <c r="Q3168" t="n">
        <v>35</v>
      </c>
      <c r="R3168" t="n">
        <v>0.05127</v>
      </c>
      <c r="S3168">
        <f>IMAGE("https://mitra.stanford.edu/kundaje/oak/projects/neuro-variants/variant_position/credible/roussos_2024/variant_figures/roussos_2024.childhood.GABA/rs11936467_count_position.png",4,220,900)</f>
        <v/>
      </c>
      <c r="T3168">
        <f>IMAGE("https://mitra.stanford.edu/kundaje/oak/projects/neuro-variants/variant_position/credible/roussos_2024/variant_figures/roussos_2024.childhood.GABA/rs11936467_profile_position.png",4,220,900)</f>
        <v/>
      </c>
    </row>
    <row r="3169">
      <c r="A3169" t="inlineStr">
        <is>
          <t>chr4</t>
        </is>
      </c>
      <c r="B3169" t="n">
        <v>142972938</v>
      </c>
      <c r="C3169" t="inlineStr">
        <is>
          <t>T</t>
        </is>
      </c>
      <c r="D3169" t="inlineStr">
        <is>
          <t>C</t>
        </is>
      </c>
      <c r="E3169" t="inlineStr">
        <is>
          <t>rs6820975</t>
        </is>
      </c>
      <c r="F3169" t="n">
        <v>0.01783832986</v>
      </c>
      <c r="G3169" t="n">
        <v>0.4543650502171671</v>
      </c>
      <c r="H3169" t="n">
        <v>0.0097274201517183</v>
      </c>
      <c r="I3169" t="n">
        <v>0.651355573495251</v>
      </c>
      <c r="J3169" t="n">
        <v>0.0325040313291867</v>
      </c>
      <c r="K3169" t="n">
        <v>0.5618582377373355</v>
      </c>
      <c r="L3169" t="b">
        <v>0</v>
      </c>
      <c r="M3169" t="b">
        <v>0</v>
      </c>
      <c r="N3169" t="inlineStr">
        <is>
          <t>alt</t>
        </is>
      </c>
      <c r="O3169" t="n">
        <v>35</v>
      </c>
      <c r="P3169" t="n">
        <v>0.001396</v>
      </c>
      <c r="Q3169" t="n">
        <v>-85</v>
      </c>
      <c r="R3169" t="n">
        <v>0.01182</v>
      </c>
      <c r="S3169">
        <f>IMAGE("https://mitra.stanford.edu/kundaje/oak/projects/neuro-variants/variant_position/credible/roussos_2024/variant_figures/roussos_2024.childhood.GABA/rs6820975_count_position.png",4,220,900)</f>
        <v/>
      </c>
      <c r="T3169">
        <f>IMAGE("https://mitra.stanford.edu/kundaje/oak/projects/neuro-variants/variant_position/credible/roussos_2024/variant_figures/roussos_2024.childhood.GABA/rs6820975_profile_position.png",4,220,900)</f>
        <v/>
      </c>
    </row>
    <row r="3170">
      <c r="A3170" t="inlineStr">
        <is>
          <t>chr4</t>
        </is>
      </c>
      <c r="B3170" t="n">
        <v>142972944</v>
      </c>
      <c r="C3170" t="inlineStr">
        <is>
          <t>A</t>
        </is>
      </c>
      <c r="D3170" t="inlineStr">
        <is>
          <t>T</t>
        </is>
      </c>
      <c r="E3170" t="inlineStr">
        <is>
          <t>rs6815888</t>
        </is>
      </c>
      <c r="F3170" t="n">
        <v>-0.0147181648199999</v>
      </c>
      <c r="G3170" t="n">
        <v>0.5369771244697873</v>
      </c>
      <c r="H3170" t="n">
        <v>0.0110212507338203</v>
      </c>
      <c r="I3170" t="n">
        <v>0.5210959762101586</v>
      </c>
      <c r="J3170" t="n">
        <v>0.0319909530690456</v>
      </c>
      <c r="K3170" t="n">
        <v>0.5642693152987606</v>
      </c>
      <c r="L3170" t="b">
        <v>0</v>
      </c>
      <c r="M3170" t="b">
        <v>0</v>
      </c>
      <c r="N3170" t="inlineStr">
        <is>
          <t>ref</t>
        </is>
      </c>
      <c r="O3170" t="n">
        <v>30</v>
      </c>
      <c r="P3170" t="n">
        <v>0.001205</v>
      </c>
      <c r="Q3170" t="n">
        <v>-80</v>
      </c>
      <c r="R3170" t="n">
        <v>0.01508</v>
      </c>
      <c r="S3170">
        <f>IMAGE("https://mitra.stanford.edu/kundaje/oak/projects/neuro-variants/variant_position/credible/roussos_2024/variant_figures/roussos_2024.childhood.GABA/rs6815888_count_position.png",4,220,900)</f>
        <v/>
      </c>
      <c r="T3170">
        <f>IMAGE("https://mitra.stanford.edu/kundaje/oak/projects/neuro-variants/variant_position/credible/roussos_2024/variant_figures/roussos_2024.childhood.GABA/rs6815888_profile_position.png",4,220,900)</f>
        <v/>
      </c>
    </row>
    <row r="3171">
      <c r="A3171" t="inlineStr">
        <is>
          <t>chr4</t>
        </is>
      </c>
      <c r="B3171" t="n">
        <v>142973444</v>
      </c>
      <c r="C3171" t="inlineStr">
        <is>
          <t>C</t>
        </is>
      </c>
      <c r="D3171" t="inlineStr">
        <is>
          <t>G</t>
        </is>
      </c>
      <c r="E3171" t="inlineStr">
        <is>
          <t>rs13101590</t>
        </is>
      </c>
      <c r="F3171" t="n">
        <v>0.0083409536399999</v>
      </c>
      <c r="G3171" t="n">
        <v>0.416936076346307</v>
      </c>
      <c r="H3171" t="n">
        <v>0.0124645968930507</v>
      </c>
      <c r="I3171" t="n">
        <v>0.3954952171789977</v>
      </c>
      <c r="J3171" t="n">
        <v>0.172494816862474</v>
      </c>
      <c r="K3171" t="n">
        <v>0.2387014370323457</v>
      </c>
      <c r="L3171" t="b">
        <v>0</v>
      </c>
      <c r="M3171" t="b">
        <v>0</v>
      </c>
      <c r="N3171" t="inlineStr">
        <is>
          <t>alt</t>
        </is>
      </c>
      <c r="O3171" t="n">
        <v>25</v>
      </c>
      <c r="P3171" t="n">
        <v>0.001831</v>
      </c>
      <c r="Q3171" t="n">
        <v>25</v>
      </c>
      <c r="R3171" t="n">
        <v>0.0669</v>
      </c>
      <c r="S3171">
        <f>IMAGE("https://mitra.stanford.edu/kundaje/oak/projects/neuro-variants/variant_position/credible/roussos_2024/variant_figures/roussos_2024.childhood.GABA/rs13101590_count_position.png",4,220,900)</f>
        <v/>
      </c>
      <c r="T3171">
        <f>IMAGE("https://mitra.stanford.edu/kundaje/oak/projects/neuro-variants/variant_position/credible/roussos_2024/variant_figures/roussos_2024.childhood.GABA/rs13101590_profile_position.png",4,220,900)</f>
        <v/>
      </c>
    </row>
    <row r="3172">
      <c r="A3172" t="inlineStr">
        <is>
          <t>chr4</t>
        </is>
      </c>
      <c r="B3172" t="n">
        <v>142973452</v>
      </c>
      <c r="C3172" t="inlineStr">
        <is>
          <t>A</t>
        </is>
      </c>
      <c r="D3172" t="inlineStr">
        <is>
          <t>G</t>
        </is>
      </c>
      <c r="E3172" t="inlineStr">
        <is>
          <t>rs13128465</t>
        </is>
      </c>
      <c r="F3172" t="n">
        <v>-0.0315391302</v>
      </c>
      <c r="G3172" t="n">
        <v>0.2771370885546101</v>
      </c>
      <c r="H3172" t="n">
        <v>0.0176200121142832</v>
      </c>
      <c r="I3172" t="n">
        <v>0.1252607957637392</v>
      </c>
      <c r="J3172" t="n">
        <v>0.1704990471403739</v>
      </c>
      <c r="K3172" t="n">
        <v>0.2406900899356402</v>
      </c>
      <c r="L3172" t="b">
        <v>0</v>
      </c>
      <c r="M3172" t="b">
        <v>0</v>
      </c>
      <c r="N3172" t="inlineStr">
        <is>
          <t>ref</t>
        </is>
      </c>
      <c r="O3172" t="n">
        <v>15</v>
      </c>
      <c r="P3172" t="n">
        <v>0.000641</v>
      </c>
      <c r="Q3172" t="n">
        <v>20</v>
      </c>
      <c r="R3172" t="n">
        <v>0.03564</v>
      </c>
      <c r="S3172">
        <f>IMAGE("https://mitra.stanford.edu/kundaje/oak/projects/neuro-variants/variant_position/credible/roussos_2024/variant_figures/roussos_2024.childhood.GABA/rs13128465_count_position.png",4,220,900)</f>
        <v/>
      </c>
      <c r="T3172">
        <f>IMAGE("https://mitra.stanford.edu/kundaje/oak/projects/neuro-variants/variant_position/credible/roussos_2024/variant_figures/roussos_2024.childhood.GABA/rs13128465_profile_position.png",4,220,900)</f>
        <v/>
      </c>
    </row>
    <row r="3173">
      <c r="A3173" t="inlineStr">
        <is>
          <t>chr4</t>
        </is>
      </c>
      <c r="B3173" t="n">
        <v>142975241</v>
      </c>
      <c r="C3173" t="inlineStr">
        <is>
          <t>T</t>
        </is>
      </c>
      <c r="D3173" t="inlineStr">
        <is>
          <t>A</t>
        </is>
      </c>
      <c r="E3173" t="inlineStr">
        <is>
          <t>rs13147901</t>
        </is>
      </c>
      <c r="F3173" t="n">
        <v>-0.00515737672</v>
      </c>
      <c r="G3173" t="n">
        <v>0.7882866787460066</v>
      </c>
      <c r="H3173" t="n">
        <v>0.02114057558361</v>
      </c>
      <c r="I3173" t="n">
        <v>0.0588326011638762</v>
      </c>
      <c r="J3173" t="n">
        <v>0.0601285836945822</v>
      </c>
      <c r="K3173" t="n">
        <v>0.4495062539250588</v>
      </c>
      <c r="L3173" t="b">
        <v>0</v>
      </c>
      <c r="M3173" t="b">
        <v>0</v>
      </c>
      <c r="N3173" t="inlineStr">
        <is>
          <t>ref</t>
        </is>
      </c>
      <c r="O3173" t="n">
        <v>60</v>
      </c>
      <c r="P3173" t="n">
        <v>0.0007944</v>
      </c>
      <c r="Q3173" t="n">
        <v>-20</v>
      </c>
      <c r="R3173" t="n">
        <v>0.05176</v>
      </c>
      <c r="S3173">
        <f>IMAGE("https://mitra.stanford.edu/kundaje/oak/projects/neuro-variants/variant_position/credible/roussos_2024/variant_figures/roussos_2024.childhood.GABA/rs13147901_count_position.png",4,220,900)</f>
        <v/>
      </c>
      <c r="T3173">
        <f>IMAGE("https://mitra.stanford.edu/kundaje/oak/projects/neuro-variants/variant_position/credible/roussos_2024/variant_figures/roussos_2024.childhood.GABA/rs13147901_profile_position.png",4,220,900)</f>
        <v/>
      </c>
    </row>
    <row r="3174">
      <c r="A3174" t="inlineStr">
        <is>
          <t>chr4</t>
        </is>
      </c>
      <c r="B3174" t="n">
        <v>142976607</v>
      </c>
      <c r="C3174" t="inlineStr">
        <is>
          <t>A</t>
        </is>
      </c>
      <c r="D3174" t="inlineStr">
        <is>
          <t>G</t>
        </is>
      </c>
      <c r="E3174" t="inlineStr">
        <is>
          <t>rs4690743</t>
        </is>
      </c>
      <c r="F3174" t="n">
        <v>0.0036424499399999</v>
      </c>
      <c r="G3174" t="n">
        <v>0.8045402152513136</v>
      </c>
      <c r="H3174" t="n">
        <v>0.024946840109211</v>
      </c>
      <c r="I3174" t="n">
        <v>0.029629381724817</v>
      </c>
      <c r="J3174" t="n">
        <v>0.0009350589516449</v>
      </c>
      <c r="K3174" t="n">
        <v>0.9212420593528636</v>
      </c>
      <c r="L3174" t="b">
        <v>0</v>
      </c>
      <c r="M3174" t="b">
        <v>0</v>
      </c>
      <c r="N3174" t="inlineStr">
        <is>
          <t>alt</t>
        </is>
      </c>
      <c r="O3174" t="n">
        <v>5</v>
      </c>
      <c r="P3174" t="n">
        <v>0.000977</v>
      </c>
      <c r="Q3174" t="n">
        <v>-100</v>
      </c>
      <c r="R3174" t="n">
        <v>0.08026</v>
      </c>
      <c r="S3174">
        <f>IMAGE("https://mitra.stanford.edu/kundaje/oak/projects/neuro-variants/variant_position/credible/roussos_2024/variant_figures/roussos_2024.childhood.GABA/rs4690743_count_position.png",4,220,900)</f>
        <v/>
      </c>
      <c r="T3174">
        <f>IMAGE("https://mitra.stanford.edu/kundaje/oak/projects/neuro-variants/variant_position/credible/roussos_2024/variant_figures/roussos_2024.childhood.GABA/rs4690743_profile_position.png",4,220,900)</f>
        <v/>
      </c>
    </row>
    <row r="3175">
      <c r="A3175" t="inlineStr">
        <is>
          <t>chr4</t>
        </is>
      </c>
      <c r="B3175" t="n">
        <v>142976996</v>
      </c>
      <c r="C3175" t="inlineStr">
        <is>
          <t>T</t>
        </is>
      </c>
      <c r="D3175" t="inlineStr">
        <is>
          <t>C</t>
        </is>
      </c>
      <c r="E3175" t="inlineStr">
        <is>
          <t>rs13110491</t>
        </is>
      </c>
      <c r="F3175" t="n">
        <v>0.0783502728</v>
      </c>
      <c r="G3175" t="n">
        <v>0.0534864109795726</v>
      </c>
      <c r="H3175" t="n">
        <v>0.0187268287696529</v>
      </c>
      <c r="I3175" t="n">
        <v>0.09717546028291831</v>
      </c>
      <c r="J3175" t="n">
        <v>0.0030899876442377</v>
      </c>
      <c r="K3175" t="n">
        <v>0.8671800659005567</v>
      </c>
      <c r="L3175" t="b">
        <v>0</v>
      </c>
      <c r="M3175" t="b">
        <v>0</v>
      </c>
      <c r="N3175" t="inlineStr">
        <is>
          <t>alt</t>
        </is>
      </c>
      <c r="O3175" t="n">
        <v>80</v>
      </c>
      <c r="P3175" t="n">
        <v>0.3047</v>
      </c>
      <c r="Q3175" t="n">
        <v>75</v>
      </c>
      <c r="R3175" t="n">
        <v>0.0434</v>
      </c>
      <c r="S3175">
        <f>IMAGE("https://mitra.stanford.edu/kundaje/oak/projects/neuro-variants/variant_position/credible/roussos_2024/variant_figures/roussos_2024.childhood.GABA/rs13110491_count_position.png",4,220,900)</f>
        <v/>
      </c>
      <c r="T3175">
        <f>IMAGE("https://mitra.stanford.edu/kundaje/oak/projects/neuro-variants/variant_position/credible/roussos_2024/variant_figures/roussos_2024.childhood.GABA/rs13110491_profile_position.png",4,220,900)</f>
        <v/>
      </c>
    </row>
    <row r="3176">
      <c r="A3176" t="inlineStr">
        <is>
          <t>chr4</t>
        </is>
      </c>
      <c r="B3176" t="n">
        <v>142977422</v>
      </c>
      <c r="C3176" t="inlineStr">
        <is>
          <t>T</t>
        </is>
      </c>
      <c r="D3176" t="inlineStr">
        <is>
          <t>C</t>
        </is>
      </c>
      <c r="E3176" t="inlineStr">
        <is>
          <t>rs9308158</t>
        </is>
      </c>
      <c r="F3176" t="n">
        <v>0.0853939068</v>
      </c>
      <c r="G3176" t="n">
        <v>0.0563335394999794</v>
      </c>
      <c r="H3176" t="n">
        <v>0.0147814368344587</v>
      </c>
      <c r="I3176" t="n">
        <v>0.2392772268108095</v>
      </c>
      <c r="J3176" t="n">
        <v>0.0101421959749533</v>
      </c>
      <c r="K3176" t="n">
        <v>0.7748143353356559</v>
      </c>
      <c r="L3176" t="b">
        <v>0</v>
      </c>
      <c r="M3176" t="b">
        <v>0</v>
      </c>
      <c r="N3176" t="inlineStr">
        <is>
          <t>alt</t>
        </is>
      </c>
      <c r="O3176" t="n">
        <v>-100</v>
      </c>
      <c r="P3176" t="n">
        <v>0.03998</v>
      </c>
      <c r="Q3176" t="n">
        <v>-85</v>
      </c>
      <c r="R3176" t="n">
        <v>0.03876</v>
      </c>
      <c r="S3176">
        <f>IMAGE("https://mitra.stanford.edu/kundaje/oak/projects/neuro-variants/variant_position/credible/roussos_2024/variant_figures/roussos_2024.childhood.GABA/rs9308158_count_position.png",4,220,900)</f>
        <v/>
      </c>
      <c r="T3176">
        <f>IMAGE("https://mitra.stanford.edu/kundaje/oak/projects/neuro-variants/variant_position/credible/roussos_2024/variant_figures/roussos_2024.childhood.GABA/rs9308158_profile_position.png",4,220,900)</f>
        <v/>
      </c>
    </row>
    <row r="3177">
      <c r="A3177" t="inlineStr">
        <is>
          <t>chr4</t>
        </is>
      </c>
      <c r="B3177" t="n">
        <v>142990330</v>
      </c>
      <c r="C3177" t="inlineStr">
        <is>
          <t>C</t>
        </is>
      </c>
      <c r="D3177" t="inlineStr">
        <is>
          <t>T</t>
        </is>
      </c>
      <c r="E3177" t="inlineStr">
        <is>
          <t>rs1510140</t>
        </is>
      </c>
      <c r="F3177" t="n">
        <v>-0.1213186939999999</v>
      </c>
      <c r="G3177" t="n">
        <v>0.0187501245111202</v>
      </c>
      <c r="H3177" t="n">
        <v>0.0263747418530001</v>
      </c>
      <c r="I3177" t="n">
        <v>0.024636209302204</v>
      </c>
      <c r="J3177" t="n">
        <v>0.1425404703566417</v>
      </c>
      <c r="K3177" t="n">
        <v>0.2840859750748744</v>
      </c>
      <c r="L3177" t="b">
        <v>1</v>
      </c>
      <c r="M3177" t="b">
        <v>0</v>
      </c>
      <c r="N3177" t="inlineStr">
        <is>
          <t>ref</t>
        </is>
      </c>
      <c r="O3177" t="n">
        <v>-100</v>
      </c>
      <c r="P3177" t="n">
        <v>0.003786</v>
      </c>
      <c r="Q3177" t="n">
        <v>100</v>
      </c>
      <c r="R3177" t="n">
        <v>0.03433</v>
      </c>
      <c r="S3177">
        <f>IMAGE("https://mitra.stanford.edu/kundaje/oak/projects/neuro-variants/variant_position/credible/roussos_2024/variant_figures/roussos_2024.childhood.GABA/rs1510140_count_position.png",4,220,900)</f>
        <v/>
      </c>
      <c r="T3177">
        <f>IMAGE("https://mitra.stanford.edu/kundaje/oak/projects/neuro-variants/variant_position/credible/roussos_2024/variant_figures/roussos_2024.childhood.GABA/rs1510140_profile_position.png",4,220,900)</f>
        <v/>
      </c>
    </row>
    <row r="3178">
      <c r="A3178" t="inlineStr">
        <is>
          <t>chr4</t>
        </is>
      </c>
      <c r="B3178" t="n">
        <v>155258235</v>
      </c>
      <c r="C3178" t="inlineStr">
        <is>
          <t>A</t>
        </is>
      </c>
      <c r="D3178" t="inlineStr">
        <is>
          <t>G</t>
        </is>
      </c>
      <c r="E3178" t="inlineStr">
        <is>
          <t>rs2341895</t>
        </is>
      </c>
      <c r="F3178" t="n">
        <v>0.140750814</v>
      </c>
      <c r="G3178" t="n">
        <v>0.0113806648089325</v>
      </c>
      <c r="H3178" t="n">
        <v>0.0262332849659244</v>
      </c>
      <c r="I3178" t="n">
        <v>0.0228981177491766</v>
      </c>
      <c r="J3178" t="n">
        <v>0.0159682519737806</v>
      </c>
      <c r="K3178" t="n">
        <v>0.6803444619594855</v>
      </c>
      <c r="L3178" t="b">
        <v>1</v>
      </c>
      <c r="M3178" t="b">
        <v>0</v>
      </c>
      <c r="N3178" t="inlineStr">
        <is>
          <t>alt</t>
        </is>
      </c>
      <c r="O3178" t="n">
        <v>100</v>
      </c>
      <c r="P3178" t="n">
        <v>0.009124999999999999</v>
      </c>
      <c r="Q3178" t="n">
        <v>45</v>
      </c>
      <c r="R3178" t="n">
        <v>0.10315</v>
      </c>
      <c r="S3178">
        <f>IMAGE("https://mitra.stanford.edu/kundaje/oak/projects/neuro-variants/variant_position/credible/roussos_2024/variant_figures/roussos_2024.childhood.GABA/rs2341895_count_position.png",4,220,900)</f>
        <v/>
      </c>
      <c r="T3178">
        <f>IMAGE("https://mitra.stanford.edu/kundaje/oak/projects/neuro-variants/variant_position/credible/roussos_2024/variant_figures/roussos_2024.childhood.GABA/rs2341895_profile_position.png",4,220,900)</f>
        <v/>
      </c>
    </row>
    <row r="3179">
      <c r="A3179" t="inlineStr">
        <is>
          <t>chr4</t>
        </is>
      </c>
      <c r="B3179" t="n">
        <v>155281590</v>
      </c>
      <c r="C3179" t="inlineStr">
        <is>
          <t>G</t>
        </is>
      </c>
      <c r="D3179" t="inlineStr">
        <is>
          <t>T</t>
        </is>
      </c>
      <c r="E3179" t="inlineStr">
        <is>
          <t>rs12651028</t>
        </is>
      </c>
      <c r="F3179" t="n">
        <v>-0.0073465173148</v>
      </c>
      <c r="G3179" t="n">
        <v>0.7358527935360402</v>
      </c>
      <c r="H3179" t="n">
        <v>0.0224758976039422</v>
      </c>
      <c r="I3179" t="n">
        <v>0.0454799823309445</v>
      </c>
      <c r="J3179" t="n">
        <v>0.0114060438524847</v>
      </c>
      <c r="K3179" t="n">
        <v>0.7206086282536084</v>
      </c>
      <c r="L3179" t="b">
        <v>0</v>
      </c>
      <c r="M3179" t="b">
        <v>0</v>
      </c>
      <c r="N3179" t="inlineStr">
        <is>
          <t>ref</t>
        </is>
      </c>
      <c r="O3179" t="n">
        <v>-60</v>
      </c>
      <c r="P3179" t="n">
        <v>0.0233</v>
      </c>
      <c r="Q3179" t="n">
        <v>-40</v>
      </c>
      <c r="R3179" t="n">
        <v>0.01448</v>
      </c>
      <c r="S3179">
        <f>IMAGE("https://mitra.stanford.edu/kundaje/oak/projects/neuro-variants/variant_position/credible/roussos_2024/variant_figures/roussos_2024.childhood.GABA/rs12651028_count_position.png",4,220,900)</f>
        <v/>
      </c>
      <c r="T3179">
        <f>IMAGE("https://mitra.stanford.edu/kundaje/oak/projects/neuro-variants/variant_position/credible/roussos_2024/variant_figures/roussos_2024.childhood.GABA/rs12651028_profile_position.png",4,220,900)</f>
        <v/>
      </c>
    </row>
    <row r="3180">
      <c r="A3180" t="inlineStr">
        <is>
          <t>chr4</t>
        </is>
      </c>
      <c r="B3180" t="n">
        <v>155296326</v>
      </c>
      <c r="C3180" t="inlineStr">
        <is>
          <t>G</t>
        </is>
      </c>
      <c r="D3180" t="inlineStr">
        <is>
          <t>A</t>
        </is>
      </c>
      <c r="E3180" t="inlineStr">
        <is>
          <t>rs982012</t>
        </is>
      </c>
      <c r="F3180" t="n">
        <v>-0.00332872682</v>
      </c>
      <c r="G3180" t="n">
        <v>0.6743398570888754</v>
      </c>
      <c r="H3180" t="n">
        <v>0.0094606147527825</v>
      </c>
      <c r="I3180" t="n">
        <v>0.6942140089492048</v>
      </c>
      <c r="J3180" t="n">
        <v>0.0212990303867981</v>
      </c>
      <c r="K3180" t="n">
        <v>0.636546020609702</v>
      </c>
      <c r="L3180" t="b">
        <v>0</v>
      </c>
      <c r="M3180" t="b">
        <v>0</v>
      </c>
      <c r="N3180" t="inlineStr">
        <is>
          <t>ref</t>
        </is>
      </c>
      <c r="O3180" t="n">
        <v>55</v>
      </c>
      <c r="P3180" t="n">
        <v>0.003456</v>
      </c>
      <c r="Q3180" t="n">
        <v>-45</v>
      </c>
      <c r="R3180" t="n">
        <v>0.03284</v>
      </c>
      <c r="S3180">
        <f>IMAGE("https://mitra.stanford.edu/kundaje/oak/projects/neuro-variants/variant_position/credible/roussos_2024/variant_figures/roussos_2024.childhood.GABA/rs982012_count_position.png",4,220,900)</f>
        <v/>
      </c>
      <c r="T3180">
        <f>IMAGE("https://mitra.stanford.edu/kundaje/oak/projects/neuro-variants/variant_position/credible/roussos_2024/variant_figures/roussos_2024.childhood.GABA/rs982012_profile_position.png",4,220,900)</f>
        <v/>
      </c>
    </row>
    <row r="3181">
      <c r="A3181" t="inlineStr">
        <is>
          <t>chr4</t>
        </is>
      </c>
      <c r="B3181" t="n">
        <v>155297067</v>
      </c>
      <c r="C3181" t="inlineStr">
        <is>
          <t>G</t>
        </is>
      </c>
      <c r="D3181" t="inlineStr">
        <is>
          <t>T</t>
        </is>
      </c>
      <c r="E3181" t="inlineStr">
        <is>
          <t>rs877367</t>
        </is>
      </c>
      <c r="F3181" t="n">
        <v>0.1275106264</v>
      </c>
      <c r="G3181" t="n">
        <v>0.0168527776933878</v>
      </c>
      <c r="H3181" t="n">
        <v>0.0312307345002485</v>
      </c>
      <c r="I3181" t="n">
        <v>0.0107955281829014</v>
      </c>
      <c r="J3181" t="n">
        <v>0.0288088207576804</v>
      </c>
      <c r="K3181" t="n">
        <v>0.6056318376029007</v>
      </c>
      <c r="L3181" t="b">
        <v>1</v>
      </c>
      <c r="M3181" t="b">
        <v>0</v>
      </c>
      <c r="N3181" t="inlineStr">
        <is>
          <t>alt</t>
        </is>
      </c>
      <c r="O3181" t="n">
        <v>65</v>
      </c>
      <c r="P3181" t="n">
        <v>0.010605</v>
      </c>
      <c r="Q3181" t="n">
        <v>15</v>
      </c>
      <c r="R3181" t="n">
        <v>0.01105</v>
      </c>
      <c r="S3181">
        <f>IMAGE("https://mitra.stanford.edu/kundaje/oak/projects/neuro-variants/variant_position/credible/roussos_2024/variant_figures/roussos_2024.childhood.GABA/rs877367_count_position.png",4,220,900)</f>
        <v/>
      </c>
      <c r="T3181">
        <f>IMAGE("https://mitra.stanford.edu/kundaje/oak/projects/neuro-variants/variant_position/credible/roussos_2024/variant_figures/roussos_2024.childhood.GABA/rs877367_profile_position.png",4,220,900)</f>
        <v/>
      </c>
    </row>
    <row r="3182">
      <c r="A3182" t="inlineStr">
        <is>
          <t>chr4</t>
        </is>
      </c>
      <c r="B3182" t="n">
        <v>155322740</v>
      </c>
      <c r="C3182" t="inlineStr">
        <is>
          <t>T</t>
        </is>
      </c>
      <c r="D3182" t="inlineStr">
        <is>
          <t>C</t>
        </is>
      </c>
      <c r="E3182" t="inlineStr">
        <is>
          <t>rs1037027</t>
        </is>
      </c>
      <c r="F3182" t="n">
        <v>0.0574339485999999</v>
      </c>
      <c r="G3182" t="n">
        <v>0.1053282100918201</v>
      </c>
      <c r="H3182" t="n">
        <v>0.0118096779938629</v>
      </c>
      <c r="I3182" t="n">
        <v>0.454063691653775</v>
      </c>
      <c r="J3182" t="n">
        <v>0.0485843228414064</v>
      </c>
      <c r="K3182" t="n">
        <v>0.4928844453325536</v>
      </c>
      <c r="L3182" t="b">
        <v>0</v>
      </c>
      <c r="M3182" t="b">
        <v>0</v>
      </c>
      <c r="N3182" t="inlineStr">
        <is>
          <t>alt</t>
        </is>
      </c>
      <c r="O3182" t="n">
        <v>100</v>
      </c>
      <c r="P3182" t="n">
        <v>0.0086</v>
      </c>
      <c r="Q3182" t="n">
        <v>100</v>
      </c>
      <c r="R3182" t="n">
        <v>0.1956</v>
      </c>
      <c r="S3182">
        <f>IMAGE("https://mitra.stanford.edu/kundaje/oak/projects/neuro-variants/variant_position/credible/roussos_2024/variant_figures/roussos_2024.childhood.GABA/rs1037027_count_position.png",4,220,900)</f>
        <v/>
      </c>
      <c r="T3182">
        <f>IMAGE("https://mitra.stanford.edu/kundaje/oak/projects/neuro-variants/variant_position/credible/roussos_2024/variant_figures/roussos_2024.childhood.GABA/rs1037027_profile_position.png",4,220,900)</f>
        <v/>
      </c>
    </row>
    <row r="3183">
      <c r="A3183" t="inlineStr">
        <is>
          <t>chr4</t>
        </is>
      </c>
      <c r="B3183" t="n">
        <v>155324249</v>
      </c>
      <c r="C3183" t="inlineStr">
        <is>
          <t>C</t>
        </is>
      </c>
      <c r="D3183" t="inlineStr">
        <is>
          <t>T</t>
        </is>
      </c>
      <c r="E3183" t="inlineStr">
        <is>
          <t>rs1955154</t>
        </is>
      </c>
      <c r="F3183" t="n">
        <v>-0.0082238525</v>
      </c>
      <c r="G3183" t="n">
        <v>0.6860188788319591</v>
      </c>
      <c r="H3183" t="n">
        <v>0.0109062513973849</v>
      </c>
      <c r="I3183" t="n">
        <v>0.5357167445716655</v>
      </c>
      <c r="J3183" t="n">
        <v>0.0362275135599254</v>
      </c>
      <c r="K3183" t="n">
        <v>0.5646650277229076</v>
      </c>
      <c r="L3183" t="b">
        <v>0</v>
      </c>
      <c r="M3183" t="b">
        <v>0</v>
      </c>
      <c r="N3183" t="inlineStr">
        <is>
          <t>ref</t>
        </is>
      </c>
      <c r="O3183" t="n">
        <v>-100</v>
      </c>
      <c r="P3183" t="n">
        <v>0.07340000000000001</v>
      </c>
      <c r="Q3183" t="n">
        <v>-85</v>
      </c>
      <c r="R3183" t="n">
        <v>0.0645</v>
      </c>
      <c r="S3183">
        <f>IMAGE("https://mitra.stanford.edu/kundaje/oak/projects/neuro-variants/variant_position/credible/roussos_2024/variant_figures/roussos_2024.childhood.GABA/rs1955154_count_position.png",4,220,900)</f>
        <v/>
      </c>
      <c r="T3183">
        <f>IMAGE("https://mitra.stanford.edu/kundaje/oak/projects/neuro-variants/variant_position/credible/roussos_2024/variant_figures/roussos_2024.childhood.GABA/rs1955154_profile_position.png",4,220,900)</f>
        <v/>
      </c>
    </row>
    <row r="3184">
      <c r="A3184" t="inlineStr">
        <is>
          <t>chr4</t>
        </is>
      </c>
      <c r="B3184" t="n">
        <v>155334090</v>
      </c>
      <c r="C3184" t="inlineStr">
        <is>
          <t>A</t>
        </is>
      </c>
      <c r="D3184" t="inlineStr">
        <is>
          <t>G</t>
        </is>
      </c>
      <c r="E3184" t="inlineStr">
        <is>
          <t>rs1899932</t>
        </is>
      </c>
      <c r="F3184" t="n">
        <v>0.00247476074</v>
      </c>
      <c r="G3184" t="n">
        <v>0.8269631957946155</v>
      </c>
      <c r="H3184" t="n">
        <v>0.0279460523806477</v>
      </c>
      <c r="I3184" t="n">
        <v>0.017234986654483</v>
      </c>
      <c r="J3184" t="n">
        <v>0.0021549286925927</v>
      </c>
      <c r="K3184" t="n">
        <v>0.8771798472989095</v>
      </c>
      <c r="L3184" t="b">
        <v>0</v>
      </c>
      <c r="M3184" t="b">
        <v>0</v>
      </c>
      <c r="N3184" t="inlineStr">
        <is>
          <t>alt</t>
        </is>
      </c>
      <c r="O3184" t="n">
        <v>10</v>
      </c>
      <c r="P3184" t="n">
        <v>0.0002975</v>
      </c>
      <c r="Q3184" t="n">
        <v>65</v>
      </c>
      <c r="R3184" t="n">
        <v>0.1509</v>
      </c>
      <c r="S3184">
        <f>IMAGE("https://mitra.stanford.edu/kundaje/oak/projects/neuro-variants/variant_position/credible/roussos_2024/variant_figures/roussos_2024.childhood.GABA/rs1899932_count_position.png",4,220,900)</f>
        <v/>
      </c>
      <c r="T3184">
        <f>IMAGE("https://mitra.stanford.edu/kundaje/oak/projects/neuro-variants/variant_position/credible/roussos_2024/variant_figures/roussos_2024.childhood.GABA/rs1899932_profile_position.png",4,220,900)</f>
        <v/>
      </c>
    </row>
    <row r="3185">
      <c r="A3185" t="inlineStr">
        <is>
          <t>chr4</t>
        </is>
      </c>
      <c r="B3185" t="n">
        <v>155342266</v>
      </c>
      <c r="C3185" t="inlineStr">
        <is>
          <t>G</t>
        </is>
      </c>
      <c r="D3185" t="inlineStr">
        <is>
          <t>A</t>
        </is>
      </c>
      <c r="E3185" t="inlineStr">
        <is>
          <t>rs1020356</t>
        </is>
      </c>
      <c r="F3185" t="n">
        <v>0.029412561</v>
      </c>
      <c r="G3185" t="n">
        <v>0.2905687370851444</v>
      </c>
      <c r="H3185" t="n">
        <v>0.0206252913969952</v>
      </c>
      <c r="I3185" t="n">
        <v>0.06535031420991851</v>
      </c>
      <c r="J3185" t="n">
        <v>0.0565694959267868</v>
      </c>
      <c r="K3185" t="n">
        <v>0.4684143102138016</v>
      </c>
      <c r="L3185" t="b">
        <v>0</v>
      </c>
      <c r="M3185" t="b">
        <v>0</v>
      </c>
      <c r="N3185" t="inlineStr">
        <is>
          <t>alt</t>
        </is>
      </c>
      <c r="O3185" t="n">
        <v>-15</v>
      </c>
      <c r="P3185" t="n">
        <v>0.002365</v>
      </c>
      <c r="Q3185" t="n">
        <v>70</v>
      </c>
      <c r="R3185" t="n">
        <v>0.01221</v>
      </c>
      <c r="S3185">
        <f>IMAGE("https://mitra.stanford.edu/kundaje/oak/projects/neuro-variants/variant_position/credible/roussos_2024/variant_figures/roussos_2024.childhood.GABA/rs1020356_count_position.png",4,220,900)</f>
        <v/>
      </c>
      <c r="T3185">
        <f>IMAGE("https://mitra.stanford.edu/kundaje/oak/projects/neuro-variants/variant_position/credible/roussos_2024/variant_figures/roussos_2024.childhood.GABA/rs1020356_profile_position.png",4,220,900)</f>
        <v/>
      </c>
    </row>
    <row r="3186">
      <c r="A3186" t="inlineStr">
        <is>
          <t>chr4</t>
        </is>
      </c>
      <c r="B3186" t="n">
        <v>155349668</v>
      </c>
      <c r="C3186" t="inlineStr">
        <is>
          <t>C</t>
        </is>
      </c>
      <c r="D3186" t="inlineStr">
        <is>
          <t>T</t>
        </is>
      </c>
      <c r="E3186" t="inlineStr">
        <is>
          <t>rs116327309</t>
        </is>
      </c>
      <c r="F3186" t="n">
        <v>0.0700164733999999</v>
      </c>
      <c r="G3186" t="n">
        <v>0.08118753074056401</v>
      </c>
      <c r="H3186" t="n">
        <v>0.0291703265104426</v>
      </c>
      <c r="I3186" t="n">
        <v>0.0142386591162734</v>
      </c>
      <c r="J3186" t="n">
        <v>0.1463718037318589</v>
      </c>
      <c r="K3186" t="n">
        <v>0.270362947414727</v>
      </c>
      <c r="L3186" t="b">
        <v>1</v>
      </c>
      <c r="M3186" t="b">
        <v>0</v>
      </c>
      <c r="N3186" t="inlineStr">
        <is>
          <t>alt</t>
        </is>
      </c>
      <c r="O3186" t="n">
        <v>90</v>
      </c>
      <c r="P3186" t="n">
        <v>0.01654</v>
      </c>
      <c r="Q3186" t="n">
        <v>85</v>
      </c>
      <c r="R3186" t="n">
        <v>0.2036</v>
      </c>
      <c r="S3186">
        <f>IMAGE("https://mitra.stanford.edu/kundaje/oak/projects/neuro-variants/variant_position/credible/roussos_2024/variant_figures/roussos_2024.childhood.GABA/rs116327309_count_position.png",4,220,900)</f>
        <v/>
      </c>
      <c r="T3186">
        <f>IMAGE("https://mitra.stanford.edu/kundaje/oak/projects/neuro-variants/variant_position/credible/roussos_2024/variant_figures/roussos_2024.childhood.GABA/rs116327309_profile_position.png",4,220,900)</f>
        <v/>
      </c>
    </row>
    <row r="3187">
      <c r="A3187" t="inlineStr">
        <is>
          <t>chr4</t>
        </is>
      </c>
      <c r="B3187" t="n">
        <v>155350000</v>
      </c>
      <c r="C3187" t="inlineStr">
        <is>
          <t>T</t>
        </is>
      </c>
      <c r="D3187" t="inlineStr">
        <is>
          <t>C</t>
        </is>
      </c>
      <c r="E3187" t="inlineStr">
        <is>
          <t>rs17311826</t>
        </is>
      </c>
      <c r="F3187" t="n">
        <v>0.00567465144</v>
      </c>
      <c r="G3187" t="n">
        <v>0.7505326319244866</v>
      </c>
      <c r="H3187" t="n">
        <v>0.0144963060338374</v>
      </c>
      <c r="I3187" t="n">
        <v>0.2490064592475694</v>
      </c>
      <c r="J3187" t="n">
        <v>0.0497664970367112</v>
      </c>
      <c r="K3187" t="n">
        <v>0.4910070856931166</v>
      </c>
      <c r="L3187" t="b">
        <v>0</v>
      </c>
      <c r="M3187" t="b">
        <v>0</v>
      </c>
      <c r="N3187" t="inlineStr">
        <is>
          <t>alt</t>
        </is>
      </c>
      <c r="O3187" t="n">
        <v>-75</v>
      </c>
      <c r="P3187" t="n">
        <v>0.0117</v>
      </c>
      <c r="Q3187" t="n">
        <v>-100</v>
      </c>
      <c r="R3187" t="n">
        <v>0.2017</v>
      </c>
      <c r="S3187">
        <f>IMAGE("https://mitra.stanford.edu/kundaje/oak/projects/neuro-variants/variant_position/credible/roussos_2024/variant_figures/roussos_2024.childhood.GABA/rs17311826_count_position.png",4,220,900)</f>
        <v/>
      </c>
      <c r="T3187">
        <f>IMAGE("https://mitra.stanford.edu/kundaje/oak/projects/neuro-variants/variant_position/credible/roussos_2024/variant_figures/roussos_2024.childhood.GABA/rs17311826_profile_position.png",4,220,900)</f>
        <v/>
      </c>
    </row>
    <row r="3188">
      <c r="A3188" t="inlineStr">
        <is>
          <t>chr4</t>
        </is>
      </c>
      <c r="B3188" t="n">
        <v>155380586</v>
      </c>
      <c r="C3188" t="inlineStr">
        <is>
          <t>T</t>
        </is>
      </c>
      <c r="D3188" t="inlineStr">
        <is>
          <t>G</t>
        </is>
      </c>
      <c r="E3188" t="inlineStr">
        <is>
          <t>rs7657567</t>
        </is>
      </c>
      <c r="F3188" t="n">
        <v>-0.0866942262</v>
      </c>
      <c r="G3188" t="n">
        <v>0.0575566903573655</v>
      </c>
      <c r="H3188" t="n">
        <v>0.0231885668281663</v>
      </c>
      <c r="I3188" t="n">
        <v>0.0437646920566728</v>
      </c>
      <c r="J3188" t="n">
        <v>0.0267397541412744</v>
      </c>
      <c r="K3188" t="n">
        <v>0.5985478968818559</v>
      </c>
      <c r="L3188" t="b">
        <v>0</v>
      </c>
      <c r="M3188" t="b">
        <v>0</v>
      </c>
      <c r="N3188" t="inlineStr">
        <is>
          <t>ref</t>
        </is>
      </c>
      <c r="O3188" t="n">
        <v>25</v>
      </c>
      <c r="P3188" t="n">
        <v>0.01491</v>
      </c>
      <c r="Q3188" t="n">
        <v>20</v>
      </c>
      <c r="R3188" t="n">
        <v>0.02295</v>
      </c>
      <c r="S3188">
        <f>IMAGE("https://mitra.stanford.edu/kundaje/oak/projects/neuro-variants/variant_position/credible/roussos_2024/variant_figures/roussos_2024.childhood.GABA/rs7657567_count_position.png",4,220,900)</f>
        <v/>
      </c>
      <c r="T3188">
        <f>IMAGE("https://mitra.stanford.edu/kundaje/oak/projects/neuro-variants/variant_position/credible/roussos_2024/variant_figures/roussos_2024.childhood.GABA/rs7657567_profile_position.png",4,220,900)</f>
        <v/>
      </c>
    </row>
    <row r="3189">
      <c r="A3189" t="inlineStr">
        <is>
          <t>chr4</t>
        </is>
      </c>
      <c r="B3189" t="n">
        <v>169282697</v>
      </c>
      <c r="C3189" t="inlineStr">
        <is>
          <t>A</t>
        </is>
      </c>
      <c r="D3189" t="inlineStr">
        <is>
          <t>C</t>
        </is>
      </c>
      <c r="E3189" t="inlineStr">
        <is>
          <t>rs13112591</t>
        </is>
      </c>
      <c r="F3189" t="n">
        <v>-0.01240724084</v>
      </c>
      <c r="G3189" t="n">
        <v>0.5625934032436996</v>
      </c>
      <c r="H3189" t="n">
        <v>0.0240771504595952</v>
      </c>
      <c r="I3189" t="n">
        <v>0.0336601339559576</v>
      </c>
      <c r="J3189" t="n">
        <v>0.0264319071851897</v>
      </c>
      <c r="K3189" t="n">
        <v>0.6171729868821052</v>
      </c>
      <c r="L3189" t="b">
        <v>0</v>
      </c>
      <c r="M3189" t="b">
        <v>0</v>
      </c>
      <c r="N3189" t="inlineStr">
        <is>
          <t>ref</t>
        </is>
      </c>
      <c r="O3189" t="n">
        <v>-95</v>
      </c>
      <c r="P3189" t="n">
        <v>0.01904</v>
      </c>
      <c r="Q3189" t="n">
        <v>25</v>
      </c>
      <c r="R3189" t="n">
        <v>0.005432</v>
      </c>
      <c r="S3189">
        <f>IMAGE("https://mitra.stanford.edu/kundaje/oak/projects/neuro-variants/variant_position/credible/roussos_2024/variant_figures/roussos_2024.childhood.GABA/rs13112591_count_position.png",4,220,900)</f>
        <v/>
      </c>
      <c r="T3189">
        <f>IMAGE("https://mitra.stanford.edu/kundaje/oak/projects/neuro-variants/variant_position/credible/roussos_2024/variant_figures/roussos_2024.childhood.GABA/rs13112591_profile_position.png",4,220,900)</f>
        <v/>
      </c>
    </row>
    <row r="3190">
      <c r="A3190" t="inlineStr">
        <is>
          <t>chr4</t>
        </is>
      </c>
      <c r="B3190" t="n">
        <v>169315812</v>
      </c>
      <c r="C3190" t="inlineStr">
        <is>
          <t>C</t>
        </is>
      </c>
      <c r="D3190" t="inlineStr">
        <is>
          <t>T</t>
        </is>
      </c>
      <c r="E3190" t="inlineStr">
        <is>
          <t>rs4692712</t>
        </is>
      </c>
      <c r="F3190" t="n">
        <v>0.164105106</v>
      </c>
      <c r="G3190" t="n">
        <v>0.0077600686672599</v>
      </c>
      <c r="H3190" t="n">
        <v>0.0323511266758656</v>
      </c>
      <c r="I3190" t="n">
        <v>0.009077533282637201</v>
      </c>
      <c r="J3190" t="n">
        <v>0.3376777449686917</v>
      </c>
      <c r="K3190" t="n">
        <v>0.1154225331494714</v>
      </c>
      <c r="L3190" t="b">
        <v>1</v>
      </c>
      <c r="M3190" t="b">
        <v>1</v>
      </c>
      <c r="N3190" t="inlineStr">
        <is>
          <t>alt</t>
        </is>
      </c>
      <c r="O3190" t="n">
        <v>-60</v>
      </c>
      <c r="P3190" t="n">
        <v>0.002287</v>
      </c>
      <c r="Q3190" t="n">
        <v>-60</v>
      </c>
      <c r="R3190" t="n">
        <v>0.05176</v>
      </c>
      <c r="S3190">
        <f>IMAGE("https://mitra.stanford.edu/kundaje/oak/projects/neuro-variants/variant_position/credible/roussos_2024/variant_figures/roussos_2024.childhood.GABA/rs4692712_count_position.png",4,220,900)</f>
        <v/>
      </c>
      <c r="T3190">
        <f>IMAGE("https://mitra.stanford.edu/kundaje/oak/projects/neuro-variants/variant_position/credible/roussos_2024/variant_figures/roussos_2024.childhood.GABA/rs4692712_profile_position.png",4,220,900)</f>
        <v/>
      </c>
    </row>
    <row r="3191">
      <c r="A3191" t="inlineStr">
        <is>
          <t>chr4</t>
        </is>
      </c>
      <c r="B3191" t="n">
        <v>169364223</v>
      </c>
      <c r="C3191" t="inlineStr">
        <is>
          <t>G</t>
        </is>
      </c>
      <c r="D3191" t="inlineStr">
        <is>
          <t>A</t>
        </is>
      </c>
      <c r="E3191" t="inlineStr">
        <is>
          <t>rs6839248</t>
        </is>
      </c>
      <c r="F3191" t="n">
        <v>-0.0519434621999999</v>
      </c>
      <c r="G3191" t="n">
        <v>0.1463095879628817</v>
      </c>
      <c r="H3191" t="n">
        <v>0.0170446176349597</v>
      </c>
      <c r="I3191" t="n">
        <v>0.1445854322239952</v>
      </c>
      <c r="J3191" t="n">
        <v>0.0562030114552574</v>
      </c>
      <c r="K3191" t="n">
        <v>0.4707008424654734</v>
      </c>
      <c r="L3191" t="b">
        <v>0</v>
      </c>
      <c r="M3191" t="b">
        <v>0</v>
      </c>
      <c r="N3191" t="inlineStr">
        <is>
          <t>ref</t>
        </is>
      </c>
      <c r="O3191" t="n">
        <v>-80</v>
      </c>
      <c r="P3191" t="n">
        <v>0.002563</v>
      </c>
      <c r="Q3191" t="n">
        <v>-55</v>
      </c>
      <c r="R3191" t="n">
        <v>0.04437</v>
      </c>
      <c r="S3191">
        <f>IMAGE("https://mitra.stanford.edu/kundaje/oak/projects/neuro-variants/variant_position/credible/roussos_2024/variant_figures/roussos_2024.childhood.GABA/rs6839248_count_position.png",4,220,900)</f>
        <v/>
      </c>
      <c r="T3191">
        <f>IMAGE("https://mitra.stanford.edu/kundaje/oak/projects/neuro-variants/variant_position/credible/roussos_2024/variant_figures/roussos_2024.childhood.GABA/rs6839248_profile_position.png",4,220,900)</f>
        <v/>
      </c>
    </row>
    <row r="3192">
      <c r="A3192" t="inlineStr">
        <is>
          <t>chr4</t>
        </is>
      </c>
      <c r="B3192" t="n">
        <v>169374686</v>
      </c>
      <c r="C3192" t="inlineStr">
        <is>
          <t>G</t>
        </is>
      </c>
      <c r="D3192" t="inlineStr">
        <is>
          <t>A</t>
        </is>
      </c>
      <c r="E3192" t="inlineStr">
        <is>
          <t>rs12641082</t>
        </is>
      </c>
      <c r="F3192" t="n">
        <v>-0.000255595752</v>
      </c>
      <c r="G3192" t="n">
        <v>0.87142358336958</v>
      </c>
      <c r="H3192" t="n">
        <v>0.0229624250801429</v>
      </c>
      <c r="I3192" t="n">
        <v>0.0419344950276011</v>
      </c>
      <c r="J3192" t="n">
        <v>0.0102280580511402</v>
      </c>
      <c r="K3192" t="n">
        <v>0.739349335774975</v>
      </c>
      <c r="L3192" t="b">
        <v>0</v>
      </c>
      <c r="M3192" t="b">
        <v>0</v>
      </c>
      <c r="N3192" t="inlineStr">
        <is>
          <t>ref</t>
        </is>
      </c>
      <c r="O3192" t="n">
        <v>-95</v>
      </c>
      <c r="P3192" t="n">
        <v>0.00312</v>
      </c>
      <c r="Q3192" t="n">
        <v>100</v>
      </c>
      <c r="R3192" t="n">
        <v>0.1658</v>
      </c>
      <c r="S3192">
        <f>IMAGE("https://mitra.stanford.edu/kundaje/oak/projects/neuro-variants/variant_position/credible/roussos_2024/variant_figures/roussos_2024.childhood.GABA/rs12641082_count_position.png",4,220,900)</f>
        <v/>
      </c>
      <c r="T3192">
        <f>IMAGE("https://mitra.stanford.edu/kundaje/oak/projects/neuro-variants/variant_position/credible/roussos_2024/variant_figures/roussos_2024.childhood.GABA/rs12641082_profile_position.png",4,220,900)</f>
        <v/>
      </c>
    </row>
    <row r="3193">
      <c r="A3193" t="inlineStr">
        <is>
          <t>chr4</t>
        </is>
      </c>
      <c r="B3193" t="n">
        <v>169388304</v>
      </c>
      <c r="C3193" t="inlineStr">
        <is>
          <t>T</t>
        </is>
      </c>
      <c r="D3193" t="inlineStr">
        <is>
          <t>C</t>
        </is>
      </c>
      <c r="E3193" t="inlineStr">
        <is>
          <t>rs12500131</t>
        </is>
      </c>
      <c r="F3193" t="n">
        <v>-0.01020520326</v>
      </c>
      <c r="G3193" t="n">
        <v>0.5697864076990586</v>
      </c>
      <c r="H3193" t="n">
        <v>0.0128642304487819</v>
      </c>
      <c r="I3193" t="n">
        <v>0.3626882782084953</v>
      </c>
      <c r="J3193" t="n">
        <v>0.0498869133630709</v>
      </c>
      <c r="K3193" t="n">
        <v>0.4954604143621892</v>
      </c>
      <c r="L3193" t="b">
        <v>0</v>
      </c>
      <c r="M3193" t="b">
        <v>0</v>
      </c>
      <c r="N3193" t="inlineStr">
        <is>
          <t>ref</t>
        </is>
      </c>
      <c r="O3193" t="n">
        <v>-70</v>
      </c>
      <c r="P3193" t="n">
        <v>0.000931</v>
      </c>
      <c r="Q3193" t="n">
        <v>40</v>
      </c>
      <c r="R3193" t="n">
        <v>0.02295</v>
      </c>
      <c r="S3193">
        <f>IMAGE("https://mitra.stanford.edu/kundaje/oak/projects/neuro-variants/variant_position/credible/roussos_2024/variant_figures/roussos_2024.childhood.GABA/rs12500131_count_position.png",4,220,900)</f>
        <v/>
      </c>
      <c r="T3193">
        <f>IMAGE("https://mitra.stanford.edu/kundaje/oak/projects/neuro-variants/variant_position/credible/roussos_2024/variant_figures/roussos_2024.childhood.GABA/rs12500131_profile_position.png",4,220,900)</f>
        <v/>
      </c>
    </row>
    <row r="3194">
      <c r="A3194" t="inlineStr">
        <is>
          <t>chr4</t>
        </is>
      </c>
      <c r="B3194" t="n">
        <v>169486897</v>
      </c>
      <c r="C3194" t="inlineStr">
        <is>
          <t>T</t>
        </is>
      </c>
      <c r="D3194" t="inlineStr">
        <is>
          <t>G</t>
        </is>
      </c>
      <c r="E3194" t="inlineStr">
        <is>
          <t>rs6553440</t>
        </is>
      </c>
      <c r="F3194" t="n">
        <v>0.001325169054</v>
      </c>
      <c r="G3194" t="n">
        <v>0.8179478583408564</v>
      </c>
      <c r="H3194" t="n">
        <v>0.0235304516616482</v>
      </c>
      <c r="I3194" t="n">
        <v>0.0368005675526577</v>
      </c>
      <c r="J3194" t="n">
        <v>0.0553161190341563</v>
      </c>
      <c r="K3194" t="n">
        <v>0.4659896400538978</v>
      </c>
      <c r="L3194" t="b">
        <v>0</v>
      </c>
      <c r="M3194" t="b">
        <v>0</v>
      </c>
      <c r="N3194" t="inlineStr">
        <is>
          <t>alt</t>
        </is>
      </c>
      <c r="O3194" t="n">
        <v>85</v>
      </c>
      <c r="P3194" t="n">
        <v>0.005165</v>
      </c>
      <c r="Q3194" t="n">
        <v>-35</v>
      </c>
      <c r="R3194" t="n">
        <v>0.02899</v>
      </c>
      <c r="S3194">
        <f>IMAGE("https://mitra.stanford.edu/kundaje/oak/projects/neuro-variants/variant_position/credible/roussos_2024/variant_figures/roussos_2024.childhood.GABA/rs6553440_count_position.png",4,220,900)</f>
        <v/>
      </c>
      <c r="T3194">
        <f>IMAGE("https://mitra.stanford.edu/kundaje/oak/projects/neuro-variants/variant_position/credible/roussos_2024/variant_figures/roussos_2024.childhood.GABA/rs6553440_profile_position.png",4,220,900)</f>
        <v/>
      </c>
    </row>
    <row r="3195">
      <c r="A3195" t="inlineStr">
        <is>
          <t>chr4</t>
        </is>
      </c>
      <c r="B3195" t="n">
        <v>169570462</v>
      </c>
      <c r="C3195" t="inlineStr">
        <is>
          <t>A</t>
        </is>
      </c>
      <c r="D3195" t="inlineStr">
        <is>
          <t>G</t>
        </is>
      </c>
      <c r="E3195" t="inlineStr">
        <is>
          <t>rs75394761</t>
        </is>
      </c>
      <c r="F3195" t="n">
        <v>-0.002407050876</v>
      </c>
      <c r="G3195" t="n">
        <v>0.7471621064655001</v>
      </c>
      <c r="H3195" t="n">
        <v>0.0262663607775335</v>
      </c>
      <c r="I3195" t="n">
        <v>0.0276668206173655</v>
      </c>
      <c r="J3195" t="n">
        <v>0.459264727440263</v>
      </c>
      <c r="K3195" t="n">
        <v>0.0622394617354934</v>
      </c>
      <c r="L3195" t="b">
        <v>0</v>
      </c>
      <c r="M3195" t="b">
        <v>0</v>
      </c>
      <c r="N3195" t="inlineStr">
        <is>
          <t>ref</t>
        </is>
      </c>
      <c r="O3195" t="n">
        <v>35</v>
      </c>
      <c r="P3195" t="n">
        <v>0.014404</v>
      </c>
      <c r="Q3195" t="n">
        <v>-5</v>
      </c>
      <c r="R3195" t="n">
        <v>0.012886</v>
      </c>
      <c r="S3195">
        <f>IMAGE("https://mitra.stanford.edu/kundaje/oak/projects/neuro-variants/variant_position/credible/roussos_2024/variant_figures/roussos_2024.childhood.GABA/rs75394761_count_position.png",4,220,900)</f>
        <v/>
      </c>
      <c r="T3195">
        <f>IMAGE("https://mitra.stanford.edu/kundaje/oak/projects/neuro-variants/variant_position/credible/roussos_2024/variant_figures/roussos_2024.childhood.GABA/rs75394761_profile_position.png",4,220,900)</f>
        <v/>
      </c>
    </row>
    <row r="3196">
      <c r="A3196" t="inlineStr">
        <is>
          <t>chr4</t>
        </is>
      </c>
      <c r="B3196" t="n">
        <v>169590400</v>
      </c>
      <c r="C3196" t="inlineStr">
        <is>
          <t>T</t>
        </is>
      </c>
      <c r="D3196" t="inlineStr">
        <is>
          <t>G</t>
        </is>
      </c>
      <c r="E3196" t="inlineStr">
        <is>
          <t>rs4235024</t>
        </is>
      </c>
      <c r="F3196" t="n">
        <v>0.0541404790999999</v>
      </c>
      <c r="G3196" t="n">
        <v>0.1364943728740461</v>
      </c>
      <c r="H3196" t="n">
        <v>0.0184320681154021</v>
      </c>
      <c r="I3196" t="n">
        <v>0.1164434239741349</v>
      </c>
      <c r="J3196" t="n">
        <v>0.0106563213335845</v>
      </c>
      <c r="K3196" t="n">
        <v>0.7375734320870674</v>
      </c>
      <c r="L3196" t="b">
        <v>0</v>
      </c>
      <c r="M3196" t="b">
        <v>0</v>
      </c>
      <c r="N3196" t="inlineStr">
        <is>
          <t>alt</t>
        </is>
      </c>
      <c r="O3196" t="n">
        <v>20</v>
      </c>
      <c r="P3196" t="n">
        <v>0.001814</v>
      </c>
      <c r="Q3196" t="n">
        <v>-100</v>
      </c>
      <c r="R3196" t="n">
        <v>0.0495</v>
      </c>
      <c r="S3196">
        <f>IMAGE("https://mitra.stanford.edu/kundaje/oak/projects/neuro-variants/variant_position/credible/roussos_2024/variant_figures/roussos_2024.childhood.GABA/rs4235024_count_position.png",4,220,900)</f>
        <v/>
      </c>
      <c r="T3196">
        <f>IMAGE("https://mitra.stanford.edu/kundaje/oak/projects/neuro-variants/variant_position/credible/roussos_2024/variant_figures/roussos_2024.childhood.GABA/rs4235024_profile_position.png",4,220,900)</f>
        <v/>
      </c>
    </row>
    <row r="3197">
      <c r="A3197" t="inlineStr">
        <is>
          <t>chr4</t>
        </is>
      </c>
      <c r="B3197" t="n">
        <v>169639180</v>
      </c>
      <c r="C3197" t="inlineStr">
        <is>
          <t>C</t>
        </is>
      </c>
      <c r="D3197" t="inlineStr">
        <is>
          <t>T</t>
        </is>
      </c>
      <c r="E3197" t="inlineStr">
        <is>
          <t>rs4692574</t>
        </is>
      </c>
      <c r="F3197" t="n">
        <v>-0.003808724328</v>
      </c>
      <c r="G3197" t="n">
        <v>0.8431545091877353</v>
      </c>
      <c r="H3197" t="n">
        <v>0.0082768996798943</v>
      </c>
      <c r="I3197" t="n">
        <v>0.8321915034122058</v>
      </c>
      <c r="J3197" t="n">
        <v>0.0180205650143452</v>
      </c>
      <c r="K3197" t="n">
        <v>0.6631449068247303</v>
      </c>
      <c r="L3197" t="b">
        <v>0</v>
      </c>
      <c r="M3197" t="b">
        <v>0</v>
      </c>
      <c r="N3197" t="inlineStr">
        <is>
          <t>ref</t>
        </is>
      </c>
      <c r="O3197" t="n">
        <v>-100</v>
      </c>
      <c r="P3197" t="n">
        <v>0.00615</v>
      </c>
      <c r="Q3197" t="n">
        <v>-100</v>
      </c>
      <c r="R3197" t="n">
        <v>0.06900000000000001</v>
      </c>
      <c r="S3197">
        <f>IMAGE("https://mitra.stanford.edu/kundaje/oak/projects/neuro-variants/variant_position/credible/roussos_2024/variant_figures/roussos_2024.childhood.GABA/rs4692574_count_position.png",4,220,900)</f>
        <v/>
      </c>
      <c r="T3197">
        <f>IMAGE("https://mitra.stanford.edu/kundaje/oak/projects/neuro-variants/variant_position/credible/roussos_2024/variant_figures/roussos_2024.childhood.GABA/rs4692574_profile_position.png",4,220,900)</f>
        <v/>
      </c>
    </row>
    <row r="3198">
      <c r="A3198" t="inlineStr">
        <is>
          <t>chr4</t>
        </is>
      </c>
      <c r="B3198" t="n">
        <v>169678993</v>
      </c>
      <c r="C3198" t="inlineStr">
        <is>
          <t>C</t>
        </is>
      </c>
      <c r="D3198" t="inlineStr">
        <is>
          <t>A</t>
        </is>
      </c>
      <c r="E3198" t="inlineStr">
        <is>
          <t>rs115477840</t>
        </is>
      </c>
      <c r="F3198" t="n">
        <v>0.0242837858</v>
      </c>
      <c r="G3198" t="n">
        <v>0.3421221975055658</v>
      </c>
      <c r="H3198" t="n">
        <v>0.0242105014644739</v>
      </c>
      <c r="I3198" t="n">
        <v>0.0339547849748924</v>
      </c>
      <c r="J3198" t="n">
        <v>0.3000031412954702</v>
      </c>
      <c r="K3198" t="n">
        <v>0.1379306074221435</v>
      </c>
      <c r="L3198" t="b">
        <v>0</v>
      </c>
      <c r="M3198" t="b">
        <v>0</v>
      </c>
      <c r="N3198" t="inlineStr">
        <is>
          <t>alt</t>
        </is>
      </c>
      <c r="O3198" t="n">
        <v>100</v>
      </c>
      <c r="P3198" t="n">
        <v>0.02844</v>
      </c>
      <c r="Q3198" t="n">
        <v>75</v>
      </c>
      <c r="R3198" t="n">
        <v>0.03314</v>
      </c>
      <c r="S3198">
        <f>IMAGE("https://mitra.stanford.edu/kundaje/oak/projects/neuro-variants/variant_position/credible/roussos_2024/variant_figures/roussos_2024.childhood.GABA/rs115477840_count_position.png",4,220,900)</f>
        <v/>
      </c>
      <c r="T3198">
        <f>IMAGE("https://mitra.stanford.edu/kundaje/oak/projects/neuro-variants/variant_position/credible/roussos_2024/variant_figures/roussos_2024.childhood.GABA/rs115477840_profile_position.png",4,220,900)</f>
        <v/>
      </c>
    </row>
    <row r="3199">
      <c r="A3199" t="inlineStr">
        <is>
          <t>chr4</t>
        </is>
      </c>
      <c r="B3199" t="n">
        <v>169694182</v>
      </c>
      <c r="C3199" t="inlineStr">
        <is>
          <t>A</t>
        </is>
      </c>
      <c r="D3199" t="inlineStr">
        <is>
          <t>G</t>
        </is>
      </c>
      <c r="E3199" t="inlineStr">
        <is>
          <t>rs6823311</t>
        </is>
      </c>
      <c r="F3199" t="n">
        <v>0.0284092998</v>
      </c>
      <c r="G3199" t="n">
        <v>0.3009444020043295</v>
      </c>
      <c r="H3199" t="n">
        <v>0.0189464164087329</v>
      </c>
      <c r="I3199" t="n">
        <v>0.0948289171501803</v>
      </c>
      <c r="J3199" t="n">
        <v>0.0061370442503821</v>
      </c>
      <c r="K3199" t="n">
        <v>0.7893954867063778</v>
      </c>
      <c r="L3199" t="b">
        <v>0</v>
      </c>
      <c r="M3199" t="b">
        <v>0</v>
      </c>
      <c r="N3199" t="inlineStr">
        <is>
          <t>alt</t>
        </is>
      </c>
      <c r="O3199" t="n">
        <v>55</v>
      </c>
      <c r="P3199" t="n">
        <v>0.003845</v>
      </c>
      <c r="Q3199" t="n">
        <v>20</v>
      </c>
      <c r="R3199" t="n">
        <v>0.004364</v>
      </c>
      <c r="S3199">
        <f>IMAGE("https://mitra.stanford.edu/kundaje/oak/projects/neuro-variants/variant_position/credible/roussos_2024/variant_figures/roussos_2024.childhood.GABA/rs6823311_count_position.png",4,220,900)</f>
        <v/>
      </c>
      <c r="T3199">
        <f>IMAGE("https://mitra.stanford.edu/kundaje/oak/projects/neuro-variants/variant_position/credible/roussos_2024/variant_figures/roussos_2024.childhood.GABA/rs6823311_profile_position.png",4,220,900)</f>
        <v/>
      </c>
    </row>
    <row r="3200">
      <c r="A3200" t="inlineStr">
        <is>
          <t>chr4</t>
        </is>
      </c>
      <c r="B3200" t="n">
        <v>169736898</v>
      </c>
      <c r="C3200" t="inlineStr">
        <is>
          <t>C</t>
        </is>
      </c>
      <c r="D3200" t="inlineStr">
        <is>
          <t>T</t>
        </is>
      </c>
      <c r="E3200" t="inlineStr">
        <is>
          <t>rs6850446</t>
        </is>
      </c>
      <c r="F3200" t="n">
        <v>-0.109541746</v>
      </c>
      <c r="G3200" t="n">
        <v>0.0245293132535414</v>
      </c>
      <c r="H3200" t="n">
        <v>0.0147721677915378</v>
      </c>
      <c r="I3200" t="n">
        <v>0.238399611069256</v>
      </c>
      <c r="J3200" t="n">
        <v>0.0985748989549956</v>
      </c>
      <c r="K3200" t="n">
        <v>0.3588335590976451</v>
      </c>
      <c r="L3200" t="b">
        <v>0</v>
      </c>
      <c r="M3200" t="b">
        <v>0</v>
      </c>
      <c r="N3200" t="inlineStr">
        <is>
          <t>ref</t>
        </is>
      </c>
      <c r="O3200" t="n">
        <v>100</v>
      </c>
      <c r="P3200" t="n">
        <v>0.00945</v>
      </c>
      <c r="Q3200" t="n">
        <v>-90</v>
      </c>
      <c r="R3200" t="n">
        <v>0.01941</v>
      </c>
      <c r="S3200">
        <f>IMAGE("https://mitra.stanford.edu/kundaje/oak/projects/neuro-variants/variant_position/credible/roussos_2024/variant_figures/roussos_2024.childhood.GABA/rs6850446_count_position.png",4,220,900)</f>
        <v/>
      </c>
      <c r="T3200">
        <f>IMAGE("https://mitra.stanford.edu/kundaje/oak/projects/neuro-variants/variant_position/credible/roussos_2024/variant_figures/roussos_2024.childhood.GABA/rs6850446_profile_position.png",4,220,900)</f>
        <v/>
      </c>
    </row>
    <row r="3201">
      <c r="A3201" t="inlineStr">
        <is>
          <t>chr4</t>
        </is>
      </c>
      <c r="B3201" t="n">
        <v>175797785</v>
      </c>
      <c r="C3201" t="inlineStr">
        <is>
          <t>G</t>
        </is>
      </c>
      <c r="D3201" t="inlineStr">
        <is>
          <t>A</t>
        </is>
      </c>
      <c r="E3201" t="inlineStr">
        <is>
          <t>rs1027407</t>
        </is>
      </c>
      <c r="F3201" t="n">
        <v>0.025263145</v>
      </c>
      <c r="G3201" t="n">
        <v>0.3530324664020751</v>
      </c>
      <c r="H3201" t="n">
        <v>0.0223987149648742</v>
      </c>
      <c r="I3201" t="n">
        <v>0.0462748578905745</v>
      </c>
      <c r="J3201" t="n">
        <v>0.0107285711294003</v>
      </c>
      <c r="K3201" t="n">
        <v>0.7334546922869071</v>
      </c>
      <c r="L3201" t="b">
        <v>0</v>
      </c>
      <c r="M3201" t="b">
        <v>0</v>
      </c>
      <c r="N3201" t="inlineStr">
        <is>
          <t>alt</t>
        </is>
      </c>
      <c r="O3201" t="n">
        <v>45</v>
      </c>
      <c r="P3201" t="n">
        <v>0.002106</v>
      </c>
      <c r="Q3201" t="n">
        <v>100</v>
      </c>
      <c r="R3201" t="n">
        <v>0.0591</v>
      </c>
      <c r="S3201">
        <f>IMAGE("https://mitra.stanford.edu/kundaje/oak/projects/neuro-variants/variant_position/credible/roussos_2024/variant_figures/roussos_2024.childhood.GABA/rs1027407_count_position.png",4,220,900)</f>
        <v/>
      </c>
      <c r="T3201">
        <f>IMAGE("https://mitra.stanford.edu/kundaje/oak/projects/neuro-variants/variant_position/credible/roussos_2024/variant_figures/roussos_2024.childhood.GABA/rs1027407_profile_position.png",4,220,900)</f>
        <v/>
      </c>
    </row>
    <row r="3202">
      <c r="A3202" t="inlineStr">
        <is>
          <t>chr4</t>
        </is>
      </c>
      <c r="B3202" t="n">
        <v>175802229</v>
      </c>
      <c r="C3202" t="inlineStr">
        <is>
          <t>G</t>
        </is>
      </c>
      <c r="D3202" t="inlineStr">
        <is>
          <t>T</t>
        </is>
      </c>
      <c r="E3202" t="inlineStr">
        <is>
          <t>rs28376387</t>
        </is>
      </c>
      <c r="F3202" t="n">
        <v>0.014261125</v>
      </c>
      <c r="G3202" t="n">
        <v>0.5146719104167523</v>
      </c>
      <c r="H3202" t="n">
        <v>0.0240411983425289</v>
      </c>
      <c r="I3202" t="n">
        <v>0.033623277788089</v>
      </c>
      <c r="J3202" t="n">
        <v>0.0103327679001486</v>
      </c>
      <c r="K3202" t="n">
        <v>0.7519794678251546</v>
      </c>
      <c r="L3202" t="b">
        <v>0</v>
      </c>
      <c r="M3202" t="b">
        <v>0</v>
      </c>
      <c r="N3202" t="inlineStr">
        <is>
          <t>alt</t>
        </is>
      </c>
      <c r="O3202" t="n">
        <v>-25</v>
      </c>
      <c r="P3202" t="n">
        <v>0.002346</v>
      </c>
      <c r="Q3202" t="n">
        <v>-100</v>
      </c>
      <c r="R3202" t="n">
        <v>0.1343</v>
      </c>
      <c r="S3202">
        <f>IMAGE("https://mitra.stanford.edu/kundaje/oak/projects/neuro-variants/variant_position/credible/roussos_2024/variant_figures/roussos_2024.childhood.GABA/rs28376387_count_position.png",4,220,900)</f>
        <v/>
      </c>
      <c r="T3202">
        <f>IMAGE("https://mitra.stanford.edu/kundaje/oak/projects/neuro-variants/variant_position/credible/roussos_2024/variant_figures/roussos_2024.childhood.GABA/rs28376387_profile_position.png",4,220,900)</f>
        <v/>
      </c>
    </row>
    <row r="3203">
      <c r="A3203" t="inlineStr">
        <is>
          <t>chr4</t>
        </is>
      </c>
      <c r="B3203" t="n">
        <v>175823911</v>
      </c>
      <c r="C3203" t="inlineStr">
        <is>
          <t>C</t>
        </is>
      </c>
      <c r="D3203" t="inlineStr">
        <is>
          <t>T</t>
        </is>
      </c>
      <c r="E3203" t="inlineStr">
        <is>
          <t>rs17062106</t>
        </is>
      </c>
      <c r="F3203" t="n">
        <v>0.0026790782</v>
      </c>
      <c r="G3203" t="n">
        <v>0.6856875918997134</v>
      </c>
      <c r="H3203" t="n">
        <v>0.0086381525780738</v>
      </c>
      <c r="I3203" t="n">
        <v>0.7837740729336815</v>
      </c>
      <c r="J3203" t="n">
        <v>0.1192194927854913</v>
      </c>
      <c r="K3203" t="n">
        <v>0.3131258160492699</v>
      </c>
      <c r="L3203" t="b">
        <v>0</v>
      </c>
      <c r="M3203" t="b">
        <v>0</v>
      </c>
      <c r="N3203" t="inlineStr">
        <is>
          <t>alt</t>
        </is>
      </c>
      <c r="O3203" t="n">
        <v>-80</v>
      </c>
      <c r="P3203" t="n">
        <v>0.006054</v>
      </c>
      <c r="Q3203" t="n">
        <v>80</v>
      </c>
      <c r="R3203" t="n">
        <v>0.06506000000000001</v>
      </c>
      <c r="S3203">
        <f>IMAGE("https://mitra.stanford.edu/kundaje/oak/projects/neuro-variants/variant_position/credible/roussos_2024/variant_figures/roussos_2024.childhood.GABA/rs17062106_count_position.png",4,220,900)</f>
        <v/>
      </c>
      <c r="T3203">
        <f>IMAGE("https://mitra.stanford.edu/kundaje/oak/projects/neuro-variants/variant_position/credible/roussos_2024/variant_figures/roussos_2024.childhood.GABA/rs17062106_profile_position.png",4,220,900)</f>
        <v/>
      </c>
    </row>
    <row r="3204">
      <c r="A3204" t="inlineStr">
        <is>
          <t>chr4</t>
        </is>
      </c>
      <c r="B3204" t="n">
        <v>175934070</v>
      </c>
      <c r="C3204" t="inlineStr">
        <is>
          <t>C</t>
        </is>
      </c>
      <c r="D3204" t="inlineStr">
        <is>
          <t>T</t>
        </is>
      </c>
      <c r="E3204" t="inlineStr">
        <is>
          <t>rs62334820</t>
        </is>
      </c>
      <c r="F3204" t="n">
        <v>-0.0536246802</v>
      </c>
      <c r="G3204" t="n">
        <v>0.1342164542430504</v>
      </c>
      <c r="H3204" t="n">
        <v>0.0181344316740341</v>
      </c>
      <c r="I3204" t="n">
        <v>0.114390108028155</v>
      </c>
      <c r="J3204" t="n">
        <v>0.0141525831919749</v>
      </c>
      <c r="K3204" t="n">
        <v>0.6984688698908418</v>
      </c>
      <c r="L3204" t="b">
        <v>0</v>
      </c>
      <c r="M3204" t="b">
        <v>0</v>
      </c>
      <c r="N3204" t="inlineStr">
        <is>
          <t>ref</t>
        </is>
      </c>
      <c r="O3204" t="n">
        <v>70</v>
      </c>
      <c r="P3204" t="n">
        <v>0.006042</v>
      </c>
      <c r="Q3204" t="n">
        <v>-100</v>
      </c>
      <c r="R3204" t="n">
        <v>0.0362</v>
      </c>
      <c r="S3204">
        <f>IMAGE("https://mitra.stanford.edu/kundaje/oak/projects/neuro-variants/variant_position/credible/roussos_2024/variant_figures/roussos_2024.childhood.GABA/rs62334820_count_position.png",4,220,900)</f>
        <v/>
      </c>
      <c r="T3204">
        <f>IMAGE("https://mitra.stanford.edu/kundaje/oak/projects/neuro-variants/variant_position/credible/roussos_2024/variant_figures/roussos_2024.childhood.GABA/rs62334820_profile_position.png",4,220,900)</f>
        <v/>
      </c>
    </row>
    <row r="3205">
      <c r="A3205" t="inlineStr">
        <is>
          <t>chr4</t>
        </is>
      </c>
      <c r="B3205" t="n">
        <v>182609678</v>
      </c>
      <c r="C3205" t="inlineStr">
        <is>
          <t>A</t>
        </is>
      </c>
      <c r="D3205" t="inlineStr">
        <is>
          <t>G</t>
        </is>
      </c>
      <c r="E3205" t="inlineStr">
        <is>
          <t>rs12501338</t>
        </is>
      </c>
      <c r="F3205" t="n">
        <v>-0.02306660596</v>
      </c>
      <c r="G3205" t="n">
        <v>0.4018556973828271</v>
      </c>
      <c r="H3205" t="n">
        <v>0.007968108891621299</v>
      </c>
      <c r="I3205" t="n">
        <v>0.767455686608038</v>
      </c>
      <c r="J3205" t="n">
        <v>0.0014052061736926</v>
      </c>
      <c r="K3205" t="n">
        <v>0.8983594116593884</v>
      </c>
      <c r="L3205" t="b">
        <v>0</v>
      </c>
      <c r="M3205" t="b">
        <v>0</v>
      </c>
      <c r="N3205" t="inlineStr">
        <is>
          <t>ref</t>
        </is>
      </c>
      <c r="O3205" t="n">
        <v>100</v>
      </c>
      <c r="P3205" t="n">
        <v>0.01002</v>
      </c>
      <c r="Q3205" t="n">
        <v>0</v>
      </c>
      <c r="R3205" t="n">
        <v>0</v>
      </c>
      <c r="S3205">
        <f>IMAGE("https://mitra.stanford.edu/kundaje/oak/projects/neuro-variants/variant_position/credible/roussos_2024/variant_figures/roussos_2024.childhood.GABA/rs12501338_count_position.png",4,220,900)</f>
        <v/>
      </c>
      <c r="T3205">
        <f>IMAGE("https://mitra.stanford.edu/kundaje/oak/projects/neuro-variants/variant_position/credible/roussos_2024/variant_figures/roussos_2024.childhood.GABA/rs12501338_profile_position.png",4,220,900)</f>
        <v/>
      </c>
    </row>
    <row r="3206">
      <c r="A3206" t="inlineStr">
        <is>
          <t>chr4</t>
        </is>
      </c>
      <c r="B3206" t="n">
        <v>182609964</v>
      </c>
      <c r="C3206" t="inlineStr">
        <is>
          <t>G</t>
        </is>
      </c>
      <c r="D3206" t="inlineStr">
        <is>
          <t>T</t>
        </is>
      </c>
      <c r="E3206" t="inlineStr">
        <is>
          <t>rs55875929</t>
        </is>
      </c>
      <c r="F3206" t="n">
        <v>0.0013495913699999</v>
      </c>
      <c r="G3206" t="n">
        <v>0.9156047208630572</v>
      </c>
      <c r="H3206" t="n">
        <v>0.0185449916214752</v>
      </c>
      <c r="I3206" t="n">
        <v>0.1019841144075693</v>
      </c>
      <c r="J3206" t="n">
        <v>0.0002994701681639</v>
      </c>
      <c r="K3206" t="n">
        <v>0.951556356258648</v>
      </c>
      <c r="L3206" t="b">
        <v>0</v>
      </c>
      <c r="M3206" t="b">
        <v>0</v>
      </c>
      <c r="N3206" t="inlineStr">
        <is>
          <t>alt</t>
        </is>
      </c>
      <c r="O3206" t="n">
        <v>60</v>
      </c>
      <c r="P3206" t="n">
        <v>0.0163</v>
      </c>
      <c r="Q3206" t="n">
        <v>-100</v>
      </c>
      <c r="R3206" t="n">
        <v>0.07495</v>
      </c>
      <c r="S3206">
        <f>IMAGE("https://mitra.stanford.edu/kundaje/oak/projects/neuro-variants/variant_position/credible/roussos_2024/variant_figures/roussos_2024.childhood.GABA/rs55875929_count_position.png",4,220,900)</f>
        <v/>
      </c>
      <c r="T3206">
        <f>IMAGE("https://mitra.stanford.edu/kundaje/oak/projects/neuro-variants/variant_position/credible/roussos_2024/variant_figures/roussos_2024.childhood.GABA/rs55875929_profile_position.png",4,220,900)</f>
        <v/>
      </c>
    </row>
    <row r="3207">
      <c r="A3207" t="inlineStr">
        <is>
          <t>chr4</t>
        </is>
      </c>
      <c r="B3207" t="n">
        <v>182610323</v>
      </c>
      <c r="C3207" t="inlineStr">
        <is>
          <t>C</t>
        </is>
      </c>
      <c r="D3207" t="inlineStr">
        <is>
          <t>T</t>
        </is>
      </c>
      <c r="E3207" t="inlineStr">
        <is>
          <t>rs55903810</t>
        </is>
      </c>
      <c r="F3207" t="n">
        <v>-0.0658068502</v>
      </c>
      <c r="G3207" t="n">
        <v>0.0957484937192534</v>
      </c>
      <c r="H3207" t="n">
        <v>0.0198514206144516</v>
      </c>
      <c r="I3207" t="n">
        <v>0.0791618997154066</v>
      </c>
      <c r="J3207" t="n">
        <v>0.0007895122615232</v>
      </c>
      <c r="K3207" t="n">
        <v>0.9237361270075256</v>
      </c>
      <c r="L3207" t="b">
        <v>0</v>
      </c>
      <c r="M3207" t="b">
        <v>0</v>
      </c>
      <c r="N3207" t="inlineStr">
        <is>
          <t>ref</t>
        </is>
      </c>
      <c r="O3207" t="n">
        <v>-70</v>
      </c>
      <c r="P3207" t="n">
        <v>0.01471</v>
      </c>
      <c r="Q3207" t="n">
        <v>-55</v>
      </c>
      <c r="R3207" t="n">
        <v>0.015</v>
      </c>
      <c r="S3207">
        <f>IMAGE("https://mitra.stanford.edu/kundaje/oak/projects/neuro-variants/variant_position/credible/roussos_2024/variant_figures/roussos_2024.childhood.GABA/rs55903810_count_position.png",4,220,900)</f>
        <v/>
      </c>
      <c r="T3207">
        <f>IMAGE("https://mitra.stanford.edu/kundaje/oak/projects/neuro-variants/variant_position/credible/roussos_2024/variant_figures/roussos_2024.childhood.GABA/rs55903810_profile_position.png",4,220,900)</f>
        <v/>
      </c>
    </row>
    <row r="3208">
      <c r="A3208" t="inlineStr">
        <is>
          <t>chr4</t>
        </is>
      </c>
      <c r="B3208" t="n">
        <v>182617560</v>
      </c>
      <c r="C3208" t="inlineStr">
        <is>
          <t>T</t>
        </is>
      </c>
      <c r="D3208" t="inlineStr">
        <is>
          <t>C</t>
        </is>
      </c>
      <c r="E3208" t="inlineStr">
        <is>
          <t>rs17324506</t>
        </is>
      </c>
      <c r="F3208" t="n">
        <v>0.07420505799999989</v>
      </c>
      <c r="G3208" t="n">
        <v>0.0592673121737793</v>
      </c>
      <c r="H3208" t="n">
        <v>0.0148823647016624</v>
      </c>
      <c r="I3208" t="n">
        <v>0.2353850621240652</v>
      </c>
      <c r="J3208" t="n">
        <v>0.0132342778161713</v>
      </c>
      <c r="K3208" t="n">
        <v>0.7054356289117207</v>
      </c>
      <c r="L3208" t="b">
        <v>0</v>
      </c>
      <c r="M3208" t="b">
        <v>0</v>
      </c>
      <c r="N3208" t="inlineStr">
        <is>
          <t>alt</t>
        </is>
      </c>
      <c r="O3208" t="n">
        <v>55</v>
      </c>
      <c r="P3208" t="n">
        <v>0.001396</v>
      </c>
      <c r="Q3208" t="n">
        <v>-35</v>
      </c>
      <c r="R3208" t="n">
        <v>0.09247</v>
      </c>
      <c r="S3208">
        <f>IMAGE("https://mitra.stanford.edu/kundaje/oak/projects/neuro-variants/variant_position/credible/roussos_2024/variant_figures/roussos_2024.childhood.GABA/rs17324506_count_position.png",4,220,900)</f>
        <v/>
      </c>
      <c r="T3208">
        <f>IMAGE("https://mitra.stanford.edu/kundaje/oak/projects/neuro-variants/variant_position/credible/roussos_2024/variant_figures/roussos_2024.childhood.GABA/rs17324506_profile_position.png",4,220,900)</f>
        <v/>
      </c>
    </row>
    <row r="3209">
      <c r="A3209" t="inlineStr">
        <is>
          <t>chr4</t>
        </is>
      </c>
      <c r="B3209" t="n">
        <v>182664152</v>
      </c>
      <c r="C3209" t="inlineStr">
        <is>
          <t>T</t>
        </is>
      </c>
      <c r="D3209" t="inlineStr">
        <is>
          <t>C</t>
        </is>
      </c>
      <c r="E3209" t="inlineStr">
        <is>
          <t>rs28753071</t>
        </is>
      </c>
      <c r="F3209" t="n">
        <v>0.111755548</v>
      </c>
      <c r="G3209" t="n">
        <v>0.0215740099305764</v>
      </c>
      <c r="H3209" t="n">
        <v>0.0164240885933733</v>
      </c>
      <c r="I3209" t="n">
        <v>0.1665649019002729</v>
      </c>
      <c r="J3209" t="n">
        <v>0.09679797281732309</v>
      </c>
      <c r="K3209" t="n">
        <v>0.3531556442999646</v>
      </c>
      <c r="L3209" t="b">
        <v>0</v>
      </c>
      <c r="M3209" t="b">
        <v>0</v>
      </c>
      <c r="N3209" t="inlineStr">
        <is>
          <t>alt</t>
        </is>
      </c>
      <c r="O3209" t="n">
        <v>75</v>
      </c>
      <c r="P3209" t="n">
        <v>0.006382</v>
      </c>
      <c r="Q3209" t="n">
        <v>-35</v>
      </c>
      <c r="R3209" t="n">
        <v>0.06165</v>
      </c>
      <c r="S3209">
        <f>IMAGE("https://mitra.stanford.edu/kundaje/oak/projects/neuro-variants/variant_position/credible/roussos_2024/variant_figures/roussos_2024.childhood.GABA/rs28753071_count_position.png",4,220,900)</f>
        <v/>
      </c>
      <c r="T3209">
        <f>IMAGE("https://mitra.stanford.edu/kundaje/oak/projects/neuro-variants/variant_position/credible/roussos_2024/variant_figures/roussos_2024.childhood.GABA/rs28753071_profile_position.png",4,220,900)</f>
        <v/>
      </c>
    </row>
    <row r="3210">
      <c r="A3210" t="inlineStr">
        <is>
          <t>chr4</t>
        </is>
      </c>
      <c r="B3210" t="n">
        <v>182691382</v>
      </c>
      <c r="C3210" t="inlineStr">
        <is>
          <t>G</t>
        </is>
      </c>
      <c r="D3210" t="inlineStr">
        <is>
          <t>T</t>
        </is>
      </c>
      <c r="E3210" t="inlineStr">
        <is>
          <t>rs7694547</t>
        </is>
      </c>
      <c r="F3210" t="n">
        <v>-0.021976637</v>
      </c>
      <c r="G3210" t="n">
        <v>0.400206391002501</v>
      </c>
      <c r="H3210" t="n">
        <v>0.0166330665760147</v>
      </c>
      <c r="I3210" t="n">
        <v>0.1579585548816603</v>
      </c>
      <c r="J3210" t="n">
        <v>0.0795365542082888</v>
      </c>
      <c r="K3210" t="n">
        <v>0.4006584608946542</v>
      </c>
      <c r="L3210" t="b">
        <v>0</v>
      </c>
      <c r="M3210" t="b">
        <v>0</v>
      </c>
      <c r="N3210" t="inlineStr">
        <is>
          <t>ref</t>
        </is>
      </c>
      <c r="O3210" t="n">
        <v>95</v>
      </c>
      <c r="P3210" t="n">
        <v>0.00784</v>
      </c>
      <c r="Q3210" t="n">
        <v>-25</v>
      </c>
      <c r="R3210" t="n">
        <v>0.02795</v>
      </c>
      <c r="S3210">
        <f>IMAGE("https://mitra.stanford.edu/kundaje/oak/projects/neuro-variants/variant_position/credible/roussos_2024/variant_figures/roussos_2024.childhood.GABA/rs7694547_count_position.png",4,220,900)</f>
        <v/>
      </c>
      <c r="T3210">
        <f>IMAGE("https://mitra.stanford.edu/kundaje/oak/projects/neuro-variants/variant_position/credible/roussos_2024/variant_figures/roussos_2024.childhood.GABA/rs7694547_profile_position.png",4,220,900)</f>
        <v/>
      </c>
    </row>
    <row r="3211">
      <c r="A3211" t="inlineStr">
        <is>
          <t>chr4</t>
        </is>
      </c>
      <c r="B3211" t="n">
        <v>182692684</v>
      </c>
      <c r="C3211" t="inlineStr">
        <is>
          <t>A</t>
        </is>
      </c>
      <c r="D3211" t="inlineStr">
        <is>
          <t>G</t>
        </is>
      </c>
      <c r="E3211" t="inlineStr">
        <is>
          <t>rs12501438</t>
        </is>
      </c>
      <c r="F3211" t="n">
        <v>-0.0328986718999999</v>
      </c>
      <c r="G3211" t="n">
        <v>0.2952955893572721</v>
      </c>
      <c r="H3211" t="n">
        <v>0.0212464438042315</v>
      </c>
      <c r="I3211" t="n">
        <v>0.058173555493873</v>
      </c>
      <c r="J3211" t="n">
        <v>0.0148845050365437</v>
      </c>
      <c r="K3211" t="n">
        <v>0.6911396506216136</v>
      </c>
      <c r="L3211" t="b">
        <v>0</v>
      </c>
      <c r="M3211" t="b">
        <v>0</v>
      </c>
      <c r="N3211" t="inlineStr">
        <is>
          <t>ref</t>
        </is>
      </c>
      <c r="O3211" t="n">
        <v>40</v>
      </c>
      <c r="P3211" t="n">
        <v>0.005177</v>
      </c>
      <c r="Q3211" t="n">
        <v>35</v>
      </c>
      <c r="R3211" t="n">
        <v>0.02368</v>
      </c>
      <c r="S3211">
        <f>IMAGE("https://mitra.stanford.edu/kundaje/oak/projects/neuro-variants/variant_position/credible/roussos_2024/variant_figures/roussos_2024.childhood.GABA/rs12501438_count_position.png",4,220,900)</f>
        <v/>
      </c>
      <c r="T3211">
        <f>IMAGE("https://mitra.stanford.edu/kundaje/oak/projects/neuro-variants/variant_position/credible/roussos_2024/variant_figures/roussos_2024.childhood.GABA/rs12501438_profile_position.png",4,220,900)</f>
        <v/>
      </c>
    </row>
    <row r="3212">
      <c r="A3212" t="inlineStr">
        <is>
          <t>chr4</t>
        </is>
      </c>
      <c r="B3212" t="n">
        <v>182716504</v>
      </c>
      <c r="C3212" t="inlineStr">
        <is>
          <t>A</t>
        </is>
      </c>
      <c r="D3212" t="inlineStr">
        <is>
          <t>G</t>
        </is>
      </c>
      <c r="E3212" t="inlineStr">
        <is>
          <t>rs35751669</t>
        </is>
      </c>
      <c r="F3212" t="n">
        <v>-0.0061599049859999</v>
      </c>
      <c r="G3212" t="n">
        <v>0.7602741600785047</v>
      </c>
      <c r="H3212" t="n">
        <v>0.009179339129551401</v>
      </c>
      <c r="I3212" t="n">
        <v>0.7300588914214556</v>
      </c>
      <c r="J3212" t="n">
        <v>0.0942221105317165</v>
      </c>
      <c r="K3212" t="n">
        <v>0.3659694325859045</v>
      </c>
      <c r="L3212" t="b">
        <v>0</v>
      </c>
      <c r="M3212" t="b">
        <v>0</v>
      </c>
      <c r="N3212" t="inlineStr">
        <is>
          <t>ref</t>
        </is>
      </c>
      <c r="O3212" t="n">
        <v>-95</v>
      </c>
      <c r="P3212" t="n">
        <v>0.01974</v>
      </c>
      <c r="Q3212" t="n">
        <v>-20</v>
      </c>
      <c r="R3212" t="n">
        <v>0.01068</v>
      </c>
      <c r="S3212">
        <f>IMAGE("https://mitra.stanford.edu/kundaje/oak/projects/neuro-variants/variant_position/credible/roussos_2024/variant_figures/roussos_2024.childhood.GABA/rs35751669_count_position.png",4,220,900)</f>
        <v/>
      </c>
      <c r="T3212">
        <f>IMAGE("https://mitra.stanford.edu/kundaje/oak/projects/neuro-variants/variant_position/credible/roussos_2024/variant_figures/roussos_2024.childhood.GABA/rs35751669_profile_position.png",4,220,900)</f>
        <v/>
      </c>
    </row>
    <row r="3213">
      <c r="A3213" t="inlineStr">
        <is>
          <t>chr5</t>
        </is>
      </c>
      <c r="B3213" t="n">
        <v>3417816</v>
      </c>
      <c r="C3213" t="inlineStr">
        <is>
          <t>T</t>
        </is>
      </c>
      <c r="D3213" t="inlineStr">
        <is>
          <t>C</t>
        </is>
      </c>
      <c r="E3213" t="inlineStr">
        <is>
          <t>rs10462767</t>
        </is>
      </c>
      <c r="F3213" t="n">
        <v>0.055496277</v>
      </c>
      <c r="G3213" t="n">
        <v>0.1184656653632297</v>
      </c>
      <c r="H3213" t="n">
        <v>0.0142355951995966</v>
      </c>
      <c r="I3213" t="n">
        <v>0.2692644990697059</v>
      </c>
      <c r="J3213" t="n">
        <v>0.5501549705765324</v>
      </c>
      <c r="K3213" t="n">
        <v>0.0392628117316196</v>
      </c>
      <c r="L3213" t="b">
        <v>0</v>
      </c>
      <c r="M3213" t="b">
        <v>0</v>
      </c>
      <c r="N3213" t="inlineStr">
        <is>
          <t>alt</t>
        </is>
      </c>
      <c r="O3213" t="n">
        <v>-80</v>
      </c>
      <c r="P3213" t="n">
        <v>0.0108</v>
      </c>
      <c r="Q3213" t="n">
        <v>-100</v>
      </c>
      <c r="R3213" t="n">
        <v>0.0332</v>
      </c>
      <c r="S3213">
        <f>IMAGE("https://mitra.stanford.edu/kundaje/oak/projects/neuro-variants/variant_position/credible/roussos_2024/variant_figures/roussos_2024.childhood.GABA/rs10462767_count_position.png",4,220,900)</f>
        <v/>
      </c>
      <c r="T3213">
        <f>IMAGE("https://mitra.stanford.edu/kundaje/oak/projects/neuro-variants/variant_position/credible/roussos_2024/variant_figures/roussos_2024.childhood.GABA/rs10462767_profile_position.png",4,220,900)</f>
        <v/>
      </c>
    </row>
    <row r="3214">
      <c r="A3214" t="inlineStr">
        <is>
          <t>chr5</t>
        </is>
      </c>
      <c r="B3214" t="n">
        <v>3417881</v>
      </c>
      <c r="C3214" t="inlineStr">
        <is>
          <t>A</t>
        </is>
      </c>
      <c r="D3214" t="inlineStr">
        <is>
          <t>G</t>
        </is>
      </c>
      <c r="E3214" t="inlineStr">
        <is>
          <t>rs13170639</t>
        </is>
      </c>
      <c r="F3214" t="n">
        <v>0.01007145892</v>
      </c>
      <c r="G3214" t="n">
        <v>0.4591731548002883</v>
      </c>
      <c r="H3214" t="n">
        <v>0.0126202230142241</v>
      </c>
      <c r="I3214" t="n">
        <v>0.3885450866804716</v>
      </c>
      <c r="J3214" t="n">
        <v>0.5004293103809344</v>
      </c>
      <c r="K3214" t="n">
        <v>0.0513031509686931</v>
      </c>
      <c r="L3214" t="b">
        <v>0</v>
      </c>
      <c r="M3214" t="b">
        <v>0</v>
      </c>
      <c r="N3214" t="inlineStr">
        <is>
          <t>alt</t>
        </is>
      </c>
      <c r="O3214" t="n">
        <v>-100</v>
      </c>
      <c r="P3214" t="n">
        <v>0.0766</v>
      </c>
      <c r="Q3214" t="n">
        <v>-100</v>
      </c>
      <c r="R3214" t="n">
        <v>0.3801</v>
      </c>
      <c r="S3214">
        <f>IMAGE("https://mitra.stanford.edu/kundaje/oak/projects/neuro-variants/variant_position/credible/roussos_2024/variant_figures/roussos_2024.childhood.GABA/rs13170639_count_position.png",4,220,900)</f>
        <v/>
      </c>
      <c r="T3214">
        <f>IMAGE("https://mitra.stanford.edu/kundaje/oak/projects/neuro-variants/variant_position/credible/roussos_2024/variant_figures/roussos_2024.childhood.GABA/rs13170639_profile_position.png",4,220,900)</f>
        <v/>
      </c>
    </row>
    <row r="3215">
      <c r="A3215" t="inlineStr">
        <is>
          <t>chr5</t>
        </is>
      </c>
      <c r="B3215" t="n">
        <v>3439187</v>
      </c>
      <c r="C3215" t="inlineStr">
        <is>
          <t>C</t>
        </is>
      </c>
      <c r="D3215" t="inlineStr">
        <is>
          <t>T</t>
        </is>
      </c>
      <c r="E3215" t="inlineStr">
        <is>
          <t>rs35533030</t>
        </is>
      </c>
      <c r="F3215" t="n">
        <v>-0.0412152508</v>
      </c>
      <c r="G3215" t="n">
        <v>0.2062498834858759</v>
      </c>
      <c r="H3215" t="n">
        <v>0.0117012457186223</v>
      </c>
      <c r="I3215" t="n">
        <v>0.4686590228981686</v>
      </c>
      <c r="J3215" t="n">
        <v>0.3488869343050407</v>
      </c>
      <c r="K3215" t="n">
        <v>0.1081891722709264</v>
      </c>
      <c r="L3215" t="b">
        <v>0</v>
      </c>
      <c r="M3215" t="b">
        <v>0</v>
      </c>
      <c r="N3215" t="inlineStr">
        <is>
          <t>ref</t>
        </is>
      </c>
      <c r="O3215" t="n">
        <v>-100</v>
      </c>
      <c r="P3215" t="n">
        <v>0.02174</v>
      </c>
      <c r="Q3215" t="n">
        <v>-45</v>
      </c>
      <c r="R3215" t="n">
        <v>0.11475</v>
      </c>
      <c r="S3215">
        <f>IMAGE("https://mitra.stanford.edu/kundaje/oak/projects/neuro-variants/variant_position/credible/roussos_2024/variant_figures/roussos_2024.childhood.GABA/rs35533030_count_position.png",4,220,900)</f>
        <v/>
      </c>
      <c r="T3215">
        <f>IMAGE("https://mitra.stanford.edu/kundaje/oak/projects/neuro-variants/variant_position/credible/roussos_2024/variant_figures/roussos_2024.childhood.GABA/rs35533030_profile_position.png",4,220,900)</f>
        <v/>
      </c>
    </row>
    <row r="3216">
      <c r="A3216" t="inlineStr">
        <is>
          <t>chr5</t>
        </is>
      </c>
      <c r="B3216" t="n">
        <v>7236553</v>
      </c>
      <c r="C3216" t="inlineStr">
        <is>
          <t>T</t>
        </is>
      </c>
      <c r="D3216" t="inlineStr">
        <is>
          <t>G</t>
        </is>
      </c>
      <c r="E3216" t="inlineStr">
        <is>
          <t>rs6885115</t>
        </is>
      </c>
      <c r="F3216" t="n">
        <v>-0.01525107624</v>
      </c>
      <c r="G3216" t="n">
        <v>0.5338920432957239</v>
      </c>
      <c r="H3216" t="n">
        <v>0.0105917391458498</v>
      </c>
      <c r="I3216" t="n">
        <v>0.5812799589862518</v>
      </c>
      <c r="J3216" t="n">
        <v>0.0033590919561893</v>
      </c>
      <c r="K3216" t="n">
        <v>0.8517618742076681</v>
      </c>
      <c r="L3216" t="b">
        <v>0</v>
      </c>
      <c r="M3216" t="b">
        <v>0</v>
      </c>
      <c r="N3216" t="inlineStr">
        <is>
          <t>ref</t>
        </is>
      </c>
      <c r="O3216" t="n">
        <v>100</v>
      </c>
      <c r="P3216" t="n">
        <v>0.064</v>
      </c>
      <c r="Q3216" t="n">
        <v>20</v>
      </c>
      <c r="R3216" t="n">
        <v>0.01906</v>
      </c>
      <c r="S3216">
        <f>IMAGE("https://mitra.stanford.edu/kundaje/oak/projects/neuro-variants/variant_position/credible/roussos_2024/variant_figures/roussos_2024.childhood.GABA/rs6885115_count_position.png",4,220,900)</f>
        <v/>
      </c>
      <c r="T3216">
        <f>IMAGE("https://mitra.stanford.edu/kundaje/oak/projects/neuro-variants/variant_position/credible/roussos_2024/variant_figures/roussos_2024.childhood.GABA/rs6885115_profile_position.png",4,220,900)</f>
        <v/>
      </c>
    </row>
    <row r="3217">
      <c r="A3217" t="inlineStr">
        <is>
          <t>chr5</t>
        </is>
      </c>
      <c r="B3217" t="n">
        <v>7391349</v>
      </c>
      <c r="C3217" t="inlineStr">
        <is>
          <t>G</t>
        </is>
      </c>
      <c r="D3217" t="inlineStr">
        <is>
          <t>A</t>
        </is>
      </c>
      <c r="E3217" t="inlineStr">
        <is>
          <t>rs12514566</t>
        </is>
      </c>
      <c r="F3217" t="n">
        <v>-0.0587221731999999</v>
      </c>
      <c r="G3217" t="n">
        <v>0.1142169456914453</v>
      </c>
      <c r="H3217" t="n">
        <v>0.0155518042644438</v>
      </c>
      <c r="I3217" t="n">
        <v>0.1971996187675926</v>
      </c>
      <c r="J3217" t="n">
        <v>0.2199692153043915</v>
      </c>
      <c r="K3217" t="n">
        <v>0.198230071086552</v>
      </c>
      <c r="L3217" t="b">
        <v>0</v>
      </c>
      <c r="M3217" t="b">
        <v>0</v>
      </c>
      <c r="N3217" t="inlineStr">
        <is>
          <t>ref</t>
        </is>
      </c>
      <c r="O3217" t="n">
        <v>-90</v>
      </c>
      <c r="P3217" t="n">
        <v>0.02007</v>
      </c>
      <c r="Q3217" t="n">
        <v>-30</v>
      </c>
      <c r="R3217" t="n">
        <v>0.02637</v>
      </c>
      <c r="S3217">
        <f>IMAGE("https://mitra.stanford.edu/kundaje/oak/projects/neuro-variants/variant_position/credible/roussos_2024/variant_figures/roussos_2024.childhood.GABA/rs12514566_count_position.png",4,220,900)</f>
        <v/>
      </c>
      <c r="T3217">
        <f>IMAGE("https://mitra.stanford.edu/kundaje/oak/projects/neuro-variants/variant_position/credible/roussos_2024/variant_figures/roussos_2024.childhood.GABA/rs12514566_profile_position.png",4,220,900)</f>
        <v/>
      </c>
    </row>
    <row r="3218">
      <c r="A3218" t="inlineStr">
        <is>
          <t>chr5</t>
        </is>
      </c>
      <c r="B3218" t="n">
        <v>23023862</v>
      </c>
      <c r="C3218" t="inlineStr">
        <is>
          <t>C</t>
        </is>
      </c>
      <c r="D3218" t="inlineStr">
        <is>
          <t>T</t>
        </is>
      </c>
      <c r="E3218" t="inlineStr">
        <is>
          <t>rs2680786</t>
        </is>
      </c>
      <c r="F3218" t="n">
        <v>-0.0675978659999999</v>
      </c>
      <c r="G3218" t="n">
        <v>0.0765786710129526</v>
      </c>
      <c r="H3218" t="n">
        <v>0.0121131469460839</v>
      </c>
      <c r="I3218" t="n">
        <v>0.4303046861005537</v>
      </c>
      <c r="J3218" t="n">
        <v>0.0011549496345625</v>
      </c>
      <c r="K3218" t="n">
        <v>0.913587793196219</v>
      </c>
      <c r="L3218" t="b">
        <v>0</v>
      </c>
      <c r="M3218" t="b">
        <v>0</v>
      </c>
      <c r="N3218" t="inlineStr">
        <is>
          <t>ref</t>
        </is>
      </c>
      <c r="O3218" t="n">
        <v>-80</v>
      </c>
      <c r="P3218" t="n">
        <v>0.003744</v>
      </c>
      <c r="Q3218" t="n">
        <v>-100</v>
      </c>
      <c r="R3218" t="n">
        <v>0.03317</v>
      </c>
      <c r="S3218">
        <f>IMAGE("https://mitra.stanford.edu/kundaje/oak/projects/neuro-variants/variant_position/credible/roussos_2024/variant_figures/roussos_2024.childhood.GABA/rs2680786_count_position.png",4,220,900)</f>
        <v/>
      </c>
      <c r="T3218">
        <f>IMAGE("https://mitra.stanford.edu/kundaje/oak/projects/neuro-variants/variant_position/credible/roussos_2024/variant_figures/roussos_2024.childhood.GABA/rs2680786_profile_position.png",4,220,900)</f>
        <v/>
      </c>
    </row>
    <row r="3219">
      <c r="A3219" t="inlineStr">
        <is>
          <t>chr5</t>
        </is>
      </c>
      <c r="B3219" t="n">
        <v>23026318</v>
      </c>
      <c r="C3219" t="inlineStr">
        <is>
          <t>G</t>
        </is>
      </c>
      <c r="D3219" t="inlineStr">
        <is>
          <t>A</t>
        </is>
      </c>
      <c r="E3219" t="inlineStr">
        <is>
          <t>rs2680790</t>
        </is>
      </c>
      <c r="F3219" t="n">
        <v>-0.00657242872</v>
      </c>
      <c r="G3219" t="n">
        <v>0.5324987930150021</v>
      </c>
      <c r="H3219" t="n">
        <v>0.0152060659384048</v>
      </c>
      <c r="I3219" t="n">
        <v>0.2184440862554066</v>
      </c>
      <c r="J3219" t="n">
        <v>0.342856694100647</v>
      </c>
      <c r="K3219" t="n">
        <v>0.1110954780620162</v>
      </c>
      <c r="L3219" t="b">
        <v>0</v>
      </c>
      <c r="M3219" t="b">
        <v>0</v>
      </c>
      <c r="N3219" t="inlineStr">
        <is>
          <t>ref</t>
        </is>
      </c>
      <c r="O3219" t="n">
        <v>-100</v>
      </c>
      <c r="P3219" t="n">
        <v>0.01</v>
      </c>
      <c r="Q3219" t="n">
        <v>-100</v>
      </c>
      <c r="R3219" t="n">
        <v>0.1394</v>
      </c>
      <c r="S3219">
        <f>IMAGE("https://mitra.stanford.edu/kundaje/oak/projects/neuro-variants/variant_position/credible/roussos_2024/variant_figures/roussos_2024.childhood.GABA/rs2680790_count_position.png",4,220,900)</f>
        <v/>
      </c>
      <c r="T3219">
        <f>IMAGE("https://mitra.stanford.edu/kundaje/oak/projects/neuro-variants/variant_position/credible/roussos_2024/variant_figures/roussos_2024.childhood.GABA/rs2680790_profile_position.png",4,220,900)</f>
        <v/>
      </c>
    </row>
    <row r="3220">
      <c r="A3220" t="inlineStr">
        <is>
          <t>chr5</t>
        </is>
      </c>
      <c r="B3220" t="n">
        <v>23036792</v>
      </c>
      <c r="C3220" t="inlineStr">
        <is>
          <t>T</t>
        </is>
      </c>
      <c r="D3220" t="inlineStr">
        <is>
          <t>G</t>
        </is>
      </c>
      <c r="E3220" t="inlineStr">
        <is>
          <t>rs2635639</t>
        </is>
      </c>
      <c r="F3220" t="n">
        <v>-0.0379065336</v>
      </c>
      <c r="G3220" t="n">
        <v>0.2282554170896498</v>
      </c>
      <c r="H3220" t="n">
        <v>0.028297093719971</v>
      </c>
      <c r="I3220" t="n">
        <v>0.016112690202413</v>
      </c>
      <c r="J3220" t="n">
        <v>0.1542459843772904</v>
      </c>
      <c r="K3220" t="n">
        <v>0.2634599504992976</v>
      </c>
      <c r="L3220" t="b">
        <v>1</v>
      </c>
      <c r="M3220" t="b">
        <v>0</v>
      </c>
      <c r="N3220" t="inlineStr">
        <is>
          <t>ref</t>
        </is>
      </c>
      <c r="O3220" t="n">
        <v>70</v>
      </c>
      <c r="P3220" t="n">
        <v>0.00648</v>
      </c>
      <c r="Q3220" t="n">
        <v>-5</v>
      </c>
      <c r="R3220" t="n">
        <v>0.0007324</v>
      </c>
      <c r="S3220">
        <f>IMAGE("https://mitra.stanford.edu/kundaje/oak/projects/neuro-variants/variant_position/credible/roussos_2024/variant_figures/roussos_2024.childhood.GABA/rs2635639_count_position.png",4,220,900)</f>
        <v/>
      </c>
      <c r="T3220">
        <f>IMAGE("https://mitra.stanford.edu/kundaje/oak/projects/neuro-variants/variant_position/credible/roussos_2024/variant_figures/roussos_2024.childhood.GABA/rs2635639_profile_position.png",4,220,900)</f>
        <v/>
      </c>
    </row>
    <row r="3221">
      <c r="A3221" t="inlineStr">
        <is>
          <t>chr5</t>
        </is>
      </c>
      <c r="B3221" t="n">
        <v>23036849</v>
      </c>
      <c r="C3221" t="inlineStr">
        <is>
          <t>G</t>
        </is>
      </c>
      <c r="D3221" t="inlineStr">
        <is>
          <t>A</t>
        </is>
      </c>
      <c r="E3221" t="inlineStr">
        <is>
          <t>rs2680799</t>
        </is>
      </c>
      <c r="F3221" t="n">
        <v>-0.0715417134</v>
      </c>
      <c r="G3221" t="n">
        <v>0.0725030278203236</v>
      </c>
      <c r="H3221" t="n">
        <v>0.0109580320817846</v>
      </c>
      <c r="I3221" t="n">
        <v>0.5353255713182145</v>
      </c>
      <c r="J3221" t="n">
        <v>0.1510334862097128</v>
      </c>
      <c r="K3221" t="n">
        <v>0.2676617371634562</v>
      </c>
      <c r="L3221" t="b">
        <v>0</v>
      </c>
      <c r="M3221" t="b">
        <v>0</v>
      </c>
      <c r="N3221" t="inlineStr">
        <is>
          <t>ref</t>
        </is>
      </c>
      <c r="O3221" t="n">
        <v>15</v>
      </c>
      <c r="P3221" t="n">
        <v>0.0019</v>
      </c>
      <c r="Q3221" t="n">
        <v>60</v>
      </c>
      <c r="R3221" t="n">
        <v>0.03955</v>
      </c>
      <c r="S3221">
        <f>IMAGE("https://mitra.stanford.edu/kundaje/oak/projects/neuro-variants/variant_position/credible/roussos_2024/variant_figures/roussos_2024.childhood.GABA/rs2680799_count_position.png",4,220,900)</f>
        <v/>
      </c>
      <c r="T3221">
        <f>IMAGE("https://mitra.stanford.edu/kundaje/oak/projects/neuro-variants/variant_position/credible/roussos_2024/variant_figures/roussos_2024.childhood.GABA/rs2680799_profile_position.png",4,220,900)</f>
        <v/>
      </c>
    </row>
    <row r="3222">
      <c r="A3222" t="inlineStr">
        <is>
          <t>chr5</t>
        </is>
      </c>
      <c r="B3222" t="n">
        <v>23036893</v>
      </c>
      <c r="C3222" t="inlineStr">
        <is>
          <t>C</t>
        </is>
      </c>
      <c r="D3222" t="inlineStr">
        <is>
          <t>G</t>
        </is>
      </c>
      <c r="E3222" t="inlineStr">
        <is>
          <t>rs2680800</t>
        </is>
      </c>
      <c r="F3222" t="n">
        <v>0.03408124254</v>
      </c>
      <c r="G3222" t="n">
        <v>0.1439768792894587</v>
      </c>
      <c r="H3222" t="n">
        <v>0.0189501811216702</v>
      </c>
      <c r="I3222" t="n">
        <v>0.09226124501603269</v>
      </c>
      <c r="J3222" t="n">
        <v>0.1501895248267051</v>
      </c>
      <c r="K3222" t="n">
        <v>0.2693511343354383</v>
      </c>
      <c r="L3222" t="b">
        <v>0</v>
      </c>
      <c r="M3222" t="b">
        <v>0</v>
      </c>
      <c r="N3222" t="inlineStr">
        <is>
          <t>alt</t>
        </is>
      </c>
      <c r="O3222" t="n">
        <v>100</v>
      </c>
      <c r="P3222" t="n">
        <v>0.006218</v>
      </c>
      <c r="Q3222" t="n">
        <v>15</v>
      </c>
      <c r="R3222" t="n">
        <v>0.02979</v>
      </c>
      <c r="S3222">
        <f>IMAGE("https://mitra.stanford.edu/kundaje/oak/projects/neuro-variants/variant_position/credible/roussos_2024/variant_figures/roussos_2024.childhood.GABA/rs2680800_count_position.png",4,220,900)</f>
        <v/>
      </c>
      <c r="T3222">
        <f>IMAGE("https://mitra.stanford.edu/kundaje/oak/projects/neuro-variants/variant_position/credible/roussos_2024/variant_figures/roussos_2024.childhood.GABA/rs2680800_profile_position.png",4,220,900)</f>
        <v/>
      </c>
    </row>
    <row r="3223">
      <c r="A3223" t="inlineStr">
        <is>
          <t>chr5</t>
        </is>
      </c>
      <c r="B3223" t="n">
        <v>23038736</v>
      </c>
      <c r="C3223" t="inlineStr">
        <is>
          <t>A</t>
        </is>
      </c>
      <c r="D3223" t="inlineStr">
        <is>
          <t>G</t>
        </is>
      </c>
      <c r="E3223" t="inlineStr">
        <is>
          <t>rs2635642</t>
        </is>
      </c>
      <c r="F3223" t="n">
        <v>0.1062560502</v>
      </c>
      <c r="G3223" t="n">
        <v>0.0242608584939708</v>
      </c>
      <c r="H3223" t="n">
        <v>0.0133871529354754</v>
      </c>
      <c r="I3223" t="n">
        <v>0.3278962849791225</v>
      </c>
      <c r="J3223" t="n">
        <v>0.0820359783041192</v>
      </c>
      <c r="K3223" t="n">
        <v>0.3867137743120327</v>
      </c>
      <c r="L3223" t="b">
        <v>0</v>
      </c>
      <c r="M3223" t="b">
        <v>0</v>
      </c>
      <c r="N3223" t="inlineStr">
        <is>
          <t>alt</t>
        </is>
      </c>
      <c r="O3223" t="n">
        <v>100</v>
      </c>
      <c r="P3223" t="n">
        <v>0.01535</v>
      </c>
      <c r="Q3223" t="n">
        <v>45</v>
      </c>
      <c r="R3223" t="n">
        <v>0.09619999999999999</v>
      </c>
      <c r="S3223">
        <f>IMAGE("https://mitra.stanford.edu/kundaje/oak/projects/neuro-variants/variant_position/credible/roussos_2024/variant_figures/roussos_2024.childhood.GABA/rs2635642_count_position.png",4,220,900)</f>
        <v/>
      </c>
      <c r="T3223">
        <f>IMAGE("https://mitra.stanford.edu/kundaje/oak/projects/neuro-variants/variant_position/credible/roussos_2024/variant_figures/roussos_2024.childhood.GABA/rs2635642_profile_position.png",4,220,900)</f>
        <v/>
      </c>
    </row>
    <row r="3224">
      <c r="A3224" t="inlineStr">
        <is>
          <t>chr5</t>
        </is>
      </c>
      <c r="B3224" t="n">
        <v>23041513</v>
      </c>
      <c r="C3224" t="inlineStr">
        <is>
          <t>C</t>
        </is>
      </c>
      <c r="D3224" t="inlineStr">
        <is>
          <t>T</t>
        </is>
      </c>
      <c r="E3224" t="inlineStr">
        <is>
          <t>rs2680803</t>
        </is>
      </c>
      <c r="F3224" t="n">
        <v>0.00416811296</v>
      </c>
      <c r="G3224" t="n">
        <v>0.6756019869326177</v>
      </c>
      <c r="H3224" t="n">
        <v>0.009493487671843</v>
      </c>
      <c r="I3224" t="n">
        <v>0.6988987870654608</v>
      </c>
      <c r="J3224" t="n">
        <v>0.0001748654478439</v>
      </c>
      <c r="K3224" t="n">
        <v>0.9644611227494378</v>
      </c>
      <c r="L3224" t="b">
        <v>0</v>
      </c>
      <c r="M3224" t="b">
        <v>0</v>
      </c>
      <c r="N3224" t="inlineStr">
        <is>
          <t>alt</t>
        </is>
      </c>
      <c r="O3224" t="n">
        <v>-100</v>
      </c>
      <c r="P3224" t="n">
        <v>0.0112</v>
      </c>
      <c r="Q3224" t="n">
        <v>-100</v>
      </c>
      <c r="R3224" t="n">
        <v>0.02342</v>
      </c>
      <c r="S3224">
        <f>IMAGE("https://mitra.stanford.edu/kundaje/oak/projects/neuro-variants/variant_position/credible/roussos_2024/variant_figures/roussos_2024.childhood.GABA/rs2680803_count_position.png",4,220,900)</f>
        <v/>
      </c>
      <c r="T3224">
        <f>IMAGE("https://mitra.stanford.edu/kundaje/oak/projects/neuro-variants/variant_position/credible/roussos_2024/variant_figures/roussos_2024.childhood.GABA/rs2680803_profile_position.png",4,220,900)</f>
        <v/>
      </c>
    </row>
    <row r="3225">
      <c r="A3225" t="inlineStr">
        <is>
          <t>chr5</t>
        </is>
      </c>
      <c r="B3225" t="n">
        <v>37804632</v>
      </c>
      <c r="C3225" t="inlineStr">
        <is>
          <t>G</t>
        </is>
      </c>
      <c r="D3225" t="inlineStr">
        <is>
          <t>T</t>
        </is>
      </c>
      <c r="E3225" t="inlineStr">
        <is>
          <t>rs75819762</t>
        </is>
      </c>
      <c r="F3225" t="n">
        <v>0.0345399188</v>
      </c>
      <c r="G3225" t="n">
        <v>0.2488662625174025</v>
      </c>
      <c r="H3225" t="n">
        <v>0.014652615954354</v>
      </c>
      <c r="I3225" t="n">
        <v>0.2413812008835444</v>
      </c>
      <c r="J3225" t="n">
        <v>0.0502586333270506</v>
      </c>
      <c r="K3225" t="n">
        <v>0.497004763346609</v>
      </c>
      <c r="L3225" t="b">
        <v>0</v>
      </c>
      <c r="M3225" t="b">
        <v>0</v>
      </c>
      <c r="N3225" t="inlineStr">
        <is>
          <t>alt</t>
        </is>
      </c>
      <c r="O3225" t="n">
        <v>100</v>
      </c>
      <c r="P3225" t="n">
        <v>0.008449999999999999</v>
      </c>
      <c r="Q3225" t="n">
        <v>100</v>
      </c>
      <c r="R3225" t="n">
        <v>0.2275</v>
      </c>
      <c r="S3225">
        <f>IMAGE("https://mitra.stanford.edu/kundaje/oak/projects/neuro-variants/variant_position/credible/roussos_2024/variant_figures/roussos_2024.childhood.GABA/rs75819762_count_position.png",4,220,900)</f>
        <v/>
      </c>
      <c r="T3225">
        <f>IMAGE("https://mitra.stanford.edu/kundaje/oak/projects/neuro-variants/variant_position/credible/roussos_2024/variant_figures/roussos_2024.childhood.GABA/rs75819762_profile_position.png",4,220,900)</f>
        <v/>
      </c>
    </row>
    <row r="3226">
      <c r="A3226" t="inlineStr">
        <is>
          <t>chr5</t>
        </is>
      </c>
      <c r="B3226" t="n">
        <v>37830475</v>
      </c>
      <c r="C3226" t="inlineStr">
        <is>
          <t>A</t>
        </is>
      </c>
      <c r="D3226" t="inlineStr">
        <is>
          <t>C</t>
        </is>
      </c>
      <c r="E3226" t="inlineStr">
        <is>
          <t>rs1862574</t>
        </is>
      </c>
      <c r="F3226" t="n">
        <v>0.0247630646</v>
      </c>
      <c r="G3226" t="n">
        <v>0.3449682217339574</v>
      </c>
      <c r="H3226" t="n">
        <v>0.0099110703913516</v>
      </c>
      <c r="I3226" t="n">
        <v>0.6495979799345385</v>
      </c>
      <c r="J3226" t="n">
        <v>0.3713482440158321</v>
      </c>
      <c r="K3226" t="n">
        <v>0.0967133674706174</v>
      </c>
      <c r="L3226" t="b">
        <v>0</v>
      </c>
      <c r="M3226" t="b">
        <v>0</v>
      </c>
      <c r="N3226" t="inlineStr">
        <is>
          <t>alt</t>
        </is>
      </c>
      <c r="O3226" t="n">
        <v>20</v>
      </c>
      <c r="P3226" t="n">
        <v>0.00537</v>
      </c>
      <c r="Q3226" t="n">
        <v>50</v>
      </c>
      <c r="R3226" t="n">
        <v>0.0825</v>
      </c>
      <c r="S3226">
        <f>IMAGE("https://mitra.stanford.edu/kundaje/oak/projects/neuro-variants/variant_position/credible/roussos_2024/variant_figures/roussos_2024.childhood.GABA/rs1862574_count_position.png",4,220,900)</f>
        <v/>
      </c>
      <c r="T3226">
        <f>IMAGE("https://mitra.stanford.edu/kundaje/oak/projects/neuro-variants/variant_position/credible/roussos_2024/variant_figures/roussos_2024.childhood.GABA/rs1862574_profile_position.png",4,220,900)</f>
        <v/>
      </c>
    </row>
    <row r="3227">
      <c r="A3227" t="inlineStr">
        <is>
          <t>chr5</t>
        </is>
      </c>
      <c r="B3227" t="n">
        <v>37833679</v>
      </c>
      <c r="C3227" t="inlineStr">
        <is>
          <t>C</t>
        </is>
      </c>
      <c r="D3227" t="inlineStr">
        <is>
          <t>G</t>
        </is>
      </c>
      <c r="E3227" t="inlineStr">
        <is>
          <t>rs2973038</t>
        </is>
      </c>
      <c r="F3227" t="n">
        <v>0.0042540311</v>
      </c>
      <c r="G3227" t="n">
        <v>0.4513671758043615</v>
      </c>
      <c r="H3227" t="n">
        <v>0.009413939181652601</v>
      </c>
      <c r="I3227" t="n">
        <v>0.6925006647117503</v>
      </c>
      <c r="J3227" t="n">
        <v>0.2782255868987036</v>
      </c>
      <c r="K3227" t="n">
        <v>0.1499840940446413</v>
      </c>
      <c r="L3227" t="b">
        <v>0</v>
      </c>
      <c r="M3227" t="b">
        <v>0</v>
      </c>
      <c r="N3227" t="inlineStr">
        <is>
          <t>alt</t>
        </is>
      </c>
      <c r="O3227" t="n">
        <v>-100</v>
      </c>
      <c r="P3227" t="n">
        <v>0.00236</v>
      </c>
      <c r="Q3227" t="n">
        <v>-45</v>
      </c>
      <c r="R3227" t="n">
        <v>0.09569999999999999</v>
      </c>
      <c r="S3227">
        <f>IMAGE("https://mitra.stanford.edu/kundaje/oak/projects/neuro-variants/variant_position/credible/roussos_2024/variant_figures/roussos_2024.childhood.GABA/rs2973038_count_position.png",4,220,900)</f>
        <v/>
      </c>
      <c r="T3227">
        <f>IMAGE("https://mitra.stanford.edu/kundaje/oak/projects/neuro-variants/variant_position/credible/roussos_2024/variant_figures/roussos_2024.childhood.GABA/rs2973038_profile_position.png",4,220,900)</f>
        <v/>
      </c>
    </row>
    <row r="3228">
      <c r="A3228" t="inlineStr">
        <is>
          <t>chr5</t>
        </is>
      </c>
      <c r="B3228" t="n">
        <v>44914183</v>
      </c>
      <c r="C3228" t="inlineStr">
        <is>
          <t>A</t>
        </is>
      </c>
      <c r="D3228" t="inlineStr">
        <is>
          <t>G</t>
        </is>
      </c>
      <c r="E3228" t="inlineStr">
        <is>
          <t>rs7702731</t>
        </is>
      </c>
      <c r="F3228" t="n">
        <v>0.0508339364</v>
      </c>
      <c r="G3228" t="n">
        <v>0.1293623847450311</v>
      </c>
      <c r="H3228" t="n">
        <v>0.0245797250817028</v>
      </c>
      <c r="I3228" t="n">
        <v>0.0348819832151262</v>
      </c>
      <c r="J3228" t="n">
        <v>0.0224424619379698</v>
      </c>
      <c r="K3228" t="n">
        <v>0.6572976297228796</v>
      </c>
      <c r="L3228" t="b">
        <v>0</v>
      </c>
      <c r="M3228" t="b">
        <v>0</v>
      </c>
      <c r="N3228" t="inlineStr">
        <is>
          <t>alt</t>
        </is>
      </c>
      <c r="O3228" t="n">
        <v>100</v>
      </c>
      <c r="P3228" t="n">
        <v>0.006184</v>
      </c>
      <c r="Q3228" t="n">
        <v>-70</v>
      </c>
      <c r="R3228" t="n">
        <v>0.0377</v>
      </c>
      <c r="S3228">
        <f>IMAGE("https://mitra.stanford.edu/kundaje/oak/projects/neuro-variants/variant_position/credible/roussos_2024/variant_figures/roussos_2024.childhood.GABA/rs7702731_count_position.png",4,220,900)</f>
        <v/>
      </c>
      <c r="T3228">
        <f>IMAGE("https://mitra.stanford.edu/kundaje/oak/projects/neuro-variants/variant_position/credible/roussos_2024/variant_figures/roussos_2024.childhood.GABA/rs7702731_profile_position.png",4,220,900)</f>
        <v/>
      </c>
    </row>
    <row r="3229">
      <c r="A3229" t="inlineStr">
        <is>
          <t>chr5</t>
        </is>
      </c>
      <c r="B3229" t="n">
        <v>45011640</v>
      </c>
      <c r="C3229" t="inlineStr">
        <is>
          <t>A</t>
        </is>
      </c>
      <c r="D3229" t="inlineStr">
        <is>
          <t>G</t>
        </is>
      </c>
      <c r="E3229" t="inlineStr">
        <is>
          <t>rs11738503</t>
        </is>
      </c>
      <c r="F3229" t="n">
        <v>-0.00930647043</v>
      </c>
      <c r="G3229" t="n">
        <v>0.6661283104047722</v>
      </c>
      <c r="H3229" t="n">
        <v>0.0238751443115316</v>
      </c>
      <c r="I3229" t="n">
        <v>0.0360739889702027</v>
      </c>
      <c r="J3229" t="n">
        <v>0.009153735000314101</v>
      </c>
      <c r="K3229" t="n">
        <v>0.7529683670804603</v>
      </c>
      <c r="L3229" t="b">
        <v>0</v>
      </c>
      <c r="M3229" t="b">
        <v>0</v>
      </c>
      <c r="N3229" t="inlineStr">
        <is>
          <t>ref</t>
        </is>
      </c>
      <c r="O3229" t="n">
        <v>-50</v>
      </c>
      <c r="P3229" t="n">
        <v>0.00673</v>
      </c>
      <c r="Q3229" t="n">
        <v>-5</v>
      </c>
      <c r="R3229" t="n">
        <v>0.00525</v>
      </c>
      <c r="S3229">
        <f>IMAGE("https://mitra.stanford.edu/kundaje/oak/projects/neuro-variants/variant_position/credible/roussos_2024/variant_figures/roussos_2024.childhood.GABA/rs11738503_count_position.png",4,220,900)</f>
        <v/>
      </c>
      <c r="T3229">
        <f>IMAGE("https://mitra.stanford.edu/kundaje/oak/projects/neuro-variants/variant_position/credible/roussos_2024/variant_figures/roussos_2024.childhood.GABA/rs11738503_profile_position.png",4,220,900)</f>
        <v/>
      </c>
    </row>
    <row r="3230">
      <c r="A3230" t="inlineStr">
        <is>
          <t>chr5</t>
        </is>
      </c>
      <c r="B3230" t="n">
        <v>58377428</v>
      </c>
      <c r="C3230" t="inlineStr">
        <is>
          <t>T</t>
        </is>
      </c>
      <c r="D3230" t="inlineStr">
        <is>
          <t>C</t>
        </is>
      </c>
      <c r="E3230" t="inlineStr">
        <is>
          <t>rs138471599</t>
        </is>
      </c>
      <c r="F3230" t="n">
        <v>-0.0597580964</v>
      </c>
      <c r="G3230" t="n">
        <v>0.1084947517781416</v>
      </c>
      <c r="H3230" t="n">
        <v>0.0196732460858543</v>
      </c>
      <c r="I3230" t="n">
        <v>0.0816670026995405</v>
      </c>
      <c r="J3230" t="n">
        <v>0.3767177650729827</v>
      </c>
      <c r="K3230" t="n">
        <v>0.095662510013572</v>
      </c>
      <c r="L3230" t="b">
        <v>0</v>
      </c>
      <c r="M3230" t="b">
        <v>0</v>
      </c>
      <c r="N3230" t="inlineStr">
        <is>
          <t>ref</t>
        </is>
      </c>
      <c r="O3230" t="n">
        <v>-100</v>
      </c>
      <c r="P3230" t="n">
        <v>0.004654</v>
      </c>
      <c r="Q3230" t="n">
        <v>30</v>
      </c>
      <c r="R3230" t="n">
        <v>0.05786</v>
      </c>
      <c r="S3230">
        <f>IMAGE("https://mitra.stanford.edu/kundaje/oak/projects/neuro-variants/variant_position/credible/roussos_2024/variant_figures/roussos_2024.childhood.GABA/rs138471599_count_position.png",4,220,900)</f>
        <v/>
      </c>
      <c r="T3230">
        <f>IMAGE("https://mitra.stanford.edu/kundaje/oak/projects/neuro-variants/variant_position/credible/roussos_2024/variant_figures/roussos_2024.childhood.GABA/rs138471599_profile_position.png",4,220,900)</f>
        <v/>
      </c>
    </row>
    <row r="3231">
      <c r="A3231" t="inlineStr">
        <is>
          <t>chr5</t>
        </is>
      </c>
      <c r="B3231" t="n">
        <v>58427245</v>
      </c>
      <c r="C3231" t="inlineStr">
        <is>
          <t>A</t>
        </is>
      </c>
      <c r="D3231" t="inlineStr">
        <is>
          <t>G</t>
        </is>
      </c>
      <c r="E3231" t="inlineStr">
        <is>
          <t>rs245412</t>
        </is>
      </c>
      <c r="F3231" t="n">
        <v>0.1020868648</v>
      </c>
      <c r="G3231" t="n">
        <v>0.0279389719911893</v>
      </c>
      <c r="H3231" t="n">
        <v>0.0129806893334298</v>
      </c>
      <c r="I3231" t="n">
        <v>0.3578073477486831</v>
      </c>
      <c r="J3231" t="n">
        <v>0.0350579045465016</v>
      </c>
      <c r="K3231" t="n">
        <v>0.5705552286832729</v>
      </c>
      <c r="L3231" t="b">
        <v>0</v>
      </c>
      <c r="M3231" t="b">
        <v>0</v>
      </c>
      <c r="N3231" t="inlineStr">
        <is>
          <t>alt</t>
        </is>
      </c>
      <c r="O3231" t="n">
        <v>-100</v>
      </c>
      <c r="P3231" t="n">
        <v>0.01935</v>
      </c>
      <c r="Q3231" t="n">
        <v>-45</v>
      </c>
      <c r="R3231" t="n">
        <v>0.05646</v>
      </c>
      <c r="S3231">
        <f>IMAGE("https://mitra.stanford.edu/kundaje/oak/projects/neuro-variants/variant_position/credible/roussos_2024/variant_figures/roussos_2024.childhood.GABA/rs245412_count_position.png",4,220,900)</f>
        <v/>
      </c>
      <c r="T3231">
        <f>IMAGE("https://mitra.stanford.edu/kundaje/oak/projects/neuro-variants/variant_position/credible/roussos_2024/variant_figures/roussos_2024.childhood.GABA/rs245412_profile_position.png",4,220,900)</f>
        <v/>
      </c>
    </row>
    <row r="3232">
      <c r="A3232" t="inlineStr">
        <is>
          <t>chr5</t>
        </is>
      </c>
      <c r="B3232" t="n">
        <v>58433711</v>
      </c>
      <c r="C3232" t="inlineStr">
        <is>
          <t>C</t>
        </is>
      </c>
      <c r="D3232" t="inlineStr">
        <is>
          <t>T</t>
        </is>
      </c>
      <c r="E3232" t="inlineStr">
        <is>
          <t>rs151893</t>
        </is>
      </c>
      <c r="F3232" t="n">
        <v>-0.09934706140000001</v>
      </c>
      <c r="G3232" t="n">
        <v>0.0317666776844774</v>
      </c>
      <c r="H3232" t="n">
        <v>0.0133016059731028</v>
      </c>
      <c r="I3232" t="n">
        <v>0.3367598233974867</v>
      </c>
      <c r="J3232" t="n">
        <v>0.053542334191954</v>
      </c>
      <c r="K3232" t="n">
        <v>0.4988329428315906</v>
      </c>
      <c r="L3232" t="b">
        <v>0</v>
      </c>
      <c r="M3232" t="b">
        <v>0</v>
      </c>
      <c r="N3232" t="inlineStr">
        <is>
          <t>ref</t>
        </is>
      </c>
      <c r="O3232" t="n">
        <v>-100</v>
      </c>
      <c r="P3232" t="n">
        <v>0.00813</v>
      </c>
      <c r="Q3232" t="n">
        <v>-95</v>
      </c>
      <c r="R3232" t="n">
        <v>0.1046</v>
      </c>
      <c r="S3232">
        <f>IMAGE("https://mitra.stanford.edu/kundaje/oak/projects/neuro-variants/variant_position/credible/roussos_2024/variant_figures/roussos_2024.childhood.GABA/rs151893_count_position.png",4,220,900)</f>
        <v/>
      </c>
      <c r="T3232">
        <f>IMAGE("https://mitra.stanford.edu/kundaje/oak/projects/neuro-variants/variant_position/credible/roussos_2024/variant_figures/roussos_2024.childhood.GABA/rs151893_profile_position.png",4,220,900)</f>
        <v/>
      </c>
    </row>
    <row r="3233">
      <c r="A3233" t="inlineStr">
        <is>
          <t>chr5</t>
        </is>
      </c>
      <c r="B3233" t="n">
        <v>58434073</v>
      </c>
      <c r="C3233" t="inlineStr">
        <is>
          <t>A</t>
        </is>
      </c>
      <c r="D3233" t="inlineStr">
        <is>
          <t>C</t>
        </is>
      </c>
      <c r="E3233" t="inlineStr">
        <is>
          <t>rs158280</t>
        </is>
      </c>
      <c r="F3233" t="n">
        <v>-0.0422413706</v>
      </c>
      <c r="G3233" t="n">
        <v>0.2100485677245619</v>
      </c>
      <c r="H3233" t="n">
        <v>0.0264546482765912</v>
      </c>
      <c r="I3233" t="n">
        <v>0.0230806302964226</v>
      </c>
      <c r="J3233" t="n">
        <v>0.0460848987455759</v>
      </c>
      <c r="K3233" t="n">
        <v>0.5322172682337308</v>
      </c>
      <c r="L3233" t="b">
        <v>0</v>
      </c>
      <c r="M3233" t="b">
        <v>0</v>
      </c>
      <c r="N3233" t="inlineStr">
        <is>
          <t>ref</t>
        </is>
      </c>
      <c r="O3233" t="n">
        <v>45</v>
      </c>
      <c r="P3233" t="n">
        <v>0.00196</v>
      </c>
      <c r="Q3233" t="n">
        <v>-25</v>
      </c>
      <c r="R3233" t="n">
        <v>0.01718</v>
      </c>
      <c r="S3233">
        <f>IMAGE("https://mitra.stanford.edu/kundaje/oak/projects/neuro-variants/variant_position/credible/roussos_2024/variant_figures/roussos_2024.childhood.GABA/rs158280_count_position.png",4,220,900)</f>
        <v/>
      </c>
      <c r="T3233">
        <f>IMAGE("https://mitra.stanford.edu/kundaje/oak/projects/neuro-variants/variant_position/credible/roussos_2024/variant_figures/roussos_2024.childhood.GABA/rs158280_profile_position.png",4,220,900)</f>
        <v/>
      </c>
    </row>
    <row r="3234">
      <c r="A3234" t="inlineStr">
        <is>
          <t>chr5</t>
        </is>
      </c>
      <c r="B3234" t="n">
        <v>58470131</v>
      </c>
      <c r="C3234" t="inlineStr">
        <is>
          <t>A</t>
        </is>
      </c>
      <c r="D3234" t="inlineStr">
        <is>
          <t>G</t>
        </is>
      </c>
      <c r="E3234" t="inlineStr">
        <is>
          <t>rs832636</t>
        </is>
      </c>
      <c r="F3234" t="n">
        <v>0.0082684121399999</v>
      </c>
      <c r="G3234" t="n">
        <v>0.4007556255925093</v>
      </c>
      <c r="H3234" t="n">
        <v>0.009090718540353201</v>
      </c>
      <c r="I3234" t="n">
        <v>0.7399276927368756</v>
      </c>
      <c r="J3234" t="n">
        <v>0.008058469979686201</v>
      </c>
      <c r="K3234" t="n">
        <v>0.7712400890104218</v>
      </c>
      <c r="L3234" t="b">
        <v>0</v>
      </c>
      <c r="M3234" t="b">
        <v>0</v>
      </c>
      <c r="N3234" t="inlineStr">
        <is>
          <t>alt</t>
        </is>
      </c>
      <c r="O3234" t="n">
        <v>100</v>
      </c>
      <c r="P3234" t="n">
        <v>0.007767</v>
      </c>
      <c r="Q3234" t="n">
        <v>-95</v>
      </c>
      <c r="R3234" t="n">
        <v>0.1428</v>
      </c>
      <c r="S3234">
        <f>IMAGE("https://mitra.stanford.edu/kundaje/oak/projects/neuro-variants/variant_position/credible/roussos_2024/variant_figures/roussos_2024.childhood.GABA/rs832636_count_position.png",4,220,900)</f>
        <v/>
      </c>
      <c r="T3234">
        <f>IMAGE("https://mitra.stanford.edu/kundaje/oak/projects/neuro-variants/variant_position/credible/roussos_2024/variant_figures/roussos_2024.childhood.GABA/rs832636_profile_position.png",4,220,900)</f>
        <v/>
      </c>
    </row>
    <row r="3235">
      <c r="A3235" t="inlineStr">
        <is>
          <t>chr5</t>
        </is>
      </c>
      <c r="B3235" t="n">
        <v>58570576</v>
      </c>
      <c r="C3235" t="inlineStr">
        <is>
          <t>G</t>
        </is>
      </c>
      <c r="D3235" t="inlineStr">
        <is>
          <t>A</t>
        </is>
      </c>
      <c r="E3235" t="inlineStr">
        <is>
          <t>rs12153002</t>
        </is>
      </c>
      <c r="F3235" t="n">
        <v>0.1740453668</v>
      </c>
      <c r="G3235" t="n">
        <v>0.0075179491359713</v>
      </c>
      <c r="H3235" t="n">
        <v>0.0333659259041385</v>
      </c>
      <c r="I3235" t="n">
        <v>0.0084843773555341</v>
      </c>
      <c r="J3235" t="n">
        <v>0.0399122531465309</v>
      </c>
      <c r="K3235" t="n">
        <v>0.5269130037552562</v>
      </c>
      <c r="L3235" t="b">
        <v>1</v>
      </c>
      <c r="M3235" t="b">
        <v>1</v>
      </c>
      <c r="N3235" t="inlineStr">
        <is>
          <t>alt</t>
        </is>
      </c>
      <c r="O3235" t="n">
        <v>100</v>
      </c>
      <c r="P3235" t="n">
        <v>0.001137</v>
      </c>
      <c r="Q3235" t="n">
        <v>65</v>
      </c>
      <c r="R3235" t="n">
        <v>0.04028</v>
      </c>
      <c r="S3235">
        <f>IMAGE("https://mitra.stanford.edu/kundaje/oak/projects/neuro-variants/variant_position/credible/roussos_2024/variant_figures/roussos_2024.childhood.GABA/rs12153002_count_position.png",4,220,900)</f>
        <v/>
      </c>
      <c r="T3235">
        <f>IMAGE("https://mitra.stanford.edu/kundaje/oak/projects/neuro-variants/variant_position/credible/roussos_2024/variant_figures/roussos_2024.childhood.GABA/rs12153002_profile_position.png",4,220,900)</f>
        <v/>
      </c>
    </row>
    <row r="3236">
      <c r="A3236" t="inlineStr">
        <is>
          <t>chr5</t>
        </is>
      </c>
      <c r="B3236" t="n">
        <v>61082276</v>
      </c>
      <c r="C3236" t="inlineStr">
        <is>
          <t>T</t>
        </is>
      </c>
      <c r="D3236" t="inlineStr">
        <is>
          <t>C</t>
        </is>
      </c>
      <c r="E3236" t="inlineStr">
        <is>
          <t>rs117702129</t>
        </is>
      </c>
      <c r="F3236" t="n">
        <v>-0.00210446068</v>
      </c>
      <c r="G3236" t="n">
        <v>0.7994396062861642</v>
      </c>
      <c r="H3236" t="n">
        <v>0.0226086339407047</v>
      </c>
      <c r="I3236" t="n">
        <v>0.0448931424701645</v>
      </c>
      <c r="J3236" t="n">
        <v>0.0177011999748695</v>
      </c>
      <c r="K3236" t="n">
        <v>0.6695019092952819</v>
      </c>
      <c r="L3236" t="b">
        <v>0</v>
      </c>
      <c r="M3236" t="b">
        <v>0</v>
      </c>
      <c r="N3236" t="inlineStr">
        <is>
          <t>ref</t>
        </is>
      </c>
      <c r="O3236" t="n">
        <v>55</v>
      </c>
      <c r="P3236" t="n">
        <v>0.0131</v>
      </c>
      <c r="Q3236" t="n">
        <v>-55</v>
      </c>
      <c r="R3236" t="n">
        <v>0.05234</v>
      </c>
      <c r="S3236">
        <f>IMAGE("https://mitra.stanford.edu/kundaje/oak/projects/neuro-variants/variant_position/credible/roussos_2024/variant_figures/roussos_2024.childhood.GABA/rs117702129_count_position.png",4,220,900)</f>
        <v/>
      </c>
      <c r="T3236">
        <f>IMAGE("https://mitra.stanford.edu/kundaje/oak/projects/neuro-variants/variant_position/credible/roussos_2024/variant_figures/roussos_2024.childhood.GABA/rs117702129_profile_position.png",4,220,900)</f>
        <v/>
      </c>
    </row>
    <row r="3237">
      <c r="A3237" t="inlineStr">
        <is>
          <t>chr5</t>
        </is>
      </c>
      <c r="B3237" t="n">
        <v>61203304</v>
      </c>
      <c r="C3237" t="inlineStr">
        <is>
          <t>A</t>
        </is>
      </c>
      <c r="D3237" t="inlineStr">
        <is>
          <t>G</t>
        </is>
      </c>
      <c r="E3237" t="inlineStr">
        <is>
          <t>rs171748</t>
        </is>
      </c>
      <c r="F3237" t="n">
        <v>-0.1711836</v>
      </c>
      <c r="G3237" t="n">
        <v>0.008210593483791001</v>
      </c>
      <c r="H3237" t="n">
        <v>0.0290574568975037</v>
      </c>
      <c r="I3237" t="n">
        <v>0.0155901924934303</v>
      </c>
      <c r="J3237" t="n">
        <v>0.0476021444577076</v>
      </c>
      <c r="K3237" t="n">
        <v>0.5047410010906759</v>
      </c>
      <c r="L3237" t="b">
        <v>1</v>
      </c>
      <c r="M3237" t="b">
        <v>1</v>
      </c>
      <c r="N3237" t="inlineStr">
        <is>
          <t>ref</t>
        </is>
      </c>
      <c r="O3237" t="n">
        <v>55</v>
      </c>
      <c r="P3237" t="n">
        <v>0.02002</v>
      </c>
      <c r="Q3237" t="n">
        <v>85</v>
      </c>
      <c r="R3237" t="n">
        <v>0.06836</v>
      </c>
      <c r="S3237">
        <f>IMAGE("https://mitra.stanford.edu/kundaje/oak/projects/neuro-variants/variant_position/credible/roussos_2024/variant_figures/roussos_2024.childhood.GABA/rs171748_count_position.png",4,220,900)</f>
        <v/>
      </c>
      <c r="T3237">
        <f>IMAGE("https://mitra.stanford.edu/kundaje/oak/projects/neuro-variants/variant_position/credible/roussos_2024/variant_figures/roussos_2024.childhood.GABA/rs171748_profile_position.png",4,220,900)</f>
        <v/>
      </c>
    </row>
    <row r="3238">
      <c r="A3238" t="inlineStr">
        <is>
          <t>chr5</t>
        </is>
      </c>
      <c r="B3238" t="n">
        <v>61210242</v>
      </c>
      <c r="C3238" t="inlineStr">
        <is>
          <t>A</t>
        </is>
      </c>
      <c r="D3238" t="inlineStr">
        <is>
          <t>C</t>
        </is>
      </c>
      <c r="E3238" t="inlineStr">
        <is>
          <t>rs177114</t>
        </is>
      </c>
      <c r="F3238" t="n">
        <v>0.012580154852</v>
      </c>
      <c r="G3238" t="n">
        <v>0.5525990059934893</v>
      </c>
      <c r="H3238" t="n">
        <v>0.0250223962268992</v>
      </c>
      <c r="I3238" t="n">
        <v>0.0282611874730141</v>
      </c>
      <c r="J3238" t="n">
        <v>0.0008701388452597</v>
      </c>
      <c r="K3238" t="n">
        <v>0.9176433650967044</v>
      </c>
      <c r="L3238" t="b">
        <v>0</v>
      </c>
      <c r="M3238" t="b">
        <v>0</v>
      </c>
      <c r="N3238" t="inlineStr">
        <is>
          <t>alt</t>
        </is>
      </c>
      <c r="O3238" t="n">
        <v>100</v>
      </c>
      <c r="P3238" t="n">
        <v>0.01235</v>
      </c>
      <c r="Q3238" t="n">
        <v>55</v>
      </c>
      <c r="R3238" t="n">
        <v>0.03018</v>
      </c>
      <c r="S3238">
        <f>IMAGE("https://mitra.stanford.edu/kundaje/oak/projects/neuro-variants/variant_position/credible/roussos_2024/variant_figures/roussos_2024.childhood.GABA/rs177114_count_position.png",4,220,900)</f>
        <v/>
      </c>
      <c r="T3238">
        <f>IMAGE("https://mitra.stanford.edu/kundaje/oak/projects/neuro-variants/variant_position/credible/roussos_2024/variant_figures/roussos_2024.childhood.GABA/rs177114_profile_position.png",4,220,900)</f>
        <v/>
      </c>
    </row>
    <row r="3239">
      <c r="A3239" t="inlineStr">
        <is>
          <t>chr5</t>
        </is>
      </c>
      <c r="B3239" t="n">
        <v>61237147</v>
      </c>
      <c r="C3239" t="inlineStr">
        <is>
          <t>G</t>
        </is>
      </c>
      <c r="D3239" t="inlineStr">
        <is>
          <t>A</t>
        </is>
      </c>
      <c r="E3239" t="inlineStr">
        <is>
          <t>rs476099</t>
        </is>
      </c>
      <c r="F3239" t="n">
        <v>-0.01345089954</v>
      </c>
      <c r="G3239" t="n">
        <v>0.5562492587557712</v>
      </c>
      <c r="H3239" t="n">
        <v>0.008848193093782399</v>
      </c>
      <c r="I3239" t="n">
        <v>0.7728987147031852</v>
      </c>
      <c r="J3239" t="n">
        <v>0.0574741890222193</v>
      </c>
      <c r="K3239" t="n">
        <v>0.4579068052133299</v>
      </c>
      <c r="L3239" t="b">
        <v>0</v>
      </c>
      <c r="M3239" t="b">
        <v>0</v>
      </c>
      <c r="N3239" t="inlineStr">
        <is>
          <t>ref</t>
        </is>
      </c>
      <c r="O3239" t="n">
        <v>100</v>
      </c>
      <c r="P3239" t="n">
        <v>0.02219</v>
      </c>
      <c r="Q3239" t="n">
        <v>80</v>
      </c>
      <c r="R3239" t="n">
        <v>0.1831</v>
      </c>
      <c r="S3239">
        <f>IMAGE("https://mitra.stanford.edu/kundaje/oak/projects/neuro-variants/variant_position/credible/roussos_2024/variant_figures/roussos_2024.childhood.GABA/rs476099_count_position.png",4,220,900)</f>
        <v/>
      </c>
      <c r="T3239">
        <f>IMAGE("https://mitra.stanford.edu/kundaje/oak/projects/neuro-variants/variant_position/credible/roussos_2024/variant_figures/roussos_2024.childhood.GABA/rs476099_profile_position.png",4,220,900)</f>
        <v/>
      </c>
    </row>
    <row r="3240">
      <c r="A3240" t="inlineStr">
        <is>
          <t>chr5</t>
        </is>
      </c>
      <c r="B3240" t="n">
        <v>61243041</v>
      </c>
      <c r="C3240" t="inlineStr">
        <is>
          <t>G</t>
        </is>
      </c>
      <c r="D3240" t="inlineStr">
        <is>
          <t>A</t>
        </is>
      </c>
      <c r="E3240" t="inlineStr">
        <is>
          <t>rs192070971</t>
        </is>
      </c>
      <c r="F3240" t="n">
        <v>-0.008800405972</v>
      </c>
      <c r="G3240" t="n">
        <v>0.6718954906342502</v>
      </c>
      <c r="H3240" t="n">
        <v>0.008912582764573599</v>
      </c>
      <c r="I3240" t="n">
        <v>0.7580146255009589</v>
      </c>
      <c r="J3240" t="n">
        <v>0.005537056815564</v>
      </c>
      <c r="K3240" t="n">
        <v>0.8104439090785883</v>
      </c>
      <c r="L3240" t="b">
        <v>0</v>
      </c>
      <c r="M3240" t="b">
        <v>0</v>
      </c>
      <c r="N3240" t="inlineStr">
        <is>
          <t>ref</t>
        </is>
      </c>
      <c r="O3240" t="n">
        <v>-15</v>
      </c>
      <c r="P3240" t="n">
        <v>0.001053</v>
      </c>
      <c r="Q3240" t="n">
        <v>-60</v>
      </c>
      <c r="R3240" t="n">
        <v>0.03284</v>
      </c>
      <c r="S3240">
        <f>IMAGE("https://mitra.stanford.edu/kundaje/oak/projects/neuro-variants/variant_position/credible/roussos_2024/variant_figures/roussos_2024.childhood.GABA/rs192070971_count_position.png",4,220,900)</f>
        <v/>
      </c>
      <c r="T3240">
        <f>IMAGE("https://mitra.stanford.edu/kundaje/oak/projects/neuro-variants/variant_position/credible/roussos_2024/variant_figures/roussos_2024.childhood.GABA/rs192070971_profile_position.png",4,220,900)</f>
        <v/>
      </c>
    </row>
    <row r="3241">
      <c r="A3241" t="inlineStr">
        <is>
          <t>chr5</t>
        </is>
      </c>
      <c r="B3241" t="n">
        <v>61261478</v>
      </c>
      <c r="C3241" t="inlineStr">
        <is>
          <t>T</t>
        </is>
      </c>
      <c r="D3241" t="inlineStr">
        <is>
          <t>G</t>
        </is>
      </c>
      <c r="E3241" t="inlineStr">
        <is>
          <t>rs10939891</t>
        </is>
      </c>
      <c r="F3241" t="n">
        <v>0.00761750556</v>
      </c>
      <c r="G3241" t="n">
        <v>0.6931706252839938</v>
      </c>
      <c r="H3241" t="n">
        <v>0.033021000698173</v>
      </c>
      <c r="I3241" t="n">
        <v>0.008694278538645701</v>
      </c>
      <c r="J3241" t="n">
        <v>0.0798925676949173</v>
      </c>
      <c r="K3241" t="n">
        <v>0.4185658018094892</v>
      </c>
      <c r="L3241" t="b">
        <v>1</v>
      </c>
      <c r="M3241" t="b">
        <v>1</v>
      </c>
      <c r="N3241" t="inlineStr">
        <is>
          <t>alt</t>
        </is>
      </c>
      <c r="O3241" t="n">
        <v>-100</v>
      </c>
      <c r="P3241" t="n">
        <v>0.004807</v>
      </c>
      <c r="Q3241" t="n">
        <v>-100</v>
      </c>
      <c r="R3241" t="n">
        <v>0.1106</v>
      </c>
      <c r="S3241">
        <f>IMAGE("https://mitra.stanford.edu/kundaje/oak/projects/neuro-variants/variant_position/credible/roussos_2024/variant_figures/roussos_2024.childhood.GABA/rs10939891_count_position.png",4,220,900)</f>
        <v/>
      </c>
      <c r="T3241">
        <f>IMAGE("https://mitra.stanford.edu/kundaje/oak/projects/neuro-variants/variant_position/credible/roussos_2024/variant_figures/roussos_2024.childhood.GABA/rs10939891_profile_position.png",4,220,900)</f>
        <v/>
      </c>
    </row>
    <row r="3242">
      <c r="A3242" t="inlineStr">
        <is>
          <t>chr5</t>
        </is>
      </c>
      <c r="B3242" t="n">
        <v>61263059</v>
      </c>
      <c r="C3242" t="inlineStr">
        <is>
          <t>G</t>
        </is>
      </c>
      <c r="D3242" t="inlineStr">
        <is>
          <t>A</t>
        </is>
      </c>
      <c r="E3242" t="inlineStr">
        <is>
          <t>rs11949390</t>
        </is>
      </c>
      <c r="F3242" t="n">
        <v>-0.1071130219999999</v>
      </c>
      <c r="G3242" t="n">
        <v>0.0248773236152194</v>
      </c>
      <c r="H3242" t="n">
        <v>0.0199596001507437</v>
      </c>
      <c r="I3242" t="n">
        <v>0.0790273497128053</v>
      </c>
      <c r="J3242" t="n">
        <v>0.3415917991246257</v>
      </c>
      <c r="K3242" t="n">
        <v>0.1134807361275199</v>
      </c>
      <c r="L3242" t="b">
        <v>0</v>
      </c>
      <c r="M3242" t="b">
        <v>0</v>
      </c>
      <c r="N3242" t="inlineStr">
        <is>
          <t>ref</t>
        </is>
      </c>
      <c r="O3242" t="n">
        <v>95</v>
      </c>
      <c r="P3242" t="n">
        <v>0.0032</v>
      </c>
      <c r="Q3242" t="n">
        <v>-100</v>
      </c>
      <c r="R3242" t="n">
        <v>0.0835</v>
      </c>
      <c r="S3242">
        <f>IMAGE("https://mitra.stanford.edu/kundaje/oak/projects/neuro-variants/variant_position/credible/roussos_2024/variant_figures/roussos_2024.childhood.GABA/rs11949390_count_position.png",4,220,900)</f>
        <v/>
      </c>
      <c r="T3242">
        <f>IMAGE("https://mitra.stanford.edu/kundaje/oak/projects/neuro-variants/variant_position/credible/roussos_2024/variant_figures/roussos_2024.childhood.GABA/rs11949390_profile_position.png",4,220,900)</f>
        <v/>
      </c>
    </row>
    <row r="3243">
      <c r="A3243" t="inlineStr">
        <is>
          <t>chr5</t>
        </is>
      </c>
      <c r="B3243" t="n">
        <v>61271790</v>
      </c>
      <c r="C3243" t="inlineStr">
        <is>
          <t>A</t>
        </is>
      </c>
      <c r="D3243" t="inlineStr">
        <is>
          <t>G</t>
        </is>
      </c>
      <c r="E3243" t="inlineStr">
        <is>
          <t>rs10939894</t>
        </is>
      </c>
      <c r="F3243" t="n">
        <v>0.012422782612</v>
      </c>
      <c r="G3243" t="n">
        <v>0.5420164732964217</v>
      </c>
      <c r="H3243" t="n">
        <v>0.0066583025751933</v>
      </c>
      <c r="I3243" t="n">
        <v>0.9574165924133298</v>
      </c>
      <c r="J3243" t="n">
        <v>0.0269418441498607</v>
      </c>
      <c r="K3243" t="n">
        <v>0.5977591321149012</v>
      </c>
      <c r="L3243" t="b">
        <v>0</v>
      </c>
      <c r="M3243" t="b">
        <v>0</v>
      </c>
      <c r="N3243" t="inlineStr">
        <is>
          <t>alt</t>
        </is>
      </c>
      <c r="O3243" t="n">
        <v>95</v>
      </c>
      <c r="P3243" t="n">
        <v>0.02855</v>
      </c>
      <c r="Q3243" t="n">
        <v>90</v>
      </c>
      <c r="R3243" t="n">
        <v>0.02328</v>
      </c>
      <c r="S3243">
        <f>IMAGE("https://mitra.stanford.edu/kundaje/oak/projects/neuro-variants/variant_position/credible/roussos_2024/variant_figures/roussos_2024.childhood.GABA/rs10939894_count_position.png",4,220,900)</f>
        <v/>
      </c>
      <c r="T3243">
        <f>IMAGE("https://mitra.stanford.edu/kundaje/oak/projects/neuro-variants/variant_position/credible/roussos_2024/variant_figures/roussos_2024.childhood.GABA/rs10939894_profile_position.png",4,220,900)</f>
        <v/>
      </c>
    </row>
    <row r="3244">
      <c r="A3244" t="inlineStr">
        <is>
          <t>chr5</t>
        </is>
      </c>
      <c r="B3244" t="n">
        <v>61278550</v>
      </c>
      <c r="C3244" t="inlineStr">
        <is>
          <t>C</t>
        </is>
      </c>
      <c r="D3244" t="inlineStr">
        <is>
          <t>T</t>
        </is>
      </c>
      <c r="E3244" t="inlineStr">
        <is>
          <t>rs13179814</t>
        </is>
      </c>
      <c r="F3244" t="n">
        <v>-0.05779637634</v>
      </c>
      <c r="G3244" t="n">
        <v>0.1303732702125767</v>
      </c>
      <c r="H3244" t="n">
        <v>0.0253806088873837</v>
      </c>
      <c r="I3244" t="n">
        <v>0.0345779759711794</v>
      </c>
      <c r="J3244" t="n">
        <v>0.0550532973131452</v>
      </c>
      <c r="K3244" t="n">
        <v>0.4878394196233673</v>
      </c>
      <c r="L3244" t="b">
        <v>0</v>
      </c>
      <c r="M3244" t="b">
        <v>0</v>
      </c>
      <c r="N3244" t="inlineStr">
        <is>
          <t>ref</t>
        </is>
      </c>
      <c r="O3244" t="n">
        <v>85</v>
      </c>
      <c r="P3244" t="n">
        <v>0.002853</v>
      </c>
      <c r="Q3244" t="n">
        <v>-95</v>
      </c>
      <c r="R3244" t="n">
        <v>0.12274</v>
      </c>
      <c r="S3244">
        <f>IMAGE("https://mitra.stanford.edu/kundaje/oak/projects/neuro-variants/variant_position/credible/roussos_2024/variant_figures/roussos_2024.childhood.GABA/rs13179814_count_position.png",4,220,900)</f>
        <v/>
      </c>
      <c r="T3244">
        <f>IMAGE("https://mitra.stanford.edu/kundaje/oak/projects/neuro-variants/variant_position/credible/roussos_2024/variant_figures/roussos_2024.childhood.GABA/rs13179814_profile_position.png",4,220,900)</f>
        <v/>
      </c>
    </row>
    <row r="3245">
      <c r="A3245" t="inlineStr">
        <is>
          <t>chr5</t>
        </is>
      </c>
      <c r="B3245" t="n">
        <v>61278792</v>
      </c>
      <c r="C3245" t="inlineStr">
        <is>
          <t>G</t>
        </is>
      </c>
      <c r="D3245" t="inlineStr">
        <is>
          <t>A</t>
        </is>
      </c>
      <c r="E3245" t="inlineStr">
        <is>
          <t>rs62366231</t>
        </is>
      </c>
      <c r="F3245" t="n">
        <v>0.03285556344</v>
      </c>
      <c r="G3245" t="n">
        <v>0.2750488390265011</v>
      </c>
      <c r="H3245" t="n">
        <v>0.0139852865176905</v>
      </c>
      <c r="I3245" t="n">
        <v>0.2873553054564706</v>
      </c>
      <c r="J3245" t="n">
        <v>0.0312307595652446</v>
      </c>
      <c r="K3245" t="n">
        <v>0.5875188710000396</v>
      </c>
      <c r="L3245" t="b">
        <v>0</v>
      </c>
      <c r="M3245" t="b">
        <v>0</v>
      </c>
      <c r="N3245" t="inlineStr">
        <is>
          <t>alt</t>
        </is>
      </c>
      <c r="O3245" t="n">
        <v>-35</v>
      </c>
      <c r="P3245" t="n">
        <v>0.02336</v>
      </c>
      <c r="Q3245" t="n">
        <v>10</v>
      </c>
      <c r="R3245" t="n">
        <v>0.01898</v>
      </c>
      <c r="S3245">
        <f>IMAGE("https://mitra.stanford.edu/kundaje/oak/projects/neuro-variants/variant_position/credible/roussos_2024/variant_figures/roussos_2024.childhood.GABA/rs62366231_count_position.png",4,220,900)</f>
        <v/>
      </c>
      <c r="T3245">
        <f>IMAGE("https://mitra.stanford.edu/kundaje/oak/projects/neuro-variants/variant_position/credible/roussos_2024/variant_figures/roussos_2024.childhood.GABA/rs62366231_profile_position.png",4,220,900)</f>
        <v/>
      </c>
    </row>
    <row r="3246">
      <c r="A3246" t="inlineStr">
        <is>
          <t>chr5</t>
        </is>
      </c>
      <c r="B3246" t="n">
        <v>61346768</v>
      </c>
      <c r="C3246" t="inlineStr">
        <is>
          <t>C</t>
        </is>
      </c>
      <c r="D3246" t="inlineStr">
        <is>
          <t>T</t>
        </is>
      </c>
      <c r="E3246" t="inlineStr">
        <is>
          <t>rs4604142</t>
        </is>
      </c>
      <c r="F3246" t="n">
        <v>-0.0287542012</v>
      </c>
      <c r="G3246" t="n">
        <v>0.3176734778475411</v>
      </c>
      <c r="H3246" t="n">
        <v>0.0105245881431831</v>
      </c>
      <c r="I3246" t="n">
        <v>0.5783656484538355</v>
      </c>
      <c r="J3246" t="n">
        <v>0.1169001696299553</v>
      </c>
      <c r="K3246" t="n">
        <v>0.3161582337686684</v>
      </c>
      <c r="L3246" t="b">
        <v>0</v>
      </c>
      <c r="M3246" t="b">
        <v>0</v>
      </c>
      <c r="N3246" t="inlineStr">
        <is>
          <t>ref</t>
        </is>
      </c>
      <c r="O3246" t="n">
        <v>100</v>
      </c>
      <c r="P3246" t="n">
        <v>0.05182</v>
      </c>
      <c r="Q3246" t="n">
        <v>20</v>
      </c>
      <c r="R3246" t="n">
        <v>0.01196</v>
      </c>
      <c r="S3246">
        <f>IMAGE("https://mitra.stanford.edu/kundaje/oak/projects/neuro-variants/variant_position/credible/roussos_2024/variant_figures/roussos_2024.childhood.GABA/rs4604142_count_position.png",4,220,900)</f>
        <v/>
      </c>
      <c r="T3246">
        <f>IMAGE("https://mitra.stanford.edu/kundaje/oak/projects/neuro-variants/variant_position/credible/roussos_2024/variant_figures/roussos_2024.childhood.GABA/rs4604142_profile_position.png",4,220,900)</f>
        <v/>
      </c>
    </row>
    <row r="3247">
      <c r="A3247" t="inlineStr">
        <is>
          <t>chr5</t>
        </is>
      </c>
      <c r="B3247" t="n">
        <v>61432163</v>
      </c>
      <c r="C3247" t="inlineStr">
        <is>
          <t>T</t>
        </is>
      </c>
      <c r="D3247" t="inlineStr">
        <is>
          <t>C</t>
        </is>
      </c>
      <c r="E3247" t="inlineStr">
        <is>
          <t>rs10939902</t>
        </is>
      </c>
      <c r="F3247" t="n">
        <v>0.0357261684</v>
      </c>
      <c r="G3247" t="n">
        <v>0.2380672689232633</v>
      </c>
      <c r="H3247" t="n">
        <v>0.0109446281841226</v>
      </c>
      <c r="I3247" t="n">
        <v>0.5389274950990188</v>
      </c>
      <c r="J3247" t="n">
        <v>0.1270119997486963</v>
      </c>
      <c r="K3247" t="n">
        <v>0.3015828939539779</v>
      </c>
      <c r="L3247" t="b">
        <v>0</v>
      </c>
      <c r="M3247" t="b">
        <v>0</v>
      </c>
      <c r="N3247" t="inlineStr">
        <is>
          <t>alt</t>
        </is>
      </c>
      <c r="O3247" t="n">
        <v>-5</v>
      </c>
      <c r="P3247" t="n">
        <v>0.001114</v>
      </c>
      <c r="Q3247" t="n">
        <v>55</v>
      </c>
      <c r="R3247" t="n">
        <v>0.137</v>
      </c>
      <c r="S3247">
        <f>IMAGE("https://mitra.stanford.edu/kundaje/oak/projects/neuro-variants/variant_position/credible/roussos_2024/variant_figures/roussos_2024.childhood.GABA/rs10939902_count_position.png",4,220,900)</f>
        <v/>
      </c>
      <c r="T3247">
        <f>IMAGE("https://mitra.stanford.edu/kundaje/oak/projects/neuro-variants/variant_position/credible/roussos_2024/variant_figures/roussos_2024.childhood.GABA/rs10939902_profile_position.png",4,220,900)</f>
        <v/>
      </c>
    </row>
    <row r="3248">
      <c r="A3248" t="inlineStr">
        <is>
          <t>chr5</t>
        </is>
      </c>
      <c r="B3248" t="n">
        <v>61522089</v>
      </c>
      <c r="C3248" t="inlineStr">
        <is>
          <t>G</t>
        </is>
      </c>
      <c r="D3248" t="inlineStr">
        <is>
          <t>T</t>
        </is>
      </c>
      <c r="E3248" t="inlineStr">
        <is>
          <t>rs34270022</t>
        </is>
      </c>
      <c r="F3248" t="n">
        <v>0.01337279214</v>
      </c>
      <c r="G3248" t="n">
        <v>0.5328903417716844</v>
      </c>
      <c r="H3248" t="n">
        <v>0.0390055425329698</v>
      </c>
      <c r="I3248" t="n">
        <v>0.0041665358242823</v>
      </c>
      <c r="J3248" t="n">
        <v>0.0016292852505706</v>
      </c>
      <c r="K3248" t="n">
        <v>0.895321560906632</v>
      </c>
      <c r="L3248" t="b">
        <v>0</v>
      </c>
      <c r="M3248" t="b">
        <v>0</v>
      </c>
      <c r="N3248" t="inlineStr">
        <is>
          <t>alt</t>
        </is>
      </c>
      <c r="O3248" t="n">
        <v>100</v>
      </c>
      <c r="P3248" t="n">
        <v>0.02484</v>
      </c>
      <c r="Q3248" t="n">
        <v>100</v>
      </c>
      <c r="R3248" t="n">
        <v>0.08246000000000001</v>
      </c>
      <c r="S3248">
        <f>IMAGE("https://mitra.stanford.edu/kundaje/oak/projects/neuro-variants/variant_position/credible/roussos_2024/variant_figures/roussos_2024.childhood.GABA/rs34270022_count_position.png",4,220,900)</f>
        <v/>
      </c>
      <c r="T3248">
        <f>IMAGE("https://mitra.stanford.edu/kundaje/oak/projects/neuro-variants/variant_position/credible/roussos_2024/variant_figures/roussos_2024.childhood.GABA/rs34270022_profile_position.png",4,220,900)</f>
        <v/>
      </c>
    </row>
    <row r="3249">
      <c r="A3249" t="inlineStr">
        <is>
          <t>chr5</t>
        </is>
      </c>
      <c r="B3249" t="n">
        <v>64173712</v>
      </c>
      <c r="C3249" t="inlineStr">
        <is>
          <t>A</t>
        </is>
      </c>
      <c r="D3249" t="inlineStr">
        <is>
          <t>G</t>
        </is>
      </c>
      <c r="E3249" t="inlineStr">
        <is>
          <t>rs3104058</t>
        </is>
      </c>
      <c r="F3249" t="n">
        <v>0.06099844</v>
      </c>
      <c r="G3249" t="n">
        <v>0.0920871932304622</v>
      </c>
      <c r="H3249" t="n">
        <v>0.0155868118038357</v>
      </c>
      <c r="I3249" t="n">
        <v>0.1986190743606437</v>
      </c>
      <c r="J3249" t="n">
        <v>0.0016544156143326</v>
      </c>
      <c r="K3249" t="n">
        <v>0.8927087281765717</v>
      </c>
      <c r="L3249" t="b">
        <v>0</v>
      </c>
      <c r="M3249" t="b">
        <v>0</v>
      </c>
      <c r="N3249" t="inlineStr">
        <is>
          <t>alt</t>
        </is>
      </c>
      <c r="O3249" t="n">
        <v>95</v>
      </c>
      <c r="P3249" t="n">
        <v>0.00438</v>
      </c>
      <c r="Q3249" t="n">
        <v>-35</v>
      </c>
      <c r="R3249" t="n">
        <v>0.01544</v>
      </c>
      <c r="S3249">
        <f>IMAGE("https://mitra.stanford.edu/kundaje/oak/projects/neuro-variants/variant_position/credible/roussos_2024/variant_figures/roussos_2024.childhood.GABA/rs3104058_count_position.png",4,220,900)</f>
        <v/>
      </c>
      <c r="T3249">
        <f>IMAGE("https://mitra.stanford.edu/kundaje/oak/projects/neuro-variants/variant_position/credible/roussos_2024/variant_figures/roussos_2024.childhood.GABA/rs3104058_profile_position.png",4,220,900)</f>
        <v/>
      </c>
    </row>
    <row r="3250">
      <c r="A3250" t="inlineStr">
        <is>
          <t>chr5</t>
        </is>
      </c>
      <c r="B3250" t="n">
        <v>64175997</v>
      </c>
      <c r="C3250" t="inlineStr">
        <is>
          <t>T</t>
        </is>
      </c>
      <c r="D3250" t="inlineStr">
        <is>
          <t>G</t>
        </is>
      </c>
      <c r="E3250" t="inlineStr">
        <is>
          <t>rs1603090</t>
        </is>
      </c>
      <c r="F3250" t="n">
        <v>-0.013632035</v>
      </c>
      <c r="G3250" t="n">
        <v>0.5514692238032632</v>
      </c>
      <c r="H3250" t="n">
        <v>0.0251002525164133</v>
      </c>
      <c r="I3250" t="n">
        <v>0.028277512171591</v>
      </c>
      <c r="J3250" t="n">
        <v>0.0034543779187869</v>
      </c>
      <c r="K3250" t="n">
        <v>0.8509823680572195</v>
      </c>
      <c r="L3250" t="b">
        <v>0</v>
      </c>
      <c r="M3250" t="b">
        <v>0</v>
      </c>
      <c r="N3250" t="inlineStr">
        <is>
          <t>ref</t>
        </is>
      </c>
      <c r="O3250" t="n">
        <v>-100</v>
      </c>
      <c r="P3250" t="n">
        <v>0.0194</v>
      </c>
      <c r="Q3250" t="n">
        <v>-45</v>
      </c>
      <c r="R3250" t="n">
        <v>0.0365</v>
      </c>
      <c r="S3250">
        <f>IMAGE("https://mitra.stanford.edu/kundaje/oak/projects/neuro-variants/variant_position/credible/roussos_2024/variant_figures/roussos_2024.childhood.GABA/rs1603090_count_position.png",4,220,900)</f>
        <v/>
      </c>
      <c r="T3250">
        <f>IMAGE("https://mitra.stanford.edu/kundaje/oak/projects/neuro-variants/variant_position/credible/roussos_2024/variant_figures/roussos_2024.childhood.GABA/rs1603090_profile_position.png",4,220,900)</f>
        <v/>
      </c>
    </row>
    <row r="3251">
      <c r="A3251" t="inlineStr">
        <is>
          <t>chr5</t>
        </is>
      </c>
      <c r="B3251" t="n">
        <v>64217272</v>
      </c>
      <c r="C3251" t="inlineStr">
        <is>
          <t>A</t>
        </is>
      </c>
      <c r="D3251" t="inlineStr">
        <is>
          <t>G</t>
        </is>
      </c>
      <c r="E3251" t="inlineStr">
        <is>
          <t>rs2963002</t>
        </is>
      </c>
      <c r="F3251" t="n">
        <v>0.007973235079999899</v>
      </c>
      <c r="G3251" t="n">
        <v>0.4916748059678279</v>
      </c>
      <c r="H3251" t="n">
        <v>0.0113918741055742</v>
      </c>
      <c r="I3251" t="n">
        <v>0.4983848974914172</v>
      </c>
      <c r="J3251" t="n">
        <v>0.0357824967016397</v>
      </c>
      <c r="K3251" t="n">
        <v>0.5483025645912583</v>
      </c>
      <c r="L3251" t="b">
        <v>0</v>
      </c>
      <c r="M3251" t="b">
        <v>0</v>
      </c>
      <c r="N3251" t="inlineStr">
        <is>
          <t>alt</t>
        </is>
      </c>
      <c r="O3251" t="n">
        <v>90</v>
      </c>
      <c r="P3251" t="n">
        <v>0.01657</v>
      </c>
      <c r="Q3251" t="n">
        <v>90</v>
      </c>
      <c r="R3251" t="n">
        <v>0.09326</v>
      </c>
      <c r="S3251">
        <f>IMAGE("https://mitra.stanford.edu/kundaje/oak/projects/neuro-variants/variant_position/credible/roussos_2024/variant_figures/roussos_2024.childhood.GABA/rs2963002_count_position.png",4,220,900)</f>
        <v/>
      </c>
      <c r="T3251">
        <f>IMAGE("https://mitra.stanford.edu/kundaje/oak/projects/neuro-variants/variant_position/credible/roussos_2024/variant_figures/roussos_2024.childhood.GABA/rs2963002_profile_position.png",4,220,900)</f>
        <v/>
      </c>
    </row>
    <row r="3252">
      <c r="A3252" t="inlineStr">
        <is>
          <t>chr5</t>
        </is>
      </c>
      <c r="B3252" t="n">
        <v>64223835</v>
      </c>
      <c r="C3252" t="inlineStr">
        <is>
          <t>A</t>
        </is>
      </c>
      <c r="D3252" t="inlineStr">
        <is>
          <t>G</t>
        </is>
      </c>
      <c r="E3252" t="inlineStr">
        <is>
          <t>rs11743978</t>
        </is>
      </c>
      <c r="F3252" t="n">
        <v>0.1016521357999999</v>
      </c>
      <c r="G3252" t="n">
        <v>0.0279739803982901</v>
      </c>
      <c r="H3252" t="n">
        <v>0.013103993534039</v>
      </c>
      <c r="I3252" t="n">
        <v>0.3441867552521816</v>
      </c>
      <c r="J3252" t="n">
        <v>0.059365248895311</v>
      </c>
      <c r="K3252" t="n">
        <v>0.4798741636341598</v>
      </c>
      <c r="L3252" t="b">
        <v>0</v>
      </c>
      <c r="M3252" t="b">
        <v>0</v>
      </c>
      <c r="N3252" t="inlineStr">
        <is>
          <t>alt</t>
        </is>
      </c>
      <c r="O3252" t="n">
        <v>-55</v>
      </c>
      <c r="P3252" t="n">
        <v>0.00957</v>
      </c>
      <c r="Q3252" t="n">
        <v>75</v>
      </c>
      <c r="R3252" t="n">
        <v>0.0852</v>
      </c>
      <c r="S3252">
        <f>IMAGE("https://mitra.stanford.edu/kundaje/oak/projects/neuro-variants/variant_position/credible/roussos_2024/variant_figures/roussos_2024.childhood.GABA/rs11743978_count_position.png",4,220,900)</f>
        <v/>
      </c>
      <c r="T3252">
        <f>IMAGE("https://mitra.stanford.edu/kundaje/oak/projects/neuro-variants/variant_position/credible/roussos_2024/variant_figures/roussos_2024.childhood.GABA/rs11743978_profile_position.png",4,220,900)</f>
        <v/>
      </c>
    </row>
    <row r="3253">
      <c r="A3253" t="inlineStr">
        <is>
          <t>chr5</t>
        </is>
      </c>
      <c r="B3253" t="n">
        <v>64326354</v>
      </c>
      <c r="C3253" t="inlineStr">
        <is>
          <t>T</t>
        </is>
      </c>
      <c r="D3253" t="inlineStr">
        <is>
          <t>C</t>
        </is>
      </c>
      <c r="E3253" t="inlineStr">
        <is>
          <t>rs6449715</t>
        </is>
      </c>
      <c r="F3253" t="n">
        <v>-0.00141690658</v>
      </c>
      <c r="G3253" t="n">
        <v>0.7916596153013811</v>
      </c>
      <c r="H3253" t="n">
        <v>0.023361071642532</v>
      </c>
      <c r="I3253" t="n">
        <v>0.0383487666275379</v>
      </c>
      <c r="J3253" t="n">
        <v>0.0024868589139493</v>
      </c>
      <c r="K3253" t="n">
        <v>0.8737151072543361</v>
      </c>
      <c r="L3253" t="b">
        <v>0</v>
      </c>
      <c r="M3253" t="b">
        <v>0</v>
      </c>
      <c r="N3253" t="inlineStr">
        <is>
          <t>ref</t>
        </is>
      </c>
      <c r="O3253" t="n">
        <v>30</v>
      </c>
      <c r="P3253" t="n">
        <v>0.002045</v>
      </c>
      <c r="Q3253" t="n">
        <v>65</v>
      </c>
      <c r="R3253" t="n">
        <v>0.10284</v>
      </c>
      <c r="S3253">
        <f>IMAGE("https://mitra.stanford.edu/kundaje/oak/projects/neuro-variants/variant_position/credible/roussos_2024/variant_figures/roussos_2024.childhood.GABA/rs6449715_count_position.png",4,220,900)</f>
        <v/>
      </c>
      <c r="T3253">
        <f>IMAGE("https://mitra.stanford.edu/kundaje/oak/projects/neuro-variants/variant_position/credible/roussos_2024/variant_figures/roussos_2024.childhood.GABA/rs6449715_profile_position.png",4,220,900)</f>
        <v/>
      </c>
    </row>
    <row r="3254">
      <c r="A3254" t="inlineStr">
        <is>
          <t>chr5</t>
        </is>
      </c>
      <c r="B3254" t="n">
        <v>64361018</v>
      </c>
      <c r="C3254" t="inlineStr">
        <is>
          <t>G</t>
        </is>
      </c>
      <c r="D3254" t="inlineStr">
        <is>
          <t>A</t>
        </is>
      </c>
      <c r="E3254" t="inlineStr">
        <is>
          <t>rs1526875</t>
        </is>
      </c>
      <c r="F3254" t="n">
        <v>0.0247882236</v>
      </c>
      <c r="G3254" t="n">
        <v>0.2633814878191997</v>
      </c>
      <c r="H3254" t="n">
        <v>0.0111447528225206</v>
      </c>
      <c r="I3254" t="n">
        <v>0.5248090045797418</v>
      </c>
      <c r="J3254" t="n">
        <v>0.0222309480429728</v>
      </c>
      <c r="K3254" t="n">
        <v>0.6384689203410198</v>
      </c>
      <c r="L3254" t="b">
        <v>0</v>
      </c>
      <c r="M3254" t="b">
        <v>0</v>
      </c>
      <c r="N3254" t="inlineStr">
        <is>
          <t>alt</t>
        </is>
      </c>
      <c r="O3254" t="n">
        <v>100</v>
      </c>
      <c r="P3254" t="n">
        <v>0.002136</v>
      </c>
      <c r="Q3254" t="n">
        <v>-95</v>
      </c>
      <c r="R3254" t="n">
        <v>0.06604</v>
      </c>
      <c r="S3254">
        <f>IMAGE("https://mitra.stanford.edu/kundaje/oak/projects/neuro-variants/variant_position/credible/roussos_2024/variant_figures/roussos_2024.childhood.GABA/rs1526875_count_position.png",4,220,900)</f>
        <v/>
      </c>
      <c r="T3254">
        <f>IMAGE("https://mitra.stanford.edu/kundaje/oak/projects/neuro-variants/variant_position/credible/roussos_2024/variant_figures/roussos_2024.childhood.GABA/rs1526875_profile_position.png",4,220,900)</f>
        <v/>
      </c>
    </row>
    <row r="3255">
      <c r="A3255" t="inlineStr">
        <is>
          <t>chr5</t>
        </is>
      </c>
      <c r="B3255" t="n">
        <v>64363665</v>
      </c>
      <c r="C3255" t="inlineStr">
        <is>
          <t>C</t>
        </is>
      </c>
      <c r="D3255" t="inlineStr">
        <is>
          <t>A</t>
        </is>
      </c>
      <c r="E3255" t="inlineStr">
        <is>
          <t>rs7732201</t>
        </is>
      </c>
      <c r="F3255" t="n">
        <v>0.0420171088</v>
      </c>
      <c r="G3255" t="n">
        <v>0.1885433601832014</v>
      </c>
      <c r="H3255" t="n">
        <v>0.0298854736280244</v>
      </c>
      <c r="I3255" t="n">
        <v>0.0128407007950935</v>
      </c>
      <c r="J3255" t="n">
        <v>0.0877300998931959</v>
      </c>
      <c r="K3255" t="n">
        <v>0.3791491300213904</v>
      </c>
      <c r="L3255" t="b">
        <v>1</v>
      </c>
      <c r="M3255" t="b">
        <v>0</v>
      </c>
      <c r="N3255" t="inlineStr">
        <is>
          <t>alt</t>
        </is>
      </c>
      <c r="O3255" t="n">
        <v>-95</v>
      </c>
      <c r="P3255" t="n">
        <v>0.004177</v>
      </c>
      <c r="Q3255" t="n">
        <v>-100</v>
      </c>
      <c r="R3255" t="n">
        <v>0.3289</v>
      </c>
      <c r="S3255">
        <f>IMAGE("https://mitra.stanford.edu/kundaje/oak/projects/neuro-variants/variant_position/credible/roussos_2024/variant_figures/roussos_2024.childhood.GABA/rs7732201_count_position.png",4,220,900)</f>
        <v/>
      </c>
      <c r="T3255">
        <f>IMAGE("https://mitra.stanford.edu/kundaje/oak/projects/neuro-variants/variant_position/credible/roussos_2024/variant_figures/roussos_2024.childhood.GABA/rs7732201_profile_position.png",4,220,900)</f>
        <v/>
      </c>
    </row>
    <row r="3256">
      <c r="A3256" t="inlineStr">
        <is>
          <t>chr5</t>
        </is>
      </c>
      <c r="B3256" t="n">
        <v>64367503</v>
      </c>
      <c r="C3256" t="inlineStr">
        <is>
          <t>G</t>
        </is>
      </c>
      <c r="D3256" t="inlineStr">
        <is>
          <t>T</t>
        </is>
      </c>
      <c r="E3256" t="inlineStr">
        <is>
          <t>rs10056417</t>
        </is>
      </c>
      <c r="F3256" t="n">
        <v>-0.0106431032</v>
      </c>
      <c r="G3256" t="n">
        <v>0.6214168013404326</v>
      </c>
      <c r="H3256" t="n">
        <v>0.019784657868885</v>
      </c>
      <c r="I3256" t="n">
        <v>0.077740539330832</v>
      </c>
      <c r="J3256" t="n">
        <v>0.0002240790768779</v>
      </c>
      <c r="K3256" t="n">
        <v>0.9611339341090318</v>
      </c>
      <c r="L3256" t="b">
        <v>0</v>
      </c>
      <c r="M3256" t="b">
        <v>0</v>
      </c>
      <c r="N3256" t="inlineStr">
        <is>
          <t>ref</t>
        </is>
      </c>
      <c r="O3256" t="n">
        <v>20</v>
      </c>
      <c r="P3256" t="n">
        <v>0.001884</v>
      </c>
      <c r="Q3256" t="n">
        <v>100</v>
      </c>
      <c r="R3256" t="n">
        <v>0.03186</v>
      </c>
      <c r="S3256">
        <f>IMAGE("https://mitra.stanford.edu/kundaje/oak/projects/neuro-variants/variant_position/credible/roussos_2024/variant_figures/roussos_2024.childhood.GABA/rs10056417_count_position.png",4,220,900)</f>
        <v/>
      </c>
      <c r="T3256">
        <f>IMAGE("https://mitra.stanford.edu/kundaje/oak/projects/neuro-variants/variant_position/credible/roussos_2024/variant_figures/roussos_2024.childhood.GABA/rs10056417_profile_position.png",4,220,900)</f>
        <v/>
      </c>
    </row>
    <row r="3257">
      <c r="A3257" t="inlineStr">
        <is>
          <t>chr5</t>
        </is>
      </c>
      <c r="B3257" t="n">
        <v>64369508</v>
      </c>
      <c r="C3257" t="inlineStr">
        <is>
          <t>G</t>
        </is>
      </c>
      <c r="D3257" t="inlineStr">
        <is>
          <t>A</t>
        </is>
      </c>
      <c r="E3257" t="inlineStr">
        <is>
          <t>rs28615727</t>
        </is>
      </c>
      <c r="F3257" t="n">
        <v>-0.086416154</v>
      </c>
      <c r="G3257" t="n">
        <v>0.0420235183989081</v>
      </c>
      <c r="H3257" t="n">
        <v>0.0169594992649087</v>
      </c>
      <c r="I3257" t="n">
        <v>0.1450660587113713</v>
      </c>
      <c r="J3257" t="n">
        <v>0.0082574186928022</v>
      </c>
      <c r="K3257" t="n">
        <v>0.7645703483926392</v>
      </c>
      <c r="L3257" t="b">
        <v>0</v>
      </c>
      <c r="M3257" t="b">
        <v>0</v>
      </c>
      <c r="N3257" t="inlineStr">
        <is>
          <t>ref</t>
        </is>
      </c>
      <c r="O3257" t="n">
        <v>70</v>
      </c>
      <c r="P3257" t="n">
        <v>0.0038</v>
      </c>
      <c r="Q3257" t="n">
        <v>35</v>
      </c>
      <c r="R3257" t="n">
        <v>0.05164</v>
      </c>
      <c r="S3257">
        <f>IMAGE("https://mitra.stanford.edu/kundaje/oak/projects/neuro-variants/variant_position/credible/roussos_2024/variant_figures/roussos_2024.childhood.GABA/rs28615727_count_position.png",4,220,900)</f>
        <v/>
      </c>
      <c r="T3257">
        <f>IMAGE("https://mitra.stanford.edu/kundaje/oak/projects/neuro-variants/variant_position/credible/roussos_2024/variant_figures/roussos_2024.childhood.GABA/rs28615727_profile_position.png",4,220,900)</f>
        <v/>
      </c>
    </row>
    <row r="3258">
      <c r="A3258" t="inlineStr">
        <is>
          <t>chr5</t>
        </is>
      </c>
      <c r="B3258" t="n">
        <v>64411896</v>
      </c>
      <c r="C3258" t="inlineStr">
        <is>
          <t>G</t>
        </is>
      </c>
      <c r="D3258" t="inlineStr">
        <is>
          <t>A</t>
        </is>
      </c>
      <c r="E3258" t="inlineStr">
        <is>
          <t>rs6449731</t>
        </is>
      </c>
      <c r="F3258" t="n">
        <v>-0.0507738066</v>
      </c>
      <c r="G3258" t="n">
        <v>0.1383035643651333</v>
      </c>
      <c r="H3258" t="n">
        <v>0.0107674100889844</v>
      </c>
      <c r="I3258" t="n">
        <v>0.5571504319475625</v>
      </c>
      <c r="J3258" t="n">
        <v>0.019227869573412</v>
      </c>
      <c r="K3258" t="n">
        <v>0.6495122890847606</v>
      </c>
      <c r="L3258" t="b">
        <v>0</v>
      </c>
      <c r="M3258" t="b">
        <v>0</v>
      </c>
      <c r="N3258" t="inlineStr">
        <is>
          <t>ref</t>
        </is>
      </c>
      <c r="O3258" t="n">
        <v>100</v>
      </c>
      <c r="P3258" t="n">
        <v>0.1681</v>
      </c>
      <c r="Q3258" t="n">
        <v>25</v>
      </c>
      <c r="R3258" t="n">
        <v>0.01367</v>
      </c>
      <c r="S3258">
        <f>IMAGE("https://mitra.stanford.edu/kundaje/oak/projects/neuro-variants/variant_position/credible/roussos_2024/variant_figures/roussos_2024.childhood.GABA/rs6449731_count_position.png",4,220,900)</f>
        <v/>
      </c>
      <c r="T3258">
        <f>IMAGE("https://mitra.stanford.edu/kundaje/oak/projects/neuro-variants/variant_position/credible/roussos_2024/variant_figures/roussos_2024.childhood.GABA/rs6449731_profile_position.png",4,220,900)</f>
        <v/>
      </c>
    </row>
    <row r="3259">
      <c r="A3259" t="inlineStr">
        <is>
          <t>chr5</t>
        </is>
      </c>
      <c r="B3259" t="n">
        <v>64414512</v>
      </c>
      <c r="C3259" t="inlineStr">
        <is>
          <t>A</t>
        </is>
      </c>
      <c r="D3259" t="inlineStr">
        <is>
          <t>C</t>
        </is>
      </c>
      <c r="E3259" t="inlineStr">
        <is>
          <t>rs11949865</t>
        </is>
      </c>
      <c r="F3259" t="n">
        <v>0.0275493801999999</v>
      </c>
      <c r="G3259" t="n">
        <v>0.3088567189988602</v>
      </c>
      <c r="H3259" t="n">
        <v>0.0192787867418214</v>
      </c>
      <c r="I3259" t="n">
        <v>0.08714869233417059</v>
      </c>
      <c r="J3259" t="n">
        <v>0.0012188226424577</v>
      </c>
      <c r="K3259" t="n">
        <v>0.924444646878822</v>
      </c>
      <c r="L3259" t="b">
        <v>0</v>
      </c>
      <c r="M3259" t="b">
        <v>0</v>
      </c>
      <c r="N3259" t="inlineStr">
        <is>
          <t>alt</t>
        </is>
      </c>
      <c r="O3259" t="n">
        <v>-65</v>
      </c>
      <c r="P3259" t="n">
        <v>0.007698</v>
      </c>
      <c r="Q3259" t="n">
        <v>55</v>
      </c>
      <c r="R3259" t="n">
        <v>0.02762</v>
      </c>
      <c r="S3259">
        <f>IMAGE("https://mitra.stanford.edu/kundaje/oak/projects/neuro-variants/variant_position/credible/roussos_2024/variant_figures/roussos_2024.childhood.GABA/rs11949865_count_position.png",4,220,900)</f>
        <v/>
      </c>
      <c r="T3259">
        <f>IMAGE("https://mitra.stanford.edu/kundaje/oak/projects/neuro-variants/variant_position/credible/roussos_2024/variant_figures/roussos_2024.childhood.GABA/rs11949865_profile_position.png",4,220,900)</f>
        <v/>
      </c>
    </row>
    <row r="3260">
      <c r="A3260" t="inlineStr">
        <is>
          <t>chr5</t>
        </is>
      </c>
      <c r="B3260" t="n">
        <v>64418618</v>
      </c>
      <c r="C3260" t="inlineStr">
        <is>
          <t>T</t>
        </is>
      </c>
      <c r="D3260" t="inlineStr">
        <is>
          <t>C</t>
        </is>
      </c>
      <c r="E3260" t="inlineStr">
        <is>
          <t>rs4084594</t>
        </is>
      </c>
      <c r="F3260" t="n">
        <v>0.0578484606</v>
      </c>
      <c r="G3260" t="n">
        <v>0.100507902696208</v>
      </c>
      <c r="H3260" t="n">
        <v>0.013550983744689</v>
      </c>
      <c r="I3260" t="n">
        <v>0.3086784996861632</v>
      </c>
      <c r="J3260" t="n">
        <v>0.0436483005591505</v>
      </c>
      <c r="K3260" t="n">
        <v>0.5230731735918146</v>
      </c>
      <c r="L3260" t="b">
        <v>0</v>
      </c>
      <c r="M3260" t="b">
        <v>0</v>
      </c>
      <c r="N3260" t="inlineStr">
        <is>
          <t>alt</t>
        </is>
      </c>
      <c r="O3260" t="n">
        <v>-90</v>
      </c>
      <c r="P3260" t="n">
        <v>0.0407</v>
      </c>
      <c r="Q3260" t="n">
        <v>-75</v>
      </c>
      <c r="R3260" t="n">
        <v>0.0706</v>
      </c>
      <c r="S3260">
        <f>IMAGE("https://mitra.stanford.edu/kundaje/oak/projects/neuro-variants/variant_position/credible/roussos_2024/variant_figures/roussos_2024.childhood.GABA/rs4084594_count_position.png",4,220,900)</f>
        <v/>
      </c>
      <c r="T3260">
        <f>IMAGE("https://mitra.stanford.edu/kundaje/oak/projects/neuro-variants/variant_position/credible/roussos_2024/variant_figures/roussos_2024.childhood.GABA/rs4084594_profile_position.png",4,220,900)</f>
        <v/>
      </c>
    </row>
    <row r="3261">
      <c r="A3261" t="inlineStr">
        <is>
          <t>chr5</t>
        </is>
      </c>
      <c r="B3261" t="n">
        <v>64420602</v>
      </c>
      <c r="C3261" t="inlineStr">
        <is>
          <t>T</t>
        </is>
      </c>
      <c r="D3261" t="inlineStr">
        <is>
          <t>G</t>
        </is>
      </c>
      <c r="E3261" t="inlineStr">
        <is>
          <t>rs7735729</t>
        </is>
      </c>
      <c r="F3261" t="n">
        <v>-0.0112543484</v>
      </c>
      <c r="G3261" t="n">
        <v>0.6215875197161898</v>
      </c>
      <c r="H3261" t="n">
        <v>0.0201194805675587</v>
      </c>
      <c r="I3261" t="n">
        <v>0.07382090147121539</v>
      </c>
      <c r="J3261" t="n">
        <v>0.0012198697409478</v>
      </c>
      <c r="K3261" t="n">
        <v>0.9015012320652492</v>
      </c>
      <c r="L3261" t="b">
        <v>0</v>
      </c>
      <c r="M3261" t="b">
        <v>0</v>
      </c>
      <c r="N3261" t="inlineStr">
        <is>
          <t>ref</t>
        </is>
      </c>
      <c r="O3261" t="n">
        <v>-70</v>
      </c>
      <c r="P3261" t="n">
        <v>0.004635</v>
      </c>
      <c r="Q3261" t="n">
        <v>100</v>
      </c>
      <c r="R3261" t="n">
        <v>0.0368</v>
      </c>
      <c r="S3261">
        <f>IMAGE("https://mitra.stanford.edu/kundaje/oak/projects/neuro-variants/variant_position/credible/roussos_2024/variant_figures/roussos_2024.childhood.GABA/rs7735729_count_position.png",4,220,900)</f>
        <v/>
      </c>
      <c r="T3261">
        <f>IMAGE("https://mitra.stanford.edu/kundaje/oak/projects/neuro-variants/variant_position/credible/roussos_2024/variant_figures/roussos_2024.childhood.GABA/rs7735729_profile_position.png",4,220,900)</f>
        <v/>
      </c>
    </row>
    <row r="3262">
      <c r="A3262" t="inlineStr">
        <is>
          <t>chr5</t>
        </is>
      </c>
      <c r="B3262" t="n">
        <v>64424518</v>
      </c>
      <c r="C3262" t="inlineStr">
        <is>
          <t>A</t>
        </is>
      </c>
      <c r="D3262" t="inlineStr">
        <is>
          <t>C</t>
        </is>
      </c>
      <c r="E3262" t="inlineStr">
        <is>
          <t>rs7736758</t>
        </is>
      </c>
      <c r="F3262" t="n">
        <v>-0.0134187133999999</v>
      </c>
      <c r="G3262" t="n">
        <v>0.5644074782053551</v>
      </c>
      <c r="H3262" t="n">
        <v>0.0259793620708912</v>
      </c>
      <c r="I3262" t="n">
        <v>0.0236466749643841</v>
      </c>
      <c r="J3262" t="n">
        <v>0.0106039664090804</v>
      </c>
      <c r="K3262" t="n">
        <v>0.7400663353245391</v>
      </c>
      <c r="L3262" t="b">
        <v>0</v>
      </c>
      <c r="M3262" t="b">
        <v>0</v>
      </c>
      <c r="N3262" t="inlineStr">
        <is>
          <t>ref</t>
        </is>
      </c>
      <c r="O3262" t="n">
        <v>-100</v>
      </c>
      <c r="P3262" t="n">
        <v>0.02647</v>
      </c>
      <c r="Q3262" t="n">
        <v>-80</v>
      </c>
      <c r="R3262" t="n">
        <v>0.2563</v>
      </c>
      <c r="S3262">
        <f>IMAGE("https://mitra.stanford.edu/kundaje/oak/projects/neuro-variants/variant_position/credible/roussos_2024/variant_figures/roussos_2024.childhood.GABA/rs7736758_count_position.png",4,220,900)</f>
        <v/>
      </c>
      <c r="T3262">
        <f>IMAGE("https://mitra.stanford.edu/kundaje/oak/projects/neuro-variants/variant_position/credible/roussos_2024/variant_figures/roussos_2024.childhood.GABA/rs7736758_profile_position.png",4,220,900)</f>
        <v/>
      </c>
    </row>
    <row r="3263">
      <c r="A3263" t="inlineStr">
        <is>
          <t>chr5</t>
        </is>
      </c>
      <c r="B3263" t="n">
        <v>64438344</v>
      </c>
      <c r="C3263" t="inlineStr">
        <is>
          <t>C</t>
        </is>
      </c>
      <c r="D3263" t="inlineStr">
        <is>
          <t>T</t>
        </is>
      </c>
      <c r="E3263" t="inlineStr">
        <is>
          <t>rs4470714</t>
        </is>
      </c>
      <c r="F3263" t="n">
        <v>0.0567290346</v>
      </c>
      <c r="G3263" t="n">
        <v>0.1182974375407501</v>
      </c>
      <c r="H3263" t="n">
        <v>0.0249948154864022</v>
      </c>
      <c r="I3263" t="n">
        <v>0.0285893156491965</v>
      </c>
      <c r="J3263" t="n">
        <v>0.0470597474398441</v>
      </c>
      <c r="K3263" t="n">
        <v>0.5092742280079469</v>
      </c>
      <c r="L3263" t="b">
        <v>0</v>
      </c>
      <c r="M3263" t="b">
        <v>0</v>
      </c>
      <c r="N3263" t="inlineStr">
        <is>
          <t>alt</t>
        </is>
      </c>
      <c r="O3263" t="n">
        <v>-70</v>
      </c>
      <c r="P3263" t="n">
        <v>0.001561</v>
      </c>
      <c r="Q3263" t="n">
        <v>-95</v>
      </c>
      <c r="R3263" t="n">
        <v>0.0823</v>
      </c>
      <c r="S3263">
        <f>IMAGE("https://mitra.stanford.edu/kundaje/oak/projects/neuro-variants/variant_position/credible/roussos_2024/variant_figures/roussos_2024.childhood.GABA/rs4470714_count_position.png",4,220,900)</f>
        <v/>
      </c>
      <c r="T3263">
        <f>IMAGE("https://mitra.stanford.edu/kundaje/oak/projects/neuro-variants/variant_position/credible/roussos_2024/variant_figures/roussos_2024.childhood.GABA/rs4470714_profile_position.png",4,220,900)</f>
        <v/>
      </c>
    </row>
    <row r="3264">
      <c r="A3264" t="inlineStr">
        <is>
          <t>chr5</t>
        </is>
      </c>
      <c r="B3264" t="n">
        <v>64440558</v>
      </c>
      <c r="C3264" t="inlineStr">
        <is>
          <t>T</t>
        </is>
      </c>
      <c r="D3264" t="inlineStr">
        <is>
          <t>A</t>
        </is>
      </c>
      <c r="E3264" t="inlineStr">
        <is>
          <t>rs1903305</t>
        </is>
      </c>
      <c r="F3264" t="n">
        <v>-0.00127981942</v>
      </c>
      <c r="G3264" t="n">
        <v>0.8238359428090066</v>
      </c>
      <c r="H3264" t="n">
        <v>0.0177620820647582</v>
      </c>
      <c r="I3264" t="n">
        <v>0.124471615632626</v>
      </c>
      <c r="J3264" t="n">
        <v>0.0572930409834348</v>
      </c>
      <c r="K3264" t="n">
        <v>0.4583538962023679</v>
      </c>
      <c r="L3264" t="b">
        <v>0</v>
      </c>
      <c r="M3264" t="b">
        <v>0</v>
      </c>
      <c r="N3264" t="inlineStr">
        <is>
          <t>ref</t>
        </is>
      </c>
      <c r="O3264" t="n">
        <v>100</v>
      </c>
      <c r="P3264" t="n">
        <v>0.015015</v>
      </c>
      <c r="Q3264" t="n">
        <v>100</v>
      </c>
      <c r="R3264" t="n">
        <v>0.2136</v>
      </c>
      <c r="S3264">
        <f>IMAGE("https://mitra.stanford.edu/kundaje/oak/projects/neuro-variants/variant_position/credible/roussos_2024/variant_figures/roussos_2024.childhood.GABA/rs1903305_count_position.png",4,220,900)</f>
        <v/>
      </c>
      <c r="T3264">
        <f>IMAGE("https://mitra.stanford.edu/kundaje/oak/projects/neuro-variants/variant_position/credible/roussos_2024/variant_figures/roussos_2024.childhood.GABA/rs1903305_profile_position.png",4,220,900)</f>
        <v/>
      </c>
    </row>
    <row r="3265">
      <c r="A3265" t="inlineStr">
        <is>
          <t>chr5</t>
        </is>
      </c>
      <c r="B3265" t="n">
        <v>75484335</v>
      </c>
      <c r="C3265" t="inlineStr">
        <is>
          <t>A</t>
        </is>
      </c>
      <c r="D3265" t="inlineStr">
        <is>
          <t>G</t>
        </is>
      </c>
      <c r="E3265" t="inlineStr">
        <is>
          <t>rs75930101</t>
        </is>
      </c>
      <c r="F3265" t="n">
        <v>-0.00614004636</v>
      </c>
      <c r="G3265" t="n">
        <v>0.7321972846389084</v>
      </c>
      <c r="H3265" t="n">
        <v>0.0213423107060229</v>
      </c>
      <c r="I3265" t="n">
        <v>0.0570527865859731</v>
      </c>
      <c r="J3265" t="n">
        <v>0.022207911876191</v>
      </c>
      <c r="K3265" t="n">
        <v>0.6297540860996051</v>
      </c>
      <c r="L3265" t="b">
        <v>0</v>
      </c>
      <c r="M3265" t="b">
        <v>0</v>
      </c>
      <c r="N3265" t="inlineStr">
        <is>
          <t>ref</t>
        </is>
      </c>
      <c r="O3265" t="n">
        <v>100</v>
      </c>
      <c r="P3265" t="n">
        <v>0.02606</v>
      </c>
      <c r="Q3265" t="n">
        <v>70</v>
      </c>
      <c r="R3265" t="n">
        <v>0.09064</v>
      </c>
      <c r="S3265">
        <f>IMAGE("https://mitra.stanford.edu/kundaje/oak/projects/neuro-variants/variant_position/credible/roussos_2024/variant_figures/roussos_2024.childhood.GABA/rs75930101_count_position.png",4,220,900)</f>
        <v/>
      </c>
      <c r="T3265">
        <f>IMAGE("https://mitra.stanford.edu/kundaje/oak/projects/neuro-variants/variant_position/credible/roussos_2024/variant_figures/roussos_2024.childhood.GABA/rs75930101_profile_position.png",4,220,900)</f>
        <v/>
      </c>
    </row>
    <row r="3266">
      <c r="A3266" t="inlineStr">
        <is>
          <t>chr5</t>
        </is>
      </c>
      <c r="B3266" t="n">
        <v>89391697</v>
      </c>
      <c r="C3266" t="inlineStr">
        <is>
          <t>G</t>
        </is>
      </c>
      <c r="D3266" t="inlineStr">
        <is>
          <t>A</t>
        </is>
      </c>
      <c r="E3266" t="inlineStr">
        <is>
          <t>rs17508283</t>
        </is>
      </c>
      <c r="F3266" t="n">
        <v>-0.026687801</v>
      </c>
      <c r="G3266" t="n">
        <v>0.3355328125802594</v>
      </c>
      <c r="H3266" t="n">
        <v>0.0135427993619444</v>
      </c>
      <c r="I3266" t="n">
        <v>0.3181676355451063</v>
      </c>
      <c r="J3266" t="n">
        <v>0.0422389059914975</v>
      </c>
      <c r="K3266" t="n">
        <v>0.5274399883375721</v>
      </c>
      <c r="L3266" t="b">
        <v>0</v>
      </c>
      <c r="M3266" t="b">
        <v>0</v>
      </c>
      <c r="N3266" t="inlineStr">
        <is>
          <t>ref</t>
        </is>
      </c>
      <c r="O3266" t="n">
        <v>20</v>
      </c>
      <c r="P3266" t="n">
        <v>0.000885</v>
      </c>
      <c r="Q3266" t="n">
        <v>55</v>
      </c>
      <c r="R3266" t="n">
        <v>0.07654</v>
      </c>
      <c r="S3266">
        <f>IMAGE("https://mitra.stanford.edu/kundaje/oak/projects/neuro-variants/variant_position/credible/roussos_2024/variant_figures/roussos_2024.childhood.GABA/rs17508283_count_position.png",4,220,900)</f>
        <v/>
      </c>
      <c r="T3266">
        <f>IMAGE("https://mitra.stanford.edu/kundaje/oak/projects/neuro-variants/variant_position/credible/roussos_2024/variant_figures/roussos_2024.childhood.GABA/rs17508283_profile_position.png",4,220,900)</f>
        <v/>
      </c>
    </row>
    <row r="3267">
      <c r="A3267" t="inlineStr">
        <is>
          <t>chr5</t>
        </is>
      </c>
      <c r="B3267" t="n">
        <v>89465423</v>
      </c>
      <c r="C3267" t="inlineStr">
        <is>
          <t>C</t>
        </is>
      </c>
      <c r="D3267" t="inlineStr">
        <is>
          <t>T</t>
        </is>
      </c>
      <c r="E3267" t="inlineStr">
        <is>
          <t>rs12109397</t>
        </is>
      </c>
      <c r="F3267" t="n">
        <v>-0.0224423315999999</v>
      </c>
      <c r="G3267" t="n">
        <v>0.3968478222401989</v>
      </c>
      <c r="H3267" t="n">
        <v>0.0169949127013086</v>
      </c>
      <c r="I3267" t="n">
        <v>0.1446227489735499</v>
      </c>
      <c r="J3267" t="n">
        <v>0.0125212037444241</v>
      </c>
      <c r="K3267" t="n">
        <v>0.7133685162413587</v>
      </c>
      <c r="L3267" t="b">
        <v>0</v>
      </c>
      <c r="M3267" t="b">
        <v>0</v>
      </c>
      <c r="N3267" t="inlineStr">
        <is>
          <t>ref</t>
        </is>
      </c>
      <c r="O3267" t="n">
        <v>35</v>
      </c>
      <c r="P3267" t="n">
        <v>0.01207</v>
      </c>
      <c r="Q3267" t="n">
        <v>-100</v>
      </c>
      <c r="R3267" t="n">
        <v>0.11755</v>
      </c>
      <c r="S3267">
        <f>IMAGE("https://mitra.stanford.edu/kundaje/oak/projects/neuro-variants/variant_position/credible/roussos_2024/variant_figures/roussos_2024.childhood.GABA/rs12109397_count_position.png",4,220,900)</f>
        <v/>
      </c>
      <c r="T3267">
        <f>IMAGE("https://mitra.stanford.edu/kundaje/oak/projects/neuro-variants/variant_position/credible/roussos_2024/variant_figures/roussos_2024.childhood.GABA/rs12109397_profile_position.png",4,220,900)</f>
        <v/>
      </c>
    </row>
    <row r="3268">
      <c r="A3268" t="inlineStr">
        <is>
          <t>chr5</t>
        </is>
      </c>
      <c r="B3268" t="n">
        <v>89468398</v>
      </c>
      <c r="C3268" t="inlineStr">
        <is>
          <t>G</t>
        </is>
      </c>
      <c r="D3268" t="inlineStr">
        <is>
          <t>A</t>
        </is>
      </c>
      <c r="E3268" t="inlineStr">
        <is>
          <t>rs10070532</t>
        </is>
      </c>
      <c r="F3268" t="n">
        <v>0.0207233102</v>
      </c>
      <c r="G3268" t="n">
        <v>0.4067238475379044</v>
      </c>
      <c r="H3268" t="n">
        <v>0.0126585198610298</v>
      </c>
      <c r="I3268" t="n">
        <v>0.3808594079537691</v>
      </c>
      <c r="J3268" t="n">
        <v>0.0003884735398211</v>
      </c>
      <c r="K3268" t="n">
        <v>0.9449396289431008</v>
      </c>
      <c r="L3268" t="b">
        <v>0</v>
      </c>
      <c r="M3268" t="b">
        <v>0</v>
      </c>
      <c r="N3268" t="inlineStr">
        <is>
          <t>alt</t>
        </is>
      </c>
      <c r="O3268" t="n">
        <v>-100</v>
      </c>
      <c r="P3268" t="n">
        <v>0.00946</v>
      </c>
      <c r="Q3268" t="n">
        <v>-75</v>
      </c>
      <c r="R3268" t="n">
        <v>0.039</v>
      </c>
      <c r="S3268">
        <f>IMAGE("https://mitra.stanford.edu/kundaje/oak/projects/neuro-variants/variant_position/credible/roussos_2024/variant_figures/roussos_2024.childhood.GABA/rs10070532_count_position.png",4,220,900)</f>
        <v/>
      </c>
      <c r="T3268">
        <f>IMAGE("https://mitra.stanford.edu/kundaje/oak/projects/neuro-variants/variant_position/credible/roussos_2024/variant_figures/roussos_2024.childhood.GABA/rs10070532_profile_position.png",4,220,900)</f>
        <v/>
      </c>
    </row>
    <row r="3269">
      <c r="A3269" t="inlineStr">
        <is>
          <t>chr5</t>
        </is>
      </c>
      <c r="B3269" t="n">
        <v>91676221</v>
      </c>
      <c r="C3269" t="inlineStr">
        <is>
          <t>C</t>
        </is>
      </c>
      <c r="D3269" t="inlineStr">
        <is>
          <t>T</t>
        </is>
      </c>
      <c r="E3269" t="inlineStr">
        <is>
          <t>rs2939257</t>
        </is>
      </c>
      <c r="F3269" t="n">
        <v>0.01240783766</v>
      </c>
      <c r="G3269" t="n">
        <v>0.5576998044133686</v>
      </c>
      <c r="H3269" t="n">
        <v>0.0382959669848139</v>
      </c>
      <c r="I3269" t="n">
        <v>0.0045556226565343</v>
      </c>
      <c r="J3269" t="n">
        <v>0.0022051894201168</v>
      </c>
      <c r="K3269" t="n">
        <v>0.8741563813038675</v>
      </c>
      <c r="L3269" t="b">
        <v>0</v>
      </c>
      <c r="M3269" t="b">
        <v>0</v>
      </c>
      <c r="N3269" t="inlineStr">
        <is>
          <t>alt</t>
        </is>
      </c>
      <c r="O3269" t="n">
        <v>-85</v>
      </c>
      <c r="P3269" t="n">
        <v>0.009889999999999999</v>
      </c>
      <c r="Q3269" t="n">
        <v>65</v>
      </c>
      <c r="R3269" t="n">
        <v>0.08699999999999999</v>
      </c>
      <c r="S3269">
        <f>IMAGE("https://mitra.stanford.edu/kundaje/oak/projects/neuro-variants/variant_position/credible/roussos_2024/variant_figures/roussos_2024.childhood.GABA/rs2939257_count_position.png",4,220,900)</f>
        <v/>
      </c>
      <c r="T3269">
        <f>IMAGE("https://mitra.stanford.edu/kundaje/oak/projects/neuro-variants/variant_position/credible/roussos_2024/variant_figures/roussos_2024.childhood.GABA/rs2939257_profile_position.png",4,220,900)</f>
        <v/>
      </c>
    </row>
    <row r="3270">
      <c r="A3270" t="inlineStr">
        <is>
          <t>chr5</t>
        </is>
      </c>
      <c r="B3270" t="n">
        <v>91688658</v>
      </c>
      <c r="C3270" t="inlineStr">
        <is>
          <t>T</t>
        </is>
      </c>
      <c r="D3270" t="inlineStr">
        <is>
          <t>G</t>
        </is>
      </c>
      <c r="E3270" t="inlineStr">
        <is>
          <t>rs2935244</t>
        </is>
      </c>
      <c r="F3270" t="n">
        <v>0.0593512483999999</v>
      </c>
      <c r="G3270" t="n">
        <v>0.1004650845912742</v>
      </c>
      <c r="H3270" t="n">
        <v>0.0161245420552533</v>
      </c>
      <c r="I3270" t="n">
        <v>0.1756281173146474</v>
      </c>
      <c r="J3270" t="n">
        <v>0.0270549307867897</v>
      </c>
      <c r="K3270" t="n">
        <v>0.5953787300268937</v>
      </c>
      <c r="L3270" t="b">
        <v>0</v>
      </c>
      <c r="M3270" t="b">
        <v>0</v>
      </c>
      <c r="N3270" t="inlineStr">
        <is>
          <t>alt</t>
        </is>
      </c>
      <c r="O3270" t="n">
        <v>-30</v>
      </c>
      <c r="P3270" t="n">
        <v>0.01337</v>
      </c>
      <c r="Q3270" t="n">
        <v>100</v>
      </c>
      <c r="R3270" t="n">
        <v>0.06322999999999999</v>
      </c>
      <c r="S3270">
        <f>IMAGE("https://mitra.stanford.edu/kundaje/oak/projects/neuro-variants/variant_position/credible/roussos_2024/variant_figures/roussos_2024.childhood.GABA/rs2935244_count_position.png",4,220,900)</f>
        <v/>
      </c>
      <c r="T3270">
        <f>IMAGE("https://mitra.stanford.edu/kundaje/oak/projects/neuro-variants/variant_position/credible/roussos_2024/variant_figures/roussos_2024.childhood.GABA/rs2935244_profile_position.png",4,220,900)</f>
        <v/>
      </c>
    </row>
    <row r="3271">
      <c r="A3271" t="inlineStr">
        <is>
          <t>chr5</t>
        </is>
      </c>
      <c r="B3271" t="n">
        <v>91690039</v>
      </c>
      <c r="C3271" t="inlineStr">
        <is>
          <t>A</t>
        </is>
      </c>
      <c r="D3271" t="inlineStr">
        <is>
          <t>C</t>
        </is>
      </c>
      <c r="E3271" t="inlineStr">
        <is>
          <t>rs2973827</t>
        </is>
      </c>
      <c r="F3271" t="n">
        <v>-0.0095755864599999</v>
      </c>
      <c r="G3271" t="n">
        <v>0.6522908495937819</v>
      </c>
      <c r="H3271" t="n">
        <v>0.0228620928341304</v>
      </c>
      <c r="I3271" t="n">
        <v>0.0423728860564745</v>
      </c>
      <c r="J3271" t="n">
        <v>0.0066438399195828</v>
      </c>
      <c r="K3271" t="n">
        <v>0.802811482651986</v>
      </c>
      <c r="L3271" t="b">
        <v>0</v>
      </c>
      <c r="M3271" t="b">
        <v>0</v>
      </c>
      <c r="N3271" t="inlineStr">
        <is>
          <t>ref</t>
        </is>
      </c>
      <c r="O3271" t="n">
        <v>75</v>
      </c>
      <c r="P3271" t="n">
        <v>0.02423</v>
      </c>
      <c r="Q3271" t="n">
        <v>80</v>
      </c>
      <c r="R3271" t="n">
        <v>0.185</v>
      </c>
      <c r="S3271">
        <f>IMAGE("https://mitra.stanford.edu/kundaje/oak/projects/neuro-variants/variant_position/credible/roussos_2024/variant_figures/roussos_2024.childhood.GABA/rs2973827_count_position.png",4,220,900)</f>
        <v/>
      </c>
      <c r="T3271">
        <f>IMAGE("https://mitra.stanford.edu/kundaje/oak/projects/neuro-variants/variant_position/credible/roussos_2024/variant_figures/roussos_2024.childhood.GABA/rs2973827_profile_position.png",4,220,900)</f>
        <v/>
      </c>
    </row>
    <row r="3272">
      <c r="A3272" t="inlineStr">
        <is>
          <t>chr5</t>
        </is>
      </c>
      <c r="B3272" t="n">
        <v>91691174</v>
      </c>
      <c r="C3272" t="inlineStr">
        <is>
          <t>A</t>
        </is>
      </c>
      <c r="D3272" t="inlineStr">
        <is>
          <t>C</t>
        </is>
      </c>
      <c r="E3272" t="inlineStr">
        <is>
          <t>rs2939246</t>
        </is>
      </c>
      <c r="F3272" t="n">
        <v>0.00458849532</v>
      </c>
      <c r="G3272" t="n">
        <v>0.5646914724120435</v>
      </c>
      <c r="H3272" t="n">
        <v>0.0100114087321594</v>
      </c>
      <c r="I3272" t="n">
        <v>0.6406021240582502</v>
      </c>
      <c r="J3272" t="n">
        <v>0.0113756779962722</v>
      </c>
      <c r="K3272" t="n">
        <v>0.7449499474224962</v>
      </c>
      <c r="L3272" t="b">
        <v>0</v>
      </c>
      <c r="M3272" t="b">
        <v>0</v>
      </c>
      <c r="N3272" t="inlineStr">
        <is>
          <t>alt</t>
        </is>
      </c>
      <c r="O3272" t="n">
        <v>-100</v>
      </c>
      <c r="P3272" t="n">
        <v>0.01201</v>
      </c>
      <c r="Q3272" t="n">
        <v>-85</v>
      </c>
      <c r="R3272" t="n">
        <v>0.0385</v>
      </c>
      <c r="S3272">
        <f>IMAGE("https://mitra.stanford.edu/kundaje/oak/projects/neuro-variants/variant_position/credible/roussos_2024/variant_figures/roussos_2024.childhood.GABA/rs2939246_count_position.png",4,220,900)</f>
        <v/>
      </c>
      <c r="T3272">
        <f>IMAGE("https://mitra.stanford.edu/kundaje/oak/projects/neuro-variants/variant_position/credible/roussos_2024/variant_figures/roussos_2024.childhood.GABA/rs2939246_profile_position.png",4,220,900)</f>
        <v/>
      </c>
    </row>
    <row r="3273">
      <c r="A3273" t="inlineStr">
        <is>
          <t>chr5</t>
        </is>
      </c>
      <c r="B3273" t="n">
        <v>91694565</v>
      </c>
      <c r="C3273" t="inlineStr">
        <is>
          <t>A</t>
        </is>
      </c>
      <c r="D3273" t="inlineStr">
        <is>
          <t>G</t>
        </is>
      </c>
      <c r="E3273" t="inlineStr">
        <is>
          <t>rs2973829</t>
        </is>
      </c>
      <c r="F3273" t="n">
        <v>-0.00342929694</v>
      </c>
      <c r="G3273" t="n">
        <v>0.8344605186592303</v>
      </c>
      <c r="H3273" t="n">
        <v>0.0269060430334433</v>
      </c>
      <c r="I3273" t="n">
        <v>0.0207831875054493</v>
      </c>
      <c r="J3273" t="n">
        <v>0.0002209377814076</v>
      </c>
      <c r="K3273" t="n">
        <v>0.9593038851655568</v>
      </c>
      <c r="L3273" t="b">
        <v>0</v>
      </c>
      <c r="M3273" t="b">
        <v>0</v>
      </c>
      <c r="N3273" t="inlineStr">
        <is>
          <t>ref</t>
        </is>
      </c>
      <c r="O3273" t="n">
        <v>-100</v>
      </c>
      <c r="P3273" t="n">
        <v>0.001831</v>
      </c>
      <c r="Q3273" t="n">
        <v>-100</v>
      </c>
      <c r="R3273" t="n">
        <v>0.013916</v>
      </c>
      <c r="S3273">
        <f>IMAGE("https://mitra.stanford.edu/kundaje/oak/projects/neuro-variants/variant_position/credible/roussos_2024/variant_figures/roussos_2024.childhood.GABA/rs2973829_count_position.png",4,220,900)</f>
        <v/>
      </c>
      <c r="T3273">
        <f>IMAGE("https://mitra.stanford.edu/kundaje/oak/projects/neuro-variants/variant_position/credible/roussos_2024/variant_figures/roussos_2024.childhood.GABA/rs2973829_profile_position.png",4,220,900)</f>
        <v/>
      </c>
    </row>
    <row r="3274">
      <c r="A3274" t="inlineStr">
        <is>
          <t>chr5</t>
        </is>
      </c>
      <c r="B3274" t="n">
        <v>91696606</v>
      </c>
      <c r="C3274" t="inlineStr">
        <is>
          <t>G</t>
        </is>
      </c>
      <c r="D3274" t="inlineStr">
        <is>
          <t>C</t>
        </is>
      </c>
      <c r="E3274" t="inlineStr">
        <is>
          <t>rs2973831</t>
        </is>
      </c>
      <c r="F3274" t="n">
        <v>-0.0028130517</v>
      </c>
      <c r="G3274" t="n">
        <v>0.7068601661981067</v>
      </c>
      <c r="H3274" t="n">
        <v>0.008786504893102801</v>
      </c>
      <c r="I3274" t="n">
        <v>0.7528314105039273</v>
      </c>
      <c r="J3274" t="n">
        <v>0.0572469686498711</v>
      </c>
      <c r="K3274" t="n">
        <v>0.4602215898462629</v>
      </c>
      <c r="L3274" t="b">
        <v>0</v>
      </c>
      <c r="M3274" t="b">
        <v>0</v>
      </c>
      <c r="N3274" t="inlineStr">
        <is>
          <t>ref</t>
        </is>
      </c>
      <c r="O3274" t="n">
        <v>70</v>
      </c>
      <c r="P3274" t="n">
        <v>0.005028</v>
      </c>
      <c r="Q3274" t="n">
        <v>-50</v>
      </c>
      <c r="R3274" t="n">
        <v>0.0738</v>
      </c>
      <c r="S3274">
        <f>IMAGE("https://mitra.stanford.edu/kundaje/oak/projects/neuro-variants/variant_position/credible/roussos_2024/variant_figures/roussos_2024.childhood.GABA/rs2973831_count_position.png",4,220,900)</f>
        <v/>
      </c>
      <c r="T3274">
        <f>IMAGE("https://mitra.stanford.edu/kundaje/oak/projects/neuro-variants/variant_position/credible/roussos_2024/variant_figures/roussos_2024.childhood.GABA/rs2973831_profile_position.png",4,220,900)</f>
        <v/>
      </c>
    </row>
    <row r="3275">
      <c r="A3275" t="inlineStr">
        <is>
          <t>chr5</t>
        </is>
      </c>
      <c r="B3275" t="n">
        <v>102325209</v>
      </c>
      <c r="C3275" t="inlineStr">
        <is>
          <t>T</t>
        </is>
      </c>
      <c r="D3275" t="inlineStr">
        <is>
          <t>C</t>
        </is>
      </c>
      <c r="E3275" t="inlineStr">
        <is>
          <t>rs9327836</t>
        </is>
      </c>
      <c r="F3275" t="n">
        <v>0.0621513444</v>
      </c>
      <c r="G3275" t="n">
        <v>0.0874076953179517</v>
      </c>
      <c r="H3275" t="n">
        <v>0.0188361227116895</v>
      </c>
      <c r="I3275" t="n">
        <v>0.0974470736081296</v>
      </c>
      <c r="J3275" t="n">
        <v>0.0777659106615568</v>
      </c>
      <c r="K3275" t="n">
        <v>0.4038208743147518</v>
      </c>
      <c r="L3275" t="b">
        <v>0</v>
      </c>
      <c r="M3275" t="b">
        <v>0</v>
      </c>
      <c r="N3275" t="inlineStr">
        <is>
          <t>alt</t>
        </is>
      </c>
      <c r="O3275" t="n">
        <v>-35</v>
      </c>
      <c r="P3275" t="n">
        <v>0.0001297</v>
      </c>
      <c r="Q3275" t="n">
        <v>55</v>
      </c>
      <c r="R3275" t="n">
        <v>0.04163</v>
      </c>
      <c r="S3275">
        <f>IMAGE("https://mitra.stanford.edu/kundaje/oak/projects/neuro-variants/variant_position/credible/roussos_2024/variant_figures/roussos_2024.childhood.GABA/rs9327836_count_position.png",4,220,900)</f>
        <v/>
      </c>
      <c r="T3275">
        <f>IMAGE("https://mitra.stanford.edu/kundaje/oak/projects/neuro-variants/variant_position/credible/roussos_2024/variant_figures/roussos_2024.childhood.GABA/rs9327836_profile_position.png",4,220,900)</f>
        <v/>
      </c>
    </row>
    <row r="3276">
      <c r="A3276" t="inlineStr">
        <is>
          <t>chr5</t>
        </is>
      </c>
      <c r="B3276" t="n">
        <v>102340107</v>
      </c>
      <c r="C3276" t="inlineStr">
        <is>
          <t>C</t>
        </is>
      </c>
      <c r="D3276" t="inlineStr">
        <is>
          <t>T</t>
        </is>
      </c>
      <c r="E3276" t="inlineStr">
        <is>
          <t>rs6884162</t>
        </is>
      </c>
      <c r="F3276" t="n">
        <v>0.0881190068</v>
      </c>
      <c r="G3276" t="n">
        <v>0.0520264496578266</v>
      </c>
      <c r="H3276" t="n">
        <v>0.0269279796618171</v>
      </c>
      <c r="I3276" t="n">
        <v>0.0213033562074976</v>
      </c>
      <c r="J3276" t="n">
        <v>0.1685912336914409</v>
      </c>
      <c r="K3276" t="n">
        <v>0.2485402169704607</v>
      </c>
      <c r="L3276" t="b">
        <v>0</v>
      </c>
      <c r="M3276" t="b">
        <v>0</v>
      </c>
      <c r="N3276" t="inlineStr">
        <is>
          <t>alt</t>
        </is>
      </c>
      <c r="O3276" t="n">
        <v>-80</v>
      </c>
      <c r="P3276" t="n">
        <v>0.003014</v>
      </c>
      <c r="Q3276" t="n">
        <v>70</v>
      </c>
      <c r="R3276" t="n">
        <v>0.08989999999999999</v>
      </c>
      <c r="S3276">
        <f>IMAGE("https://mitra.stanford.edu/kundaje/oak/projects/neuro-variants/variant_position/credible/roussos_2024/variant_figures/roussos_2024.childhood.GABA/rs6884162_count_position.png",4,220,900)</f>
        <v/>
      </c>
      <c r="T3276">
        <f>IMAGE("https://mitra.stanford.edu/kundaje/oak/projects/neuro-variants/variant_position/credible/roussos_2024/variant_figures/roussos_2024.childhood.GABA/rs6884162_profile_position.png",4,220,900)</f>
        <v/>
      </c>
    </row>
    <row r="3277">
      <c r="A3277" t="inlineStr">
        <is>
          <t>chr5</t>
        </is>
      </c>
      <c r="B3277" t="n">
        <v>102340678</v>
      </c>
      <c r="C3277" t="inlineStr">
        <is>
          <t>A</t>
        </is>
      </c>
      <c r="D3277" t="inlineStr">
        <is>
          <t>C</t>
        </is>
      </c>
      <c r="E3277" t="inlineStr">
        <is>
          <t>rs1452060</t>
        </is>
      </c>
      <c r="F3277" t="n">
        <v>0.0158702136199999</v>
      </c>
      <c r="G3277" t="n">
        <v>0.4766583886049088</v>
      </c>
      <c r="H3277" t="n">
        <v>0.010482863330834</v>
      </c>
      <c r="I3277" t="n">
        <v>0.5884348482631498</v>
      </c>
      <c r="J3277" t="n">
        <v>0.0781878913530606</v>
      </c>
      <c r="K3277" t="n">
        <v>0.4079683155499975</v>
      </c>
      <c r="L3277" t="b">
        <v>0</v>
      </c>
      <c r="M3277" t="b">
        <v>0</v>
      </c>
      <c r="N3277" t="inlineStr">
        <is>
          <t>alt</t>
        </is>
      </c>
      <c r="O3277" t="n">
        <v>-100</v>
      </c>
      <c r="P3277" t="n">
        <v>0.003975</v>
      </c>
      <c r="Q3277" t="n">
        <v>65</v>
      </c>
      <c r="R3277" t="n">
        <v>0.07679999999999999</v>
      </c>
      <c r="S3277">
        <f>IMAGE("https://mitra.stanford.edu/kundaje/oak/projects/neuro-variants/variant_position/credible/roussos_2024/variant_figures/roussos_2024.childhood.GABA/rs1452060_count_position.png",4,220,900)</f>
        <v/>
      </c>
      <c r="T3277">
        <f>IMAGE("https://mitra.stanford.edu/kundaje/oak/projects/neuro-variants/variant_position/credible/roussos_2024/variant_figures/roussos_2024.childhood.GABA/rs1452060_profile_position.png",4,220,900)</f>
        <v/>
      </c>
    </row>
    <row r="3278">
      <c r="A3278" t="inlineStr">
        <is>
          <t>chr5</t>
        </is>
      </c>
      <c r="B3278" t="n">
        <v>102343745</v>
      </c>
      <c r="C3278" t="inlineStr">
        <is>
          <t>T</t>
        </is>
      </c>
      <c r="D3278" t="inlineStr">
        <is>
          <t>C</t>
        </is>
      </c>
      <c r="E3278" t="inlineStr">
        <is>
          <t>rs1869103</t>
        </is>
      </c>
      <c r="F3278" t="n">
        <v>-0.100469187</v>
      </c>
      <c r="G3278" t="n">
        <v>0.0358863055826769</v>
      </c>
      <c r="H3278" t="n">
        <v>0.026663253518882</v>
      </c>
      <c r="I3278" t="n">
        <v>0.0222693968057937</v>
      </c>
      <c r="J3278" t="n">
        <v>0.1698362337961508</v>
      </c>
      <c r="K3278" t="n">
        <v>0.2544801378553261</v>
      </c>
      <c r="L3278" t="b">
        <v>0</v>
      </c>
      <c r="M3278" t="b">
        <v>0</v>
      </c>
      <c r="N3278" t="inlineStr">
        <is>
          <t>ref</t>
        </is>
      </c>
      <c r="O3278" t="n">
        <v>-60</v>
      </c>
      <c r="P3278" t="n">
        <v>0.000618</v>
      </c>
      <c r="Q3278" t="n">
        <v>100</v>
      </c>
      <c r="R3278" t="n">
        <v>0.03735</v>
      </c>
      <c r="S3278">
        <f>IMAGE("https://mitra.stanford.edu/kundaje/oak/projects/neuro-variants/variant_position/credible/roussos_2024/variant_figures/roussos_2024.childhood.GABA/rs1869103_count_position.png",4,220,900)</f>
        <v/>
      </c>
      <c r="T3278">
        <f>IMAGE("https://mitra.stanford.edu/kundaje/oak/projects/neuro-variants/variant_position/credible/roussos_2024/variant_figures/roussos_2024.childhood.GABA/rs1869103_profile_position.png",4,220,900)</f>
        <v/>
      </c>
    </row>
    <row r="3279">
      <c r="A3279" t="inlineStr">
        <is>
          <t>chr5</t>
        </is>
      </c>
      <c r="B3279" t="n">
        <v>102347720</v>
      </c>
      <c r="C3279" t="inlineStr">
        <is>
          <t>T</t>
        </is>
      </c>
      <c r="D3279" t="inlineStr">
        <is>
          <t>C</t>
        </is>
      </c>
      <c r="E3279" t="inlineStr">
        <is>
          <t>rs10079075</t>
        </is>
      </c>
      <c r="F3279" t="n">
        <v>0.0780382882</v>
      </c>
      <c r="G3279" t="n">
        <v>0.0667757798447894</v>
      </c>
      <c r="H3279" t="n">
        <v>0.019242901356017</v>
      </c>
      <c r="I3279" t="n">
        <v>0.1076464245260314</v>
      </c>
      <c r="J3279" t="n">
        <v>0.0011172540889195</v>
      </c>
      <c r="K3279" t="n">
        <v>0.9324402292670002</v>
      </c>
      <c r="L3279" t="b">
        <v>0</v>
      </c>
      <c r="M3279" t="b">
        <v>0</v>
      </c>
      <c r="N3279" t="inlineStr">
        <is>
          <t>alt</t>
        </is>
      </c>
      <c r="O3279" t="n">
        <v>100</v>
      </c>
      <c r="P3279" t="n">
        <v>0.003174</v>
      </c>
      <c r="Q3279" t="n">
        <v>-95</v>
      </c>
      <c r="R3279" t="n">
        <v>0.0595</v>
      </c>
      <c r="S3279">
        <f>IMAGE("https://mitra.stanford.edu/kundaje/oak/projects/neuro-variants/variant_position/credible/roussos_2024/variant_figures/roussos_2024.childhood.GABA/rs10079075_count_position.png",4,220,900)</f>
        <v/>
      </c>
      <c r="T3279">
        <f>IMAGE("https://mitra.stanford.edu/kundaje/oak/projects/neuro-variants/variant_position/credible/roussos_2024/variant_figures/roussos_2024.childhood.GABA/rs10079075_profile_position.png",4,220,900)</f>
        <v/>
      </c>
    </row>
    <row r="3280">
      <c r="A3280" t="inlineStr">
        <is>
          <t>chr5</t>
        </is>
      </c>
      <c r="B3280" t="n">
        <v>102349145</v>
      </c>
      <c r="C3280" t="inlineStr">
        <is>
          <t>G</t>
        </is>
      </c>
      <c r="D3280" t="inlineStr">
        <is>
          <t>A</t>
        </is>
      </c>
      <c r="E3280" t="inlineStr">
        <is>
          <t>rs1823693</t>
        </is>
      </c>
      <c r="F3280" t="n">
        <v>-0.0744964306</v>
      </c>
      <c r="G3280" t="n">
        <v>0.06440700415794209</v>
      </c>
      <c r="H3280" t="n">
        <v>0.0175250869069967</v>
      </c>
      <c r="I3280" t="n">
        <v>0.1280698824651474</v>
      </c>
      <c r="J3280" t="n">
        <v>0.0236183535423341</v>
      </c>
      <c r="K3280" t="n">
        <v>0.6230541808191036</v>
      </c>
      <c r="L3280" t="b">
        <v>0</v>
      </c>
      <c r="M3280" t="b">
        <v>0</v>
      </c>
      <c r="N3280" t="inlineStr">
        <is>
          <t>ref</t>
        </is>
      </c>
      <c r="O3280" t="n">
        <v>90</v>
      </c>
      <c r="P3280" t="n">
        <v>0.00954</v>
      </c>
      <c r="Q3280" t="n">
        <v>-100</v>
      </c>
      <c r="R3280" t="n">
        <v>0.1145</v>
      </c>
      <c r="S3280">
        <f>IMAGE("https://mitra.stanford.edu/kundaje/oak/projects/neuro-variants/variant_position/credible/roussos_2024/variant_figures/roussos_2024.childhood.GABA/rs1823693_count_position.png",4,220,900)</f>
        <v/>
      </c>
      <c r="T3280">
        <f>IMAGE("https://mitra.stanford.edu/kundaje/oak/projects/neuro-variants/variant_position/credible/roussos_2024/variant_figures/roussos_2024.childhood.GABA/rs1823693_profile_position.png",4,220,900)</f>
        <v/>
      </c>
    </row>
    <row r="3281">
      <c r="A3281" t="inlineStr">
        <is>
          <t>chr5</t>
        </is>
      </c>
      <c r="B3281" t="n">
        <v>102351737</v>
      </c>
      <c r="C3281" t="inlineStr">
        <is>
          <t>A</t>
        </is>
      </c>
      <c r="D3281" t="inlineStr">
        <is>
          <t>G</t>
        </is>
      </c>
      <c r="E3281" t="inlineStr">
        <is>
          <t>rs1901510</t>
        </is>
      </c>
      <c r="F3281" t="n">
        <v>0.0792998713999999</v>
      </c>
      <c r="G3281" t="n">
        <v>0.0529221482377901</v>
      </c>
      <c r="H3281" t="n">
        <v>0.0174055439373619</v>
      </c>
      <c r="I3281" t="n">
        <v>0.1345954178769682</v>
      </c>
      <c r="J3281" t="n">
        <v>0.080225545014764</v>
      </c>
      <c r="K3281" t="n">
        <v>0.4255095905843386</v>
      </c>
      <c r="L3281" t="b">
        <v>0</v>
      </c>
      <c r="M3281" t="b">
        <v>0</v>
      </c>
      <c r="N3281" t="inlineStr">
        <is>
          <t>alt</t>
        </is>
      </c>
      <c r="O3281" t="n">
        <v>65</v>
      </c>
      <c r="P3281" t="n">
        <v>0.000742</v>
      </c>
      <c r="Q3281" t="n">
        <v>95</v>
      </c>
      <c r="R3281" t="n">
        <v>0.0282</v>
      </c>
      <c r="S3281">
        <f>IMAGE("https://mitra.stanford.edu/kundaje/oak/projects/neuro-variants/variant_position/credible/roussos_2024/variant_figures/roussos_2024.childhood.GABA/rs1901510_count_position.png",4,220,900)</f>
        <v/>
      </c>
      <c r="T3281">
        <f>IMAGE("https://mitra.stanford.edu/kundaje/oak/projects/neuro-variants/variant_position/credible/roussos_2024/variant_figures/roussos_2024.childhood.GABA/rs1901510_profile_position.png",4,220,900)</f>
        <v/>
      </c>
    </row>
    <row r="3282">
      <c r="A3282" t="inlineStr">
        <is>
          <t>chr5</t>
        </is>
      </c>
      <c r="B3282" t="n">
        <v>102356524</v>
      </c>
      <c r="C3282" t="inlineStr">
        <is>
          <t>G</t>
        </is>
      </c>
      <c r="D3282" t="inlineStr">
        <is>
          <t>T</t>
        </is>
      </c>
      <c r="E3282" t="inlineStr">
        <is>
          <t>rs2198246</t>
        </is>
      </c>
      <c r="F3282" t="n">
        <v>-0.0438818062</v>
      </c>
      <c r="G3282" t="n">
        <v>0.1916418349422828</v>
      </c>
      <c r="H3282" t="n">
        <v>0.0213308352499707</v>
      </c>
      <c r="I3282" t="n">
        <v>0.0594332888122385</v>
      </c>
      <c r="J3282" t="n">
        <v>0.0080291512219638</v>
      </c>
      <c r="K3282" t="n">
        <v>0.7640826465544285</v>
      </c>
      <c r="L3282" t="b">
        <v>0</v>
      </c>
      <c r="M3282" t="b">
        <v>0</v>
      </c>
      <c r="N3282" t="inlineStr">
        <is>
          <t>ref</t>
        </is>
      </c>
      <c r="O3282" t="n">
        <v>-65</v>
      </c>
      <c r="P3282" t="n">
        <v>0.002075</v>
      </c>
      <c r="Q3282" t="n">
        <v>-20</v>
      </c>
      <c r="R3282" t="n">
        <v>0.01196</v>
      </c>
      <c r="S3282">
        <f>IMAGE("https://mitra.stanford.edu/kundaje/oak/projects/neuro-variants/variant_position/credible/roussos_2024/variant_figures/roussos_2024.childhood.GABA/rs2198246_count_position.png",4,220,900)</f>
        <v/>
      </c>
      <c r="T3282">
        <f>IMAGE("https://mitra.stanford.edu/kundaje/oak/projects/neuro-variants/variant_position/credible/roussos_2024/variant_figures/roussos_2024.childhood.GABA/rs2198246_profile_position.png",4,220,900)</f>
        <v/>
      </c>
    </row>
    <row r="3283">
      <c r="A3283" t="inlineStr">
        <is>
          <t>chr5</t>
        </is>
      </c>
      <c r="B3283" t="n">
        <v>102364998</v>
      </c>
      <c r="C3283" t="inlineStr">
        <is>
          <t>A</t>
        </is>
      </c>
      <c r="D3283" t="inlineStr">
        <is>
          <t>G</t>
        </is>
      </c>
      <c r="E3283" t="inlineStr">
        <is>
          <t>rs7718122</t>
        </is>
      </c>
      <c r="F3283" t="n">
        <v>0.0616791466</v>
      </c>
      <c r="G3283" t="n">
        <v>0.0919208088255299</v>
      </c>
      <c r="H3283" t="n">
        <v>0.0136872859959185</v>
      </c>
      <c r="I3283" t="n">
        <v>0.3003982876370927</v>
      </c>
      <c r="J3283" t="n">
        <v>0.0447006345416849</v>
      </c>
      <c r="K3283" t="n">
        <v>0.5368040549137958</v>
      </c>
      <c r="L3283" t="b">
        <v>0</v>
      </c>
      <c r="M3283" t="b">
        <v>0</v>
      </c>
      <c r="N3283" t="inlineStr">
        <is>
          <t>alt</t>
        </is>
      </c>
      <c r="O3283" t="n">
        <v>-100</v>
      </c>
      <c r="P3283" t="n">
        <v>0.00428</v>
      </c>
      <c r="Q3283" t="n">
        <v>-10</v>
      </c>
      <c r="R3283" t="n">
        <v>0.005737</v>
      </c>
      <c r="S3283">
        <f>IMAGE("https://mitra.stanford.edu/kundaje/oak/projects/neuro-variants/variant_position/credible/roussos_2024/variant_figures/roussos_2024.childhood.GABA/rs7718122_count_position.png",4,220,900)</f>
        <v/>
      </c>
      <c r="T3283">
        <f>IMAGE("https://mitra.stanford.edu/kundaje/oak/projects/neuro-variants/variant_position/credible/roussos_2024/variant_figures/roussos_2024.childhood.GABA/rs7718122_profile_position.png",4,220,900)</f>
        <v/>
      </c>
    </row>
    <row r="3284">
      <c r="A3284" t="inlineStr">
        <is>
          <t>chr5</t>
        </is>
      </c>
      <c r="B3284" t="n">
        <v>102365686</v>
      </c>
      <c r="C3284" t="inlineStr">
        <is>
          <t>G</t>
        </is>
      </c>
      <c r="D3284" t="inlineStr">
        <is>
          <t>C</t>
        </is>
      </c>
      <c r="E3284" t="inlineStr">
        <is>
          <t>rs6861350</t>
        </is>
      </c>
      <c r="F3284" t="n">
        <v>-0.061781825</v>
      </c>
      <c r="G3284" t="n">
        <v>0.122741444510008</v>
      </c>
      <c r="H3284" t="n">
        <v>0.0128305631850417</v>
      </c>
      <c r="I3284" t="n">
        <v>0.3635165134165794</v>
      </c>
      <c r="J3284" t="n">
        <v>0.008816569286507</v>
      </c>
      <c r="K3284" t="n">
        <v>0.7590128821604937</v>
      </c>
      <c r="L3284" t="b">
        <v>0</v>
      </c>
      <c r="M3284" t="b">
        <v>0</v>
      </c>
      <c r="N3284" t="inlineStr">
        <is>
          <t>ref</t>
        </is>
      </c>
      <c r="O3284" t="n">
        <v>75</v>
      </c>
      <c r="P3284" t="n">
        <v>0.0016</v>
      </c>
      <c r="Q3284" t="n">
        <v>-30</v>
      </c>
      <c r="R3284" t="n">
        <v>0.04352</v>
      </c>
      <c r="S3284">
        <f>IMAGE("https://mitra.stanford.edu/kundaje/oak/projects/neuro-variants/variant_position/credible/roussos_2024/variant_figures/roussos_2024.childhood.GABA/rs6861350_count_position.png",4,220,900)</f>
        <v/>
      </c>
      <c r="T3284">
        <f>IMAGE("https://mitra.stanford.edu/kundaje/oak/projects/neuro-variants/variant_position/credible/roussos_2024/variant_figures/roussos_2024.childhood.GABA/rs6861350_profile_position.png",4,220,900)</f>
        <v/>
      </c>
    </row>
    <row r="3285">
      <c r="A3285" t="inlineStr">
        <is>
          <t>chr5</t>
        </is>
      </c>
      <c r="B3285" t="n">
        <v>102367872</v>
      </c>
      <c r="C3285" t="inlineStr">
        <is>
          <t>A</t>
        </is>
      </c>
      <c r="D3285" t="inlineStr">
        <is>
          <t>G</t>
        </is>
      </c>
      <c r="E3285" t="inlineStr">
        <is>
          <t>rs1597766</t>
        </is>
      </c>
      <c r="F3285" t="n">
        <v>-0.00854966176</v>
      </c>
      <c r="G3285" t="n">
        <v>0.6792303525924982</v>
      </c>
      <c r="H3285" t="n">
        <v>0.0350005014390935</v>
      </c>
      <c r="I3285" t="n">
        <v>0.0065031255380103</v>
      </c>
      <c r="J3285" t="n">
        <v>0.0002157022889572</v>
      </c>
      <c r="K3285" t="n">
        <v>0.9604005480282264</v>
      </c>
      <c r="L3285" t="b">
        <v>0</v>
      </c>
      <c r="M3285" t="b">
        <v>0</v>
      </c>
      <c r="N3285" t="inlineStr">
        <is>
          <t>ref</t>
        </is>
      </c>
      <c r="O3285" t="n">
        <v>25</v>
      </c>
      <c r="P3285" t="n">
        <v>0.026</v>
      </c>
      <c r="Q3285" t="n">
        <v>-100</v>
      </c>
      <c r="R3285" t="n">
        <v>0.05762</v>
      </c>
      <c r="S3285">
        <f>IMAGE("https://mitra.stanford.edu/kundaje/oak/projects/neuro-variants/variant_position/credible/roussos_2024/variant_figures/roussos_2024.childhood.GABA/rs1597766_count_position.png",4,220,900)</f>
        <v/>
      </c>
      <c r="T3285">
        <f>IMAGE("https://mitra.stanford.edu/kundaje/oak/projects/neuro-variants/variant_position/credible/roussos_2024/variant_figures/roussos_2024.childhood.GABA/rs1597766_profile_position.png",4,220,900)</f>
        <v/>
      </c>
    </row>
    <row r="3286">
      <c r="A3286" t="inlineStr">
        <is>
          <t>chr5</t>
        </is>
      </c>
      <c r="B3286" t="n">
        <v>102377587</v>
      </c>
      <c r="C3286" t="inlineStr">
        <is>
          <t>T</t>
        </is>
      </c>
      <c r="D3286" t="inlineStr">
        <is>
          <t>G</t>
        </is>
      </c>
      <c r="E3286" t="inlineStr">
        <is>
          <t>rs10041806</t>
        </is>
      </c>
      <c r="F3286" t="n">
        <v>-0.002407179506</v>
      </c>
      <c r="G3286" t="n">
        <v>0.8886163834940221</v>
      </c>
      <c r="H3286" t="n">
        <v>0.0232709026906359</v>
      </c>
      <c r="I3286" t="n">
        <v>0.0390888826735087</v>
      </c>
      <c r="J3286" t="n">
        <v>0.0008041716403844</v>
      </c>
      <c r="K3286" t="n">
        <v>0.927762112704006</v>
      </c>
      <c r="L3286" t="b">
        <v>0</v>
      </c>
      <c r="M3286" t="b">
        <v>0</v>
      </c>
      <c r="N3286" t="inlineStr">
        <is>
          <t>ref</t>
        </is>
      </c>
      <c r="O3286" t="n">
        <v>-35</v>
      </c>
      <c r="P3286" t="n">
        <v>0.01814</v>
      </c>
      <c r="Q3286" t="n">
        <v>50</v>
      </c>
      <c r="R3286" t="n">
        <v>0.03894</v>
      </c>
      <c r="S3286">
        <f>IMAGE("https://mitra.stanford.edu/kundaje/oak/projects/neuro-variants/variant_position/credible/roussos_2024/variant_figures/roussos_2024.childhood.GABA/rs10041806_count_position.png",4,220,900)</f>
        <v/>
      </c>
      <c r="T3286">
        <f>IMAGE("https://mitra.stanford.edu/kundaje/oak/projects/neuro-variants/variant_position/credible/roussos_2024/variant_figures/roussos_2024.childhood.GABA/rs10041806_profile_position.png",4,220,900)</f>
        <v/>
      </c>
    </row>
    <row r="3287">
      <c r="A3287" t="inlineStr">
        <is>
          <t>chr5</t>
        </is>
      </c>
      <c r="B3287" t="n">
        <v>102378038</v>
      </c>
      <c r="C3287" t="inlineStr">
        <is>
          <t>T</t>
        </is>
      </c>
      <c r="D3287" t="inlineStr">
        <is>
          <t>A</t>
        </is>
      </c>
      <c r="E3287" t="inlineStr">
        <is>
          <t>rs9327850</t>
        </is>
      </c>
      <c r="F3287" t="n">
        <v>0.0021662130199999</v>
      </c>
      <c r="G3287" t="n">
        <v>0.8036803587846925</v>
      </c>
      <c r="H3287" t="n">
        <v>0.019919972830225</v>
      </c>
      <c r="I3287" t="n">
        <v>0.07736831276266461</v>
      </c>
      <c r="J3287" t="n">
        <v>0.0004439697597955</v>
      </c>
      <c r="K3287" t="n">
        <v>0.9477972057695312</v>
      </c>
      <c r="L3287" t="b">
        <v>0</v>
      </c>
      <c r="M3287" t="b">
        <v>0</v>
      </c>
      <c r="N3287" t="inlineStr">
        <is>
          <t>alt</t>
        </is>
      </c>
      <c r="O3287" t="n">
        <v>-5</v>
      </c>
      <c r="P3287" t="n">
        <v>0.002625</v>
      </c>
      <c r="Q3287" t="n">
        <v>-75</v>
      </c>
      <c r="R3287" t="n">
        <v>0.0323</v>
      </c>
      <c r="S3287">
        <f>IMAGE("https://mitra.stanford.edu/kundaje/oak/projects/neuro-variants/variant_position/credible/roussos_2024/variant_figures/roussos_2024.childhood.GABA/rs9327850_count_position.png",4,220,900)</f>
        <v/>
      </c>
      <c r="T3287">
        <f>IMAGE("https://mitra.stanford.edu/kundaje/oak/projects/neuro-variants/variant_position/credible/roussos_2024/variant_figures/roussos_2024.childhood.GABA/rs9327850_profile_position.png",4,220,900)</f>
        <v/>
      </c>
    </row>
    <row r="3288">
      <c r="A3288" t="inlineStr">
        <is>
          <t>chr5</t>
        </is>
      </c>
      <c r="B3288" t="n">
        <v>102379394</v>
      </c>
      <c r="C3288" t="inlineStr">
        <is>
          <t>G</t>
        </is>
      </c>
      <c r="D3288" t="inlineStr">
        <is>
          <t>T</t>
        </is>
      </c>
      <c r="E3288" t="inlineStr">
        <is>
          <t>rs9327851</t>
        </is>
      </c>
      <c r="F3288" t="n">
        <v>-0.00115433772</v>
      </c>
      <c r="G3288" t="n">
        <v>0.853453744116237</v>
      </c>
      <c r="H3288" t="n">
        <v>0.0069269216171578</v>
      </c>
      <c r="I3288" t="n">
        <v>0.9453668415008628</v>
      </c>
      <c r="J3288" t="n">
        <v>3.874264413310716e-05</v>
      </c>
      <c r="K3288" t="n">
        <v>0.9901246875533508</v>
      </c>
      <c r="L3288" t="b">
        <v>0</v>
      </c>
      <c r="M3288" t="b">
        <v>0</v>
      </c>
      <c r="N3288" t="inlineStr">
        <is>
          <t>ref</t>
        </is>
      </c>
      <c r="O3288" t="n">
        <v>-20</v>
      </c>
      <c r="P3288" t="n">
        <v>0.002136</v>
      </c>
      <c r="Q3288" t="n">
        <v>100</v>
      </c>
      <c r="R3288" t="n">
        <v>0.05792</v>
      </c>
      <c r="S3288">
        <f>IMAGE("https://mitra.stanford.edu/kundaje/oak/projects/neuro-variants/variant_position/credible/roussos_2024/variant_figures/roussos_2024.childhood.GABA/rs9327851_count_position.png",4,220,900)</f>
        <v/>
      </c>
      <c r="T3288">
        <f>IMAGE("https://mitra.stanford.edu/kundaje/oak/projects/neuro-variants/variant_position/credible/roussos_2024/variant_figures/roussos_2024.childhood.GABA/rs9327851_profile_position.png",4,220,900)</f>
        <v/>
      </c>
    </row>
    <row r="3289">
      <c r="A3289" t="inlineStr">
        <is>
          <t>chr5</t>
        </is>
      </c>
      <c r="B3289" t="n">
        <v>102390944</v>
      </c>
      <c r="C3289" t="inlineStr">
        <is>
          <t>C</t>
        </is>
      </c>
      <c r="D3289" t="inlineStr">
        <is>
          <t>A</t>
        </is>
      </c>
      <c r="E3289" t="inlineStr">
        <is>
          <t>rs6874612</t>
        </is>
      </c>
      <c r="F3289" t="n">
        <v>-0.00422222002</v>
      </c>
      <c r="G3289" t="n">
        <v>0.8358985153367393</v>
      </c>
      <c r="H3289" t="n">
        <v>0.0405016889693394</v>
      </c>
      <c r="I3289" t="n">
        <v>0.0036518472359149</v>
      </c>
      <c r="J3289" t="n">
        <v>0.0083045381248559</v>
      </c>
      <c r="K3289" t="n">
        <v>0.762022647744058</v>
      </c>
      <c r="L3289" t="b">
        <v>0</v>
      </c>
      <c r="M3289" t="b">
        <v>0</v>
      </c>
      <c r="N3289" t="inlineStr">
        <is>
          <t>ref</t>
        </is>
      </c>
      <c r="O3289" t="n">
        <v>85</v>
      </c>
      <c r="P3289" t="n">
        <v>0.009384</v>
      </c>
      <c r="Q3289" t="n">
        <v>40</v>
      </c>
      <c r="R3289" t="n">
        <v>0.02397</v>
      </c>
      <c r="S3289">
        <f>IMAGE("https://mitra.stanford.edu/kundaje/oak/projects/neuro-variants/variant_position/credible/roussos_2024/variant_figures/roussos_2024.childhood.GABA/rs6874612_count_position.png",4,220,900)</f>
        <v/>
      </c>
      <c r="T3289">
        <f>IMAGE("https://mitra.stanford.edu/kundaje/oak/projects/neuro-variants/variant_position/credible/roussos_2024/variant_figures/roussos_2024.childhood.GABA/rs6874612_profile_position.png",4,220,900)</f>
        <v/>
      </c>
    </row>
    <row r="3290">
      <c r="A3290" t="inlineStr">
        <is>
          <t>chr5</t>
        </is>
      </c>
      <c r="B3290" t="n">
        <v>102400017</v>
      </c>
      <c r="C3290" t="inlineStr">
        <is>
          <t>G</t>
        </is>
      </c>
      <c r="D3290" t="inlineStr">
        <is>
          <t>A</t>
        </is>
      </c>
      <c r="E3290" t="inlineStr">
        <is>
          <t>rs9285946</t>
        </is>
      </c>
      <c r="F3290" t="n">
        <v>-0.0295511731999999</v>
      </c>
      <c r="G3290" t="n">
        <v>0.3140171335100902</v>
      </c>
      <c r="H3290" t="n">
        <v>0.0286460449178673</v>
      </c>
      <c r="I3290" t="n">
        <v>0.0154381668574983</v>
      </c>
      <c r="J3290" t="n">
        <v>0.0010743230508261</v>
      </c>
      <c r="K3290" t="n">
        <v>0.916080317285121</v>
      </c>
      <c r="L3290" t="b">
        <v>0</v>
      </c>
      <c r="M3290" t="b">
        <v>0</v>
      </c>
      <c r="N3290" t="inlineStr">
        <is>
          <t>ref</t>
        </is>
      </c>
      <c r="O3290" t="n">
        <v>-75</v>
      </c>
      <c r="P3290" t="n">
        <v>0.007996</v>
      </c>
      <c r="Q3290" t="n">
        <v>50</v>
      </c>
      <c r="R3290" t="n">
        <v>0.0441</v>
      </c>
      <c r="S3290">
        <f>IMAGE("https://mitra.stanford.edu/kundaje/oak/projects/neuro-variants/variant_position/credible/roussos_2024/variant_figures/roussos_2024.childhood.GABA/rs9285946_count_position.png",4,220,900)</f>
        <v/>
      </c>
      <c r="T3290">
        <f>IMAGE("https://mitra.stanford.edu/kundaje/oak/projects/neuro-variants/variant_position/credible/roussos_2024/variant_figures/roussos_2024.childhood.GABA/rs9285946_profile_position.png",4,220,900)</f>
        <v/>
      </c>
    </row>
    <row r="3291">
      <c r="A3291" t="inlineStr">
        <is>
          <t>chr5</t>
        </is>
      </c>
      <c r="B3291" t="n">
        <v>102400632</v>
      </c>
      <c r="C3291" t="inlineStr">
        <is>
          <t>A</t>
        </is>
      </c>
      <c r="D3291" t="inlineStr">
        <is>
          <t>C</t>
        </is>
      </c>
      <c r="E3291" t="inlineStr">
        <is>
          <t>rs7721084</t>
        </is>
      </c>
      <c r="F3291" t="n">
        <v>0.00080137444</v>
      </c>
      <c r="G3291" t="n">
        <v>0.7376253417939832</v>
      </c>
      <c r="H3291" t="n">
        <v>0.026097319601887</v>
      </c>
      <c r="I3291" t="n">
        <v>0.0235870243511034</v>
      </c>
      <c r="J3291" t="n">
        <v>0.0001486879855918</v>
      </c>
      <c r="K3291" t="n">
        <v>0.9678701272301909</v>
      </c>
      <c r="L3291" t="b">
        <v>0</v>
      </c>
      <c r="M3291" t="b">
        <v>0</v>
      </c>
      <c r="N3291" t="inlineStr">
        <is>
          <t>alt</t>
        </is>
      </c>
      <c r="O3291" t="n">
        <v>-90</v>
      </c>
      <c r="P3291" t="n">
        <v>0.001415</v>
      </c>
      <c r="Q3291" t="n">
        <v>-90</v>
      </c>
      <c r="R3291" t="n">
        <v>0.1037</v>
      </c>
      <c r="S3291">
        <f>IMAGE("https://mitra.stanford.edu/kundaje/oak/projects/neuro-variants/variant_position/credible/roussos_2024/variant_figures/roussos_2024.childhood.GABA/rs7721084_count_position.png",4,220,900)</f>
        <v/>
      </c>
      <c r="T3291">
        <f>IMAGE("https://mitra.stanford.edu/kundaje/oak/projects/neuro-variants/variant_position/credible/roussos_2024/variant_figures/roussos_2024.childhood.GABA/rs7721084_profile_position.png",4,220,900)</f>
        <v/>
      </c>
    </row>
    <row r="3292">
      <c r="A3292" t="inlineStr">
        <is>
          <t>chr5</t>
        </is>
      </c>
      <c r="B3292" t="n">
        <v>102406880</v>
      </c>
      <c r="C3292" t="inlineStr">
        <is>
          <t>C</t>
        </is>
      </c>
      <c r="D3292" t="inlineStr">
        <is>
          <t>T</t>
        </is>
      </c>
      <c r="E3292" t="inlineStr">
        <is>
          <t>rs10057126</t>
        </is>
      </c>
      <c r="F3292" t="n">
        <v>0.0412388899999999</v>
      </c>
      <c r="G3292" t="n">
        <v>0.2268670550490691</v>
      </c>
      <c r="H3292" t="n">
        <v>0.0211373293010219</v>
      </c>
      <c r="I3292" t="n">
        <v>0.0615556289359725</v>
      </c>
      <c r="J3292" t="n">
        <v>0.0710006073171242</v>
      </c>
      <c r="K3292" t="n">
        <v>0.4269582813782059</v>
      </c>
      <c r="L3292" t="b">
        <v>0</v>
      </c>
      <c r="M3292" t="b">
        <v>0</v>
      </c>
      <c r="N3292" t="inlineStr">
        <is>
          <t>alt</t>
        </is>
      </c>
      <c r="O3292" t="n">
        <v>-35</v>
      </c>
      <c r="P3292" t="n">
        <v>0.004105</v>
      </c>
      <c r="Q3292" t="n">
        <v>70</v>
      </c>
      <c r="R3292" t="n">
        <v>0.0835</v>
      </c>
      <c r="S3292">
        <f>IMAGE("https://mitra.stanford.edu/kundaje/oak/projects/neuro-variants/variant_position/credible/roussos_2024/variant_figures/roussos_2024.childhood.GABA/rs10057126_count_position.png",4,220,900)</f>
        <v/>
      </c>
      <c r="T3292">
        <f>IMAGE("https://mitra.stanford.edu/kundaje/oak/projects/neuro-variants/variant_position/credible/roussos_2024/variant_figures/roussos_2024.childhood.GABA/rs10057126_profile_position.png",4,220,900)</f>
        <v/>
      </c>
    </row>
    <row r="3293">
      <c r="A3293" t="inlineStr">
        <is>
          <t>chr5</t>
        </is>
      </c>
      <c r="B3293" t="n">
        <v>102407922</v>
      </c>
      <c r="C3293" t="inlineStr">
        <is>
          <t>T</t>
        </is>
      </c>
      <c r="D3293" t="inlineStr">
        <is>
          <t>G</t>
        </is>
      </c>
      <c r="E3293" t="inlineStr">
        <is>
          <t>rs1901522</t>
        </is>
      </c>
      <c r="F3293" t="n">
        <v>0.0197515536</v>
      </c>
      <c r="G3293" t="n">
        <v>0.4055968015655359</v>
      </c>
      <c r="H3293" t="n">
        <v>0.0094596588903845</v>
      </c>
      <c r="I3293" t="n">
        <v>0.6964221197725778</v>
      </c>
      <c r="J3293" t="n">
        <v>0.0139347867060375</v>
      </c>
      <c r="K3293" t="n">
        <v>0.7040166603009305</v>
      </c>
      <c r="L3293" t="b">
        <v>0</v>
      </c>
      <c r="M3293" t="b">
        <v>0</v>
      </c>
      <c r="N3293" t="inlineStr">
        <is>
          <t>alt</t>
        </is>
      </c>
      <c r="O3293" t="n">
        <v>-5</v>
      </c>
      <c r="P3293" t="n">
        <v>0.003092</v>
      </c>
      <c r="Q3293" t="n">
        <v>-100</v>
      </c>
      <c r="R3293" t="n">
        <v>0.08246000000000001</v>
      </c>
      <c r="S3293">
        <f>IMAGE("https://mitra.stanford.edu/kundaje/oak/projects/neuro-variants/variant_position/credible/roussos_2024/variant_figures/roussos_2024.childhood.GABA/rs1901522_count_position.png",4,220,900)</f>
        <v/>
      </c>
      <c r="T3293">
        <f>IMAGE("https://mitra.stanford.edu/kundaje/oak/projects/neuro-variants/variant_position/credible/roussos_2024/variant_figures/roussos_2024.childhood.GABA/rs1901522_profile_position.png",4,220,900)</f>
        <v/>
      </c>
    </row>
    <row r="3294">
      <c r="A3294" t="inlineStr">
        <is>
          <t>chr5</t>
        </is>
      </c>
      <c r="B3294" t="n">
        <v>102409208</v>
      </c>
      <c r="C3294" t="inlineStr">
        <is>
          <t>C</t>
        </is>
      </c>
      <c r="D3294" t="inlineStr">
        <is>
          <t>G</t>
        </is>
      </c>
      <c r="E3294" t="inlineStr">
        <is>
          <t>rs2060834</t>
        </is>
      </c>
      <c r="F3294" t="n">
        <v>-0.1618322579999999</v>
      </c>
      <c r="G3294" t="n">
        <v>0.010873175504619</v>
      </c>
      <c r="H3294" t="n">
        <v>0.0209206127701607</v>
      </c>
      <c r="I3294" t="n">
        <v>0.0667697217934201</v>
      </c>
      <c r="J3294" t="n">
        <v>0.0332673661284579</v>
      </c>
      <c r="K3294" t="n">
        <v>0.5625027450638057</v>
      </c>
      <c r="L3294" t="b">
        <v>1</v>
      </c>
      <c r="M3294" t="b">
        <v>0</v>
      </c>
      <c r="N3294" t="inlineStr">
        <is>
          <t>ref</t>
        </is>
      </c>
      <c r="O3294" t="n">
        <v>65</v>
      </c>
      <c r="P3294" t="n">
        <v>0.0211</v>
      </c>
      <c r="Q3294" t="n">
        <v>-100</v>
      </c>
      <c r="R3294" t="n">
        <v>0.0801</v>
      </c>
      <c r="S3294">
        <f>IMAGE("https://mitra.stanford.edu/kundaje/oak/projects/neuro-variants/variant_position/credible/roussos_2024/variant_figures/roussos_2024.childhood.GABA/rs2060834_count_position.png",4,220,900)</f>
        <v/>
      </c>
      <c r="T3294">
        <f>IMAGE("https://mitra.stanford.edu/kundaje/oak/projects/neuro-variants/variant_position/credible/roussos_2024/variant_figures/roussos_2024.childhood.GABA/rs2060834_profile_position.png",4,220,900)</f>
        <v/>
      </c>
    </row>
    <row r="3295">
      <c r="A3295" t="inlineStr">
        <is>
          <t>chr5</t>
        </is>
      </c>
      <c r="B3295" t="n">
        <v>102412134</v>
      </c>
      <c r="C3295" t="inlineStr">
        <is>
          <t>T</t>
        </is>
      </c>
      <c r="D3295" t="inlineStr">
        <is>
          <t>C</t>
        </is>
      </c>
      <c r="E3295" t="inlineStr">
        <is>
          <t>rs9986226</t>
        </is>
      </c>
      <c r="F3295" t="n">
        <v>0.132547174</v>
      </c>
      <c r="G3295" t="n">
        <v>0.0167107849344191</v>
      </c>
      <c r="H3295" t="n">
        <v>0.0212745874605062</v>
      </c>
      <c r="I3295" t="n">
        <v>0.0628021400012972</v>
      </c>
      <c r="J3295" t="n">
        <v>0.0289072480157483</v>
      </c>
      <c r="K3295" t="n">
        <v>0.5955101274438632</v>
      </c>
      <c r="L3295" t="b">
        <v>1</v>
      </c>
      <c r="M3295" t="b">
        <v>0</v>
      </c>
      <c r="N3295" t="inlineStr">
        <is>
          <t>alt</t>
        </is>
      </c>
      <c r="O3295" t="n">
        <v>-90</v>
      </c>
      <c r="P3295" t="n">
        <v>0.006844</v>
      </c>
      <c r="Q3295" t="n">
        <v>90</v>
      </c>
      <c r="R3295" t="n">
        <v>0.09984999999999999</v>
      </c>
      <c r="S3295">
        <f>IMAGE("https://mitra.stanford.edu/kundaje/oak/projects/neuro-variants/variant_position/credible/roussos_2024/variant_figures/roussos_2024.childhood.GABA/rs9986226_count_position.png",4,220,900)</f>
        <v/>
      </c>
      <c r="T3295">
        <f>IMAGE("https://mitra.stanford.edu/kundaje/oak/projects/neuro-variants/variant_position/credible/roussos_2024/variant_figures/roussos_2024.childhood.GABA/rs9986226_profile_position.png",4,220,900)</f>
        <v/>
      </c>
    </row>
    <row r="3296">
      <c r="A3296" t="inlineStr">
        <is>
          <t>chr5</t>
        </is>
      </c>
      <c r="B3296" t="n">
        <v>102418079</v>
      </c>
      <c r="C3296" t="inlineStr">
        <is>
          <t>A</t>
        </is>
      </c>
      <c r="D3296" t="inlineStr">
        <is>
          <t>C</t>
        </is>
      </c>
      <c r="E3296" t="inlineStr">
        <is>
          <t>rs1597770</t>
        </is>
      </c>
      <c r="F3296" t="n">
        <v>-0.00753157522</v>
      </c>
      <c r="G3296" t="n">
        <v>0.7175107993229837</v>
      </c>
      <c r="H3296" t="n">
        <v>0.0181589008997697</v>
      </c>
      <c r="I3296" t="n">
        <v>0.1133943541663463</v>
      </c>
      <c r="J3296" t="n">
        <v>5.026072752403091e-05</v>
      </c>
      <c r="K3296" t="n">
        <v>0.989342636485864</v>
      </c>
      <c r="L3296" t="b">
        <v>0</v>
      </c>
      <c r="M3296" t="b">
        <v>0</v>
      </c>
      <c r="N3296" t="inlineStr">
        <is>
          <t>ref</t>
        </is>
      </c>
      <c r="O3296" t="n">
        <v>40</v>
      </c>
      <c r="P3296" t="n">
        <v>0.001556</v>
      </c>
      <c r="Q3296" t="n">
        <v>-100</v>
      </c>
      <c r="R3296" t="n">
        <v>0.01041</v>
      </c>
      <c r="S3296">
        <f>IMAGE("https://mitra.stanford.edu/kundaje/oak/projects/neuro-variants/variant_position/credible/roussos_2024/variant_figures/roussos_2024.childhood.GABA/rs1597770_count_position.png",4,220,900)</f>
        <v/>
      </c>
      <c r="T3296">
        <f>IMAGE("https://mitra.stanford.edu/kundaje/oak/projects/neuro-variants/variant_position/credible/roussos_2024/variant_figures/roussos_2024.childhood.GABA/rs1597770_profile_position.png",4,220,900)</f>
        <v/>
      </c>
    </row>
    <row r="3297">
      <c r="A3297" t="inlineStr">
        <is>
          <t>chr5</t>
        </is>
      </c>
      <c r="B3297" t="n">
        <v>102418412</v>
      </c>
      <c r="C3297" t="inlineStr">
        <is>
          <t>T</t>
        </is>
      </c>
      <c r="D3297" t="inlineStr">
        <is>
          <t>A</t>
        </is>
      </c>
      <c r="E3297" t="inlineStr">
        <is>
          <t>rs1470794</t>
        </is>
      </c>
      <c r="F3297" t="n">
        <v>0.00152364026</v>
      </c>
      <c r="G3297" t="n">
        <v>0.782010445062185</v>
      </c>
      <c r="H3297" t="n">
        <v>0.0184323659057738</v>
      </c>
      <c r="I3297" t="n">
        <v>0.103641456307858</v>
      </c>
      <c r="J3297" t="n">
        <v>0.0011183011874096</v>
      </c>
      <c r="K3297" t="n">
        <v>0.9194453074358973</v>
      </c>
      <c r="L3297" t="b">
        <v>0</v>
      </c>
      <c r="M3297" t="b">
        <v>0</v>
      </c>
      <c r="N3297" t="inlineStr">
        <is>
          <t>alt</t>
        </is>
      </c>
      <c r="O3297" t="n">
        <v>-5</v>
      </c>
      <c r="P3297" t="n">
        <v>0.0006713999999999999</v>
      </c>
      <c r="Q3297" t="n">
        <v>80</v>
      </c>
      <c r="R3297" t="n">
        <v>0.02173</v>
      </c>
      <c r="S3297">
        <f>IMAGE("https://mitra.stanford.edu/kundaje/oak/projects/neuro-variants/variant_position/credible/roussos_2024/variant_figures/roussos_2024.childhood.GABA/rs1470794_count_position.png",4,220,900)</f>
        <v/>
      </c>
      <c r="T3297">
        <f>IMAGE("https://mitra.stanford.edu/kundaje/oak/projects/neuro-variants/variant_position/credible/roussos_2024/variant_figures/roussos_2024.childhood.GABA/rs1470794_profile_position.png",4,220,900)</f>
        <v/>
      </c>
    </row>
    <row r="3298">
      <c r="A3298" t="inlineStr">
        <is>
          <t>chr5</t>
        </is>
      </c>
      <c r="B3298" t="n">
        <v>102421561</v>
      </c>
      <c r="C3298" t="inlineStr">
        <is>
          <t>G</t>
        </is>
      </c>
      <c r="D3298" t="inlineStr">
        <is>
          <t>T</t>
        </is>
      </c>
      <c r="E3298" t="inlineStr">
        <is>
          <t>rs6878326</t>
        </is>
      </c>
      <c r="F3298" t="n">
        <v>-0.00888784024</v>
      </c>
      <c r="G3298" t="n">
        <v>0.6759976379064646</v>
      </c>
      <c r="H3298" t="n">
        <v>0.0113191431976132</v>
      </c>
      <c r="I3298" t="n">
        <v>0.5033411355807176</v>
      </c>
      <c r="J3298" t="n">
        <v>0.3997926744989634</v>
      </c>
      <c r="K3298" t="n">
        <v>0.0849639604827328</v>
      </c>
      <c r="L3298" t="b">
        <v>0</v>
      </c>
      <c r="M3298" t="b">
        <v>0</v>
      </c>
      <c r="N3298" t="inlineStr">
        <is>
          <t>ref</t>
        </is>
      </c>
      <c r="O3298" t="n">
        <v>85</v>
      </c>
      <c r="P3298" t="n">
        <v>0.002144</v>
      </c>
      <c r="Q3298" t="n">
        <v>95</v>
      </c>
      <c r="R3298" t="n">
        <v>0.09753000000000001</v>
      </c>
      <c r="S3298">
        <f>IMAGE("https://mitra.stanford.edu/kundaje/oak/projects/neuro-variants/variant_position/credible/roussos_2024/variant_figures/roussos_2024.childhood.GABA/rs6878326_count_position.png",4,220,900)</f>
        <v/>
      </c>
      <c r="T3298">
        <f>IMAGE("https://mitra.stanford.edu/kundaje/oak/projects/neuro-variants/variant_position/credible/roussos_2024/variant_figures/roussos_2024.childhood.GABA/rs6878326_profile_position.png",4,220,900)</f>
        <v/>
      </c>
    </row>
    <row r="3299">
      <c r="A3299" t="inlineStr">
        <is>
          <t>chr5</t>
        </is>
      </c>
      <c r="B3299" t="n">
        <v>102424248</v>
      </c>
      <c r="C3299" t="inlineStr">
        <is>
          <t>A</t>
        </is>
      </c>
      <c r="D3299" t="inlineStr">
        <is>
          <t>G</t>
        </is>
      </c>
      <c r="E3299" t="inlineStr">
        <is>
          <t>rs4413509</t>
        </is>
      </c>
      <c r="F3299" t="n">
        <v>0.0469370619999999</v>
      </c>
      <c r="G3299" t="n">
        <v>0.1725642052181885</v>
      </c>
      <c r="H3299" t="n">
        <v>0.0149891261784249</v>
      </c>
      <c r="I3299" t="n">
        <v>0.2252109788962496</v>
      </c>
      <c r="J3299" t="n">
        <v>0.0112290842076605</v>
      </c>
      <c r="K3299" t="n">
        <v>0.7266539817132516</v>
      </c>
      <c r="L3299" t="b">
        <v>0</v>
      </c>
      <c r="M3299" t="b">
        <v>0</v>
      </c>
      <c r="N3299" t="inlineStr">
        <is>
          <t>alt</t>
        </is>
      </c>
      <c r="O3299" t="n">
        <v>50</v>
      </c>
      <c r="P3299" t="n">
        <v>0.00221</v>
      </c>
      <c r="Q3299" t="n">
        <v>-5</v>
      </c>
      <c r="R3299" t="n">
        <v>0.002441</v>
      </c>
      <c r="S3299">
        <f>IMAGE("https://mitra.stanford.edu/kundaje/oak/projects/neuro-variants/variant_position/credible/roussos_2024/variant_figures/roussos_2024.childhood.GABA/rs4413509_count_position.png",4,220,900)</f>
        <v/>
      </c>
      <c r="T3299">
        <f>IMAGE("https://mitra.stanford.edu/kundaje/oak/projects/neuro-variants/variant_position/credible/roussos_2024/variant_figures/roussos_2024.childhood.GABA/rs4413509_profile_position.png",4,220,900)</f>
        <v/>
      </c>
    </row>
    <row r="3300">
      <c r="A3300" t="inlineStr">
        <is>
          <t>chr5</t>
        </is>
      </c>
      <c r="B3300" t="n">
        <v>102426015</v>
      </c>
      <c r="C3300" t="inlineStr">
        <is>
          <t>C</t>
        </is>
      </c>
      <c r="D3300" t="inlineStr">
        <is>
          <t>A</t>
        </is>
      </c>
      <c r="E3300" t="inlineStr">
        <is>
          <t>rs9765316</t>
        </is>
      </c>
      <c r="F3300" t="n">
        <v>-0.1228302518</v>
      </c>
      <c r="G3300" t="n">
        <v>0.0170648868736584</v>
      </c>
      <c r="H3300" t="n">
        <v>0.0179899105550396</v>
      </c>
      <c r="I3300" t="n">
        <v>0.1141170385899038</v>
      </c>
      <c r="J3300" t="n">
        <v>0.005574752361207</v>
      </c>
      <c r="K3300" t="n">
        <v>0.8114224207822023</v>
      </c>
      <c r="L3300" t="b">
        <v>1</v>
      </c>
      <c r="M3300" t="b">
        <v>0</v>
      </c>
      <c r="N3300" t="inlineStr">
        <is>
          <t>ref</t>
        </is>
      </c>
      <c r="O3300" t="n">
        <v>-30</v>
      </c>
      <c r="P3300" t="n">
        <v>0.003492</v>
      </c>
      <c r="Q3300" t="n">
        <v>-90</v>
      </c>
      <c r="R3300" t="n">
        <v>0.052</v>
      </c>
      <c r="S3300">
        <f>IMAGE("https://mitra.stanford.edu/kundaje/oak/projects/neuro-variants/variant_position/credible/roussos_2024/variant_figures/roussos_2024.childhood.GABA/rs9765316_count_position.png",4,220,900)</f>
        <v/>
      </c>
      <c r="T3300">
        <f>IMAGE("https://mitra.stanford.edu/kundaje/oak/projects/neuro-variants/variant_position/credible/roussos_2024/variant_figures/roussos_2024.childhood.GABA/rs9765316_profile_position.png",4,220,900)</f>
        <v/>
      </c>
    </row>
    <row r="3301">
      <c r="A3301" t="inlineStr">
        <is>
          <t>chr5</t>
        </is>
      </c>
      <c r="B3301" t="n">
        <v>102434280</v>
      </c>
      <c r="C3301" t="inlineStr">
        <is>
          <t>T</t>
        </is>
      </c>
      <c r="D3301" t="inlineStr">
        <is>
          <t>C</t>
        </is>
      </c>
      <c r="E3301" t="inlineStr">
        <is>
          <t>rs10038801</t>
        </is>
      </c>
      <c r="F3301" t="n">
        <v>0.045565589034</v>
      </c>
      <c r="G3301" t="n">
        <v>0.2036455039279605</v>
      </c>
      <c r="H3301" t="n">
        <v>0.0135895708657035</v>
      </c>
      <c r="I3301" t="n">
        <v>0.2884999277454947</v>
      </c>
      <c r="J3301" t="n">
        <v>0.042968733639086</v>
      </c>
      <c r="K3301" t="n">
        <v>0.5275323618486605</v>
      </c>
      <c r="L3301" t="b">
        <v>0</v>
      </c>
      <c r="M3301" t="b">
        <v>0</v>
      </c>
      <c r="N3301" t="inlineStr">
        <is>
          <t>alt</t>
        </is>
      </c>
      <c r="O3301" t="n">
        <v>-100</v>
      </c>
      <c r="P3301" t="n">
        <v>0.011536</v>
      </c>
      <c r="Q3301" t="n">
        <v>-15</v>
      </c>
      <c r="R3301" t="n">
        <v>0.02307</v>
      </c>
      <c r="S3301">
        <f>IMAGE("https://mitra.stanford.edu/kundaje/oak/projects/neuro-variants/variant_position/credible/roussos_2024/variant_figures/roussos_2024.childhood.GABA/rs10038801_count_position.png",4,220,900)</f>
        <v/>
      </c>
      <c r="T3301">
        <f>IMAGE("https://mitra.stanford.edu/kundaje/oak/projects/neuro-variants/variant_position/credible/roussos_2024/variant_figures/roussos_2024.childhood.GABA/rs10038801_profile_position.png",4,220,900)</f>
        <v/>
      </c>
    </row>
    <row r="3302">
      <c r="A3302" t="inlineStr">
        <is>
          <t>chr5</t>
        </is>
      </c>
      <c r="B3302" t="n">
        <v>102440831</v>
      </c>
      <c r="C3302" t="inlineStr">
        <is>
          <t>T</t>
        </is>
      </c>
      <c r="D3302" t="inlineStr">
        <is>
          <t>A</t>
        </is>
      </c>
      <c r="E3302" t="inlineStr">
        <is>
          <t>rs6872341</t>
        </is>
      </c>
      <c r="F3302" t="n">
        <v>0.144991696</v>
      </c>
      <c r="G3302" t="n">
        <v>0.0118145056085822</v>
      </c>
      <c r="H3302" t="n">
        <v>0.0236360363873371</v>
      </c>
      <c r="I3302" t="n">
        <v>0.04268274830615</v>
      </c>
      <c r="J3302" t="n">
        <v>0.0258895101673263</v>
      </c>
      <c r="K3302" t="n">
        <v>0.616798804228784</v>
      </c>
      <c r="L3302" t="b">
        <v>1</v>
      </c>
      <c r="M3302" t="b">
        <v>0</v>
      </c>
      <c r="N3302" t="inlineStr">
        <is>
          <t>alt</t>
        </is>
      </c>
      <c r="O3302" t="n">
        <v>65</v>
      </c>
      <c r="P3302" t="n">
        <v>0.003963</v>
      </c>
      <c r="Q3302" t="n">
        <v>70</v>
      </c>
      <c r="R3302" t="n">
        <v>0.10046</v>
      </c>
      <c r="S3302">
        <f>IMAGE("https://mitra.stanford.edu/kundaje/oak/projects/neuro-variants/variant_position/credible/roussos_2024/variant_figures/roussos_2024.childhood.GABA/rs6872341_count_position.png",4,220,900)</f>
        <v/>
      </c>
      <c r="T3302">
        <f>IMAGE("https://mitra.stanford.edu/kundaje/oak/projects/neuro-variants/variant_position/credible/roussos_2024/variant_figures/roussos_2024.childhood.GABA/rs6872341_profile_position.png",4,220,900)</f>
        <v/>
      </c>
    </row>
    <row r="3303">
      <c r="A3303" t="inlineStr">
        <is>
          <t>chr5</t>
        </is>
      </c>
      <c r="B3303" t="n">
        <v>102442539</v>
      </c>
      <c r="C3303" t="inlineStr">
        <is>
          <t>C</t>
        </is>
      </c>
      <c r="D3303" t="inlineStr">
        <is>
          <t>T</t>
        </is>
      </c>
      <c r="E3303" t="inlineStr">
        <is>
          <t>rs1376909</t>
        </is>
      </c>
      <c r="F3303" t="n">
        <v>-0.05204200152</v>
      </c>
      <c r="G3303" t="n">
        <v>0.1293282303052381</v>
      </c>
      <c r="H3303" t="n">
        <v>0.0122344146518458</v>
      </c>
      <c r="I3303" t="n">
        <v>0.4200451829020237</v>
      </c>
      <c r="J3303" t="n">
        <v>0.0783690393918451</v>
      </c>
      <c r="K3303" t="n">
        <v>0.4020322267907442</v>
      </c>
      <c r="L3303" t="b">
        <v>0</v>
      </c>
      <c r="M3303" t="b">
        <v>0</v>
      </c>
      <c r="N3303" t="inlineStr">
        <is>
          <t>ref</t>
        </is>
      </c>
      <c r="O3303" t="n">
        <v>20</v>
      </c>
      <c r="P3303" t="n">
        <v>0.002487</v>
      </c>
      <c r="Q3303" t="n">
        <v>100</v>
      </c>
      <c r="R3303" t="n">
        <v>0.0498</v>
      </c>
      <c r="S3303">
        <f>IMAGE("https://mitra.stanford.edu/kundaje/oak/projects/neuro-variants/variant_position/credible/roussos_2024/variant_figures/roussos_2024.childhood.GABA/rs1376909_count_position.png",4,220,900)</f>
        <v/>
      </c>
      <c r="T3303">
        <f>IMAGE("https://mitra.stanford.edu/kundaje/oak/projects/neuro-variants/variant_position/credible/roussos_2024/variant_figures/roussos_2024.childhood.GABA/rs1376909_profile_position.png",4,220,900)</f>
        <v/>
      </c>
    </row>
    <row r="3304">
      <c r="A3304" t="inlineStr">
        <is>
          <t>chr5</t>
        </is>
      </c>
      <c r="B3304" t="n">
        <v>102443908</v>
      </c>
      <c r="C3304" t="inlineStr">
        <is>
          <t>A</t>
        </is>
      </c>
      <c r="D3304" t="inlineStr">
        <is>
          <t>G</t>
        </is>
      </c>
      <c r="E3304" t="inlineStr">
        <is>
          <t>rs7724920</t>
        </is>
      </c>
      <c r="F3304" t="n">
        <v>0.0407893144</v>
      </c>
      <c r="G3304" t="n">
        <v>0.1980626429606852</v>
      </c>
      <c r="H3304" t="n">
        <v>0.007832856286354301</v>
      </c>
      <c r="I3304" t="n">
        <v>0.8713105163312377</v>
      </c>
      <c r="J3304" t="n">
        <v>0.0338757303511968</v>
      </c>
      <c r="K3304" t="n">
        <v>0.5621503622073638</v>
      </c>
      <c r="L3304" t="b">
        <v>0</v>
      </c>
      <c r="M3304" t="b">
        <v>0</v>
      </c>
      <c r="N3304" t="inlineStr">
        <is>
          <t>alt</t>
        </is>
      </c>
      <c r="O3304" t="n">
        <v>-85</v>
      </c>
      <c r="P3304" t="n">
        <v>0.02597</v>
      </c>
      <c r="Q3304" t="n">
        <v>-90</v>
      </c>
      <c r="R3304" t="n">
        <v>0.039</v>
      </c>
      <c r="S3304">
        <f>IMAGE("https://mitra.stanford.edu/kundaje/oak/projects/neuro-variants/variant_position/credible/roussos_2024/variant_figures/roussos_2024.childhood.GABA/rs7724920_count_position.png",4,220,900)</f>
        <v/>
      </c>
      <c r="T3304">
        <f>IMAGE("https://mitra.stanford.edu/kundaje/oak/projects/neuro-variants/variant_position/credible/roussos_2024/variant_figures/roussos_2024.childhood.GABA/rs7724920_profile_position.png",4,220,900)</f>
        <v/>
      </c>
    </row>
    <row r="3305">
      <c r="A3305" t="inlineStr">
        <is>
          <t>chr5</t>
        </is>
      </c>
      <c r="B3305" t="n">
        <v>102445473</v>
      </c>
      <c r="C3305" t="inlineStr">
        <is>
          <t>C</t>
        </is>
      </c>
      <c r="D3305" t="inlineStr">
        <is>
          <t>A</t>
        </is>
      </c>
      <c r="E3305" t="inlineStr">
        <is>
          <t>rs2400797</t>
        </is>
      </c>
      <c r="F3305" t="n">
        <v>0.2353291179999999</v>
      </c>
      <c r="G3305" t="n">
        <v>0.003195757590777</v>
      </c>
      <c r="H3305" t="n">
        <v>0.0343258997700892</v>
      </c>
      <c r="I3305" t="n">
        <v>0.0075891728383981</v>
      </c>
      <c r="J3305" t="n">
        <v>0.0786433791962471</v>
      </c>
      <c r="K3305" t="n">
        <v>0.3944417008825934</v>
      </c>
      <c r="L3305" t="b">
        <v>1</v>
      </c>
      <c r="M3305" t="b">
        <v>1</v>
      </c>
      <c r="N3305" t="inlineStr">
        <is>
          <t>alt</t>
        </is>
      </c>
      <c r="O3305" t="n">
        <v>-100</v>
      </c>
      <c r="P3305" t="n">
        <v>0.03214</v>
      </c>
      <c r="Q3305" t="n">
        <v>-100</v>
      </c>
      <c r="R3305" t="n">
        <v>0.1057</v>
      </c>
      <c r="S3305">
        <f>IMAGE("https://mitra.stanford.edu/kundaje/oak/projects/neuro-variants/variant_position/credible/roussos_2024/variant_figures/roussos_2024.childhood.GABA/rs2400797_count_position.png",4,220,900)</f>
        <v/>
      </c>
      <c r="T3305">
        <f>IMAGE("https://mitra.stanford.edu/kundaje/oak/projects/neuro-variants/variant_position/credible/roussos_2024/variant_figures/roussos_2024.childhood.GABA/rs2400797_profile_position.png",4,220,900)</f>
        <v/>
      </c>
    </row>
    <row r="3306">
      <c r="A3306" t="inlineStr">
        <is>
          <t>chr5</t>
        </is>
      </c>
      <c r="B3306" t="n">
        <v>102452723</v>
      </c>
      <c r="C3306" t="inlineStr">
        <is>
          <t>G</t>
        </is>
      </c>
      <c r="D3306" t="inlineStr">
        <is>
          <t>T</t>
        </is>
      </c>
      <c r="E3306" t="inlineStr">
        <is>
          <t>rs2400799</t>
        </is>
      </c>
      <c r="F3306" t="n">
        <v>-0.0022155034</v>
      </c>
      <c r="G3306" t="n">
        <v>0.6792445074727093</v>
      </c>
      <c r="H3306" t="n">
        <v>0.0215313069965984</v>
      </c>
      <c r="I3306" t="n">
        <v>0.054955238225503</v>
      </c>
      <c r="J3306" t="n">
        <v>0.0004764298129881</v>
      </c>
      <c r="K3306" t="n">
        <v>0.95744198607649</v>
      </c>
      <c r="L3306" t="b">
        <v>0</v>
      </c>
      <c r="M3306" t="b">
        <v>0</v>
      </c>
      <c r="N3306" t="inlineStr">
        <is>
          <t>ref</t>
        </is>
      </c>
      <c r="O3306" t="n">
        <v>10</v>
      </c>
      <c r="P3306" t="n">
        <v>0.0002937</v>
      </c>
      <c r="Q3306" t="n">
        <v>100</v>
      </c>
      <c r="R3306" t="n">
        <v>0.04062</v>
      </c>
      <c r="S3306">
        <f>IMAGE("https://mitra.stanford.edu/kundaje/oak/projects/neuro-variants/variant_position/credible/roussos_2024/variant_figures/roussos_2024.childhood.GABA/rs2400799_count_position.png",4,220,900)</f>
        <v/>
      </c>
      <c r="T3306">
        <f>IMAGE("https://mitra.stanford.edu/kundaje/oak/projects/neuro-variants/variant_position/credible/roussos_2024/variant_figures/roussos_2024.childhood.GABA/rs2400799_profile_position.png",4,220,900)</f>
        <v/>
      </c>
    </row>
    <row r="3307">
      <c r="A3307" t="inlineStr">
        <is>
          <t>chr5</t>
        </is>
      </c>
      <c r="B3307" t="n">
        <v>102462150</v>
      </c>
      <c r="C3307" t="inlineStr">
        <is>
          <t>G</t>
        </is>
      </c>
      <c r="D3307" t="inlineStr">
        <is>
          <t>A</t>
        </is>
      </c>
      <c r="E3307" t="inlineStr">
        <is>
          <t>rs58080162</t>
        </is>
      </c>
      <c r="F3307" t="n">
        <v>0.0054938994</v>
      </c>
      <c r="G3307" t="n">
        <v>0.707759409482474</v>
      </c>
      <c r="H3307" t="n">
        <v>0.0271870191701574</v>
      </c>
      <c r="I3307" t="n">
        <v>0.0197826304815889</v>
      </c>
      <c r="J3307" t="n">
        <v>0.0016209084626499</v>
      </c>
      <c r="K3307" t="n">
        <v>0.8938024541128503</v>
      </c>
      <c r="L3307" t="b">
        <v>0</v>
      </c>
      <c r="M3307" t="b">
        <v>0</v>
      </c>
      <c r="N3307" t="inlineStr">
        <is>
          <t>alt</t>
        </is>
      </c>
      <c r="O3307" t="n">
        <v>100</v>
      </c>
      <c r="P3307" t="n">
        <v>0.01111</v>
      </c>
      <c r="Q3307" t="n">
        <v>100</v>
      </c>
      <c r="R3307" t="n">
        <v>0.03146</v>
      </c>
      <c r="S3307">
        <f>IMAGE("https://mitra.stanford.edu/kundaje/oak/projects/neuro-variants/variant_position/credible/roussos_2024/variant_figures/roussos_2024.childhood.GABA/rs58080162_count_position.png",4,220,900)</f>
        <v/>
      </c>
      <c r="T3307">
        <f>IMAGE("https://mitra.stanford.edu/kundaje/oak/projects/neuro-variants/variant_position/credible/roussos_2024/variant_figures/roussos_2024.childhood.GABA/rs58080162_profile_position.png",4,220,900)</f>
        <v/>
      </c>
    </row>
    <row r="3308">
      <c r="A3308" t="inlineStr">
        <is>
          <t>chr5</t>
        </is>
      </c>
      <c r="B3308" t="n">
        <v>102466680</v>
      </c>
      <c r="C3308" t="inlineStr">
        <is>
          <t>T</t>
        </is>
      </c>
      <c r="D3308" t="inlineStr">
        <is>
          <t>A</t>
        </is>
      </c>
      <c r="E3308" t="inlineStr">
        <is>
          <t>rs10055704</t>
        </is>
      </c>
      <c r="F3308" t="n">
        <v>0.0085930548</v>
      </c>
      <c r="G3308" t="n">
        <v>0.3444711112952502</v>
      </c>
      <c r="H3308" t="n">
        <v>0.0086541657625485</v>
      </c>
      <c r="I3308" t="n">
        <v>0.7896841786760092</v>
      </c>
      <c r="J3308" t="n">
        <v>0.0057998785365751</v>
      </c>
      <c r="K3308" t="n">
        <v>0.7959560575980583</v>
      </c>
      <c r="L3308" t="b">
        <v>0</v>
      </c>
      <c r="M3308" t="b">
        <v>0</v>
      </c>
      <c r="N3308" t="inlineStr">
        <is>
          <t>alt</t>
        </is>
      </c>
      <c r="O3308" t="n">
        <v>75</v>
      </c>
      <c r="P3308" t="n">
        <v>0.00485</v>
      </c>
      <c r="Q3308" t="n">
        <v>-55</v>
      </c>
      <c r="R3308" t="n">
        <v>0.0393</v>
      </c>
      <c r="S3308">
        <f>IMAGE("https://mitra.stanford.edu/kundaje/oak/projects/neuro-variants/variant_position/credible/roussos_2024/variant_figures/roussos_2024.childhood.GABA/rs10055704_count_position.png",4,220,900)</f>
        <v/>
      </c>
      <c r="T3308">
        <f>IMAGE("https://mitra.stanford.edu/kundaje/oak/projects/neuro-variants/variant_position/credible/roussos_2024/variant_figures/roussos_2024.childhood.GABA/rs10055704_profile_position.png",4,220,900)</f>
        <v/>
      </c>
    </row>
    <row r="3309">
      <c r="A3309" t="inlineStr">
        <is>
          <t>chr5</t>
        </is>
      </c>
      <c r="B3309" t="n">
        <v>102495921</v>
      </c>
      <c r="C3309" t="inlineStr">
        <is>
          <t>G</t>
        </is>
      </c>
      <c r="D3309" t="inlineStr">
        <is>
          <t>A</t>
        </is>
      </c>
      <c r="E3309" t="inlineStr">
        <is>
          <t>rs11242471</t>
        </is>
      </c>
      <c r="F3309" t="n">
        <v>-0.0120994969999999</v>
      </c>
      <c r="G3309" t="n">
        <v>0.5916771458901724</v>
      </c>
      <c r="H3309" t="n">
        <v>0.0072996108568394</v>
      </c>
      <c r="I3309" t="n">
        <v>0.9043334691761742</v>
      </c>
      <c r="J3309" t="n">
        <v>0.0168300140311197</v>
      </c>
      <c r="K3309" t="n">
        <v>0.6868317103044199</v>
      </c>
      <c r="L3309" t="b">
        <v>0</v>
      </c>
      <c r="M3309" t="b">
        <v>0</v>
      </c>
      <c r="N3309" t="inlineStr">
        <is>
          <t>ref</t>
        </is>
      </c>
      <c r="O3309" t="n">
        <v>-100</v>
      </c>
      <c r="P3309" t="n">
        <v>0.006584</v>
      </c>
      <c r="Q3309" t="n">
        <v>70</v>
      </c>
      <c r="R3309" t="n">
        <v>0.2588</v>
      </c>
      <c r="S3309">
        <f>IMAGE("https://mitra.stanford.edu/kundaje/oak/projects/neuro-variants/variant_position/credible/roussos_2024/variant_figures/roussos_2024.childhood.GABA/rs11242471_count_position.png",4,220,900)</f>
        <v/>
      </c>
      <c r="T3309">
        <f>IMAGE("https://mitra.stanford.edu/kundaje/oak/projects/neuro-variants/variant_position/credible/roussos_2024/variant_figures/roussos_2024.childhood.GABA/rs11242471_profile_position.png",4,220,900)</f>
        <v/>
      </c>
    </row>
    <row r="3310">
      <c r="A3310" t="inlineStr">
        <is>
          <t>chr5</t>
        </is>
      </c>
      <c r="B3310" t="n">
        <v>107400716</v>
      </c>
      <c r="C3310" t="inlineStr">
        <is>
          <t>T</t>
        </is>
      </c>
      <c r="D3310" t="inlineStr">
        <is>
          <t>C</t>
        </is>
      </c>
      <c r="E3310" t="inlineStr">
        <is>
          <t>rs252810</t>
        </is>
      </c>
      <c r="F3310" t="n">
        <v>0.0384510904</v>
      </c>
      <c r="G3310" t="n">
        <v>0.2165033916700237</v>
      </c>
      <c r="H3310" t="n">
        <v>0.012759129505756</v>
      </c>
      <c r="I3310" t="n">
        <v>0.3758894079193185</v>
      </c>
      <c r="J3310" t="n">
        <v>0.0110751607296181</v>
      </c>
      <c r="K3310" t="n">
        <v>0.727389796850527</v>
      </c>
      <c r="L3310" t="b">
        <v>0</v>
      </c>
      <c r="M3310" t="b">
        <v>0</v>
      </c>
      <c r="N3310" t="inlineStr">
        <is>
          <t>alt</t>
        </is>
      </c>
      <c r="O3310" t="n">
        <v>90</v>
      </c>
      <c r="P3310" t="n">
        <v>0.004425</v>
      </c>
      <c r="Q3310" t="n">
        <v>-100</v>
      </c>
      <c r="R3310" t="n">
        <v>0.081</v>
      </c>
      <c r="S3310">
        <f>IMAGE("https://mitra.stanford.edu/kundaje/oak/projects/neuro-variants/variant_position/credible/roussos_2024/variant_figures/roussos_2024.childhood.GABA/rs252810_count_position.png",4,220,900)</f>
        <v/>
      </c>
      <c r="T3310">
        <f>IMAGE("https://mitra.stanford.edu/kundaje/oak/projects/neuro-variants/variant_position/credible/roussos_2024/variant_figures/roussos_2024.childhood.GABA/rs252810_profile_position.png",4,220,900)</f>
        <v/>
      </c>
    </row>
    <row r="3311">
      <c r="A3311" t="inlineStr">
        <is>
          <t>chr5</t>
        </is>
      </c>
      <c r="B3311" t="n">
        <v>107434606</v>
      </c>
      <c r="C3311" t="inlineStr">
        <is>
          <t>A</t>
        </is>
      </c>
      <c r="D3311" t="inlineStr">
        <is>
          <t>G</t>
        </is>
      </c>
      <c r="E3311" t="inlineStr">
        <is>
          <t>rs152611</t>
        </is>
      </c>
      <c r="F3311" t="n">
        <v>0.10746106</v>
      </c>
      <c r="G3311" t="n">
        <v>0.0244229433701981</v>
      </c>
      <c r="H3311" t="n">
        <v>0.0165093820933965</v>
      </c>
      <c r="I3311" t="n">
        <v>0.166354238772876</v>
      </c>
      <c r="J3311" t="n">
        <v>0.0863081401436618</v>
      </c>
      <c r="K3311" t="n">
        <v>0.3780414201392611</v>
      </c>
      <c r="L3311" t="b">
        <v>0</v>
      </c>
      <c r="M3311" t="b">
        <v>0</v>
      </c>
      <c r="N3311" t="inlineStr">
        <is>
          <t>alt</t>
        </is>
      </c>
      <c r="O3311" t="n">
        <v>-30</v>
      </c>
      <c r="P3311" t="n">
        <v>0.0003433</v>
      </c>
      <c r="Q3311" t="n">
        <v>-5</v>
      </c>
      <c r="R3311" t="n">
        <v>0.0083</v>
      </c>
      <c r="S3311">
        <f>IMAGE("https://mitra.stanford.edu/kundaje/oak/projects/neuro-variants/variant_position/credible/roussos_2024/variant_figures/roussos_2024.childhood.GABA/rs152611_count_position.png",4,220,900)</f>
        <v/>
      </c>
      <c r="T3311">
        <f>IMAGE("https://mitra.stanford.edu/kundaje/oak/projects/neuro-variants/variant_position/credible/roussos_2024/variant_figures/roussos_2024.childhood.GABA/rs152611_profile_position.png",4,220,900)</f>
        <v/>
      </c>
    </row>
    <row r="3312">
      <c r="A3312" t="inlineStr">
        <is>
          <t>chr5</t>
        </is>
      </c>
      <c r="B3312" t="n">
        <v>107454811</v>
      </c>
      <c r="C3312" t="inlineStr">
        <is>
          <t>T</t>
        </is>
      </c>
      <c r="D3312" t="inlineStr">
        <is>
          <t>A</t>
        </is>
      </c>
      <c r="E3312" t="inlineStr">
        <is>
          <t>rs115779</t>
        </is>
      </c>
      <c r="F3312" t="n">
        <v>0.0008786447599999</v>
      </c>
      <c r="G3312" t="n">
        <v>0.7155901315241744</v>
      </c>
      <c r="H3312" t="n">
        <v>0.0232848044473324</v>
      </c>
      <c r="I3312" t="n">
        <v>0.0412885156898736</v>
      </c>
      <c r="J3312" t="n">
        <v>0.008068940964587001</v>
      </c>
      <c r="K3312" t="n">
        <v>0.7628535248793186</v>
      </c>
      <c r="L3312" t="b">
        <v>0</v>
      </c>
      <c r="M3312" t="b">
        <v>0</v>
      </c>
      <c r="N3312" t="inlineStr">
        <is>
          <t>alt</t>
        </is>
      </c>
      <c r="O3312" t="n">
        <v>-95</v>
      </c>
      <c r="P3312" t="n">
        <v>0.002892</v>
      </c>
      <c r="Q3312" t="n">
        <v>80</v>
      </c>
      <c r="R3312" t="n">
        <v>0.1355</v>
      </c>
      <c r="S3312">
        <f>IMAGE("https://mitra.stanford.edu/kundaje/oak/projects/neuro-variants/variant_position/credible/roussos_2024/variant_figures/roussos_2024.childhood.GABA/rs115779_count_position.png",4,220,900)</f>
        <v/>
      </c>
      <c r="T3312">
        <f>IMAGE("https://mitra.stanford.edu/kundaje/oak/projects/neuro-variants/variant_position/credible/roussos_2024/variant_figures/roussos_2024.childhood.GABA/rs115779_profile_position.png",4,220,900)</f>
        <v/>
      </c>
    </row>
    <row r="3313">
      <c r="A3313" t="inlineStr">
        <is>
          <t>chr5</t>
        </is>
      </c>
      <c r="B3313" t="n">
        <v>107666975</v>
      </c>
      <c r="C3313" t="inlineStr">
        <is>
          <t>T</t>
        </is>
      </c>
      <c r="D3313" t="inlineStr">
        <is>
          <t>C</t>
        </is>
      </c>
      <c r="E3313" t="inlineStr">
        <is>
          <t>rs967270</t>
        </is>
      </c>
      <c r="F3313" t="n">
        <v>0.0068905484472</v>
      </c>
      <c r="G3313" t="n">
        <v>0.7157287005813411</v>
      </c>
      <c r="H3313" t="n">
        <v>0.0195576559386033</v>
      </c>
      <c r="I3313" t="n">
        <v>0.08179037006956449</v>
      </c>
      <c r="J3313" t="n">
        <v>3.874264413310716e-05</v>
      </c>
      <c r="K3313" t="n">
        <v>0.9922785712938438</v>
      </c>
      <c r="L3313" t="b">
        <v>0</v>
      </c>
      <c r="M3313" t="b">
        <v>0</v>
      </c>
      <c r="N3313" t="inlineStr">
        <is>
          <t>alt</t>
        </is>
      </c>
      <c r="O3313" t="n">
        <v>100</v>
      </c>
      <c r="P3313" t="n">
        <v>0.008359999999999999</v>
      </c>
      <c r="Q3313" t="n">
        <v>-40</v>
      </c>
      <c r="R3313" t="n">
        <v>0.0155</v>
      </c>
      <c r="S3313">
        <f>IMAGE("https://mitra.stanford.edu/kundaje/oak/projects/neuro-variants/variant_position/credible/roussos_2024/variant_figures/roussos_2024.childhood.GABA/rs967270_count_position.png",4,220,900)</f>
        <v/>
      </c>
      <c r="T3313">
        <f>IMAGE("https://mitra.stanford.edu/kundaje/oak/projects/neuro-variants/variant_position/credible/roussos_2024/variant_figures/roussos_2024.childhood.GABA/rs967270_profile_position.png",4,220,900)</f>
        <v/>
      </c>
    </row>
    <row r="3314">
      <c r="A3314" t="inlineStr">
        <is>
          <t>chr5</t>
        </is>
      </c>
      <c r="B3314" t="n">
        <v>109658233</v>
      </c>
      <c r="C3314" t="inlineStr">
        <is>
          <t>T</t>
        </is>
      </c>
      <c r="D3314" t="inlineStr">
        <is>
          <t>C</t>
        </is>
      </c>
      <c r="E3314" t="inlineStr">
        <is>
          <t>rs25913</t>
        </is>
      </c>
      <c r="F3314" t="n">
        <v>0.0273846765999999</v>
      </c>
      <c r="G3314" t="n">
        <v>0.3141760369788338</v>
      </c>
      <c r="H3314" t="n">
        <v>0.0082136018256318</v>
      </c>
      <c r="I3314" t="n">
        <v>0.8314697045306233</v>
      </c>
      <c r="J3314" t="n">
        <v>0.0132740675587945</v>
      </c>
      <c r="K3314" t="n">
        <v>0.7022647902077906</v>
      </c>
      <c r="L3314" t="b">
        <v>0</v>
      </c>
      <c r="M3314" t="b">
        <v>0</v>
      </c>
      <c r="N3314" t="inlineStr">
        <is>
          <t>alt</t>
        </is>
      </c>
      <c r="O3314" t="n">
        <v>10</v>
      </c>
      <c r="P3314" t="n">
        <v>0.003265</v>
      </c>
      <c r="Q3314" t="n">
        <v>20</v>
      </c>
      <c r="R3314" t="n">
        <v>0.01132</v>
      </c>
      <c r="S3314">
        <f>IMAGE("https://mitra.stanford.edu/kundaje/oak/projects/neuro-variants/variant_position/credible/roussos_2024/variant_figures/roussos_2024.childhood.GABA/rs25913_count_position.png",4,220,900)</f>
        <v/>
      </c>
      <c r="T3314">
        <f>IMAGE("https://mitra.stanford.edu/kundaje/oak/projects/neuro-variants/variant_position/credible/roussos_2024/variant_figures/roussos_2024.childhood.GABA/rs25913_profile_position.png",4,220,900)</f>
        <v/>
      </c>
    </row>
    <row r="3315">
      <c r="A3315" t="inlineStr">
        <is>
          <t>chr5</t>
        </is>
      </c>
      <c r="B3315" t="n">
        <v>109663016</v>
      </c>
      <c r="C3315" t="inlineStr">
        <is>
          <t>A</t>
        </is>
      </c>
      <c r="D3315" t="inlineStr">
        <is>
          <t>G</t>
        </is>
      </c>
      <c r="E3315" t="inlineStr">
        <is>
          <t>rs31609</t>
        </is>
      </c>
      <c r="F3315" t="n">
        <v>0.06749578000000001</v>
      </c>
      <c r="G3315" t="n">
        <v>0.0748926266343147</v>
      </c>
      <c r="H3315" t="n">
        <v>0.0128075991535135</v>
      </c>
      <c r="I3315" t="n">
        <v>0.3712074224183967</v>
      </c>
      <c r="J3315" t="n">
        <v>0.0195880714540009</v>
      </c>
      <c r="K3315" t="n">
        <v>0.6474830103215018</v>
      </c>
      <c r="L3315" t="b">
        <v>0</v>
      </c>
      <c r="M3315" t="b">
        <v>0</v>
      </c>
      <c r="N3315" t="inlineStr">
        <is>
          <t>alt</t>
        </is>
      </c>
      <c r="O3315" t="n">
        <v>70</v>
      </c>
      <c r="P3315" t="n">
        <v>0.007256</v>
      </c>
      <c r="Q3315" t="n">
        <v>-100</v>
      </c>
      <c r="R3315" t="n">
        <v>0.0697</v>
      </c>
      <c r="S3315">
        <f>IMAGE("https://mitra.stanford.edu/kundaje/oak/projects/neuro-variants/variant_position/credible/roussos_2024/variant_figures/roussos_2024.childhood.GABA/rs31609_count_position.png",4,220,900)</f>
        <v/>
      </c>
      <c r="T3315">
        <f>IMAGE("https://mitra.stanford.edu/kundaje/oak/projects/neuro-variants/variant_position/credible/roussos_2024/variant_figures/roussos_2024.childhood.GABA/rs31609_profile_position.png",4,220,900)</f>
        <v/>
      </c>
    </row>
    <row r="3316">
      <c r="A3316" t="inlineStr">
        <is>
          <t>chr5</t>
        </is>
      </c>
      <c r="B3316" t="n">
        <v>109671803</v>
      </c>
      <c r="C3316" t="inlineStr">
        <is>
          <t>G</t>
        </is>
      </c>
      <c r="D3316" t="inlineStr">
        <is>
          <t>A</t>
        </is>
      </c>
      <c r="E3316" t="inlineStr">
        <is>
          <t>rs31598</t>
        </is>
      </c>
      <c r="F3316" t="n">
        <v>0.005211654852</v>
      </c>
      <c r="G3316" t="n">
        <v>0.7740555283568553</v>
      </c>
      <c r="H3316" t="n">
        <v>0.0280716553259229</v>
      </c>
      <c r="I3316" t="n">
        <v>0.0171207657622041</v>
      </c>
      <c r="J3316" t="n">
        <v>0.0050449205252245</v>
      </c>
      <c r="K3316" t="n">
        <v>0.8163418429254394</v>
      </c>
      <c r="L3316" t="b">
        <v>0</v>
      </c>
      <c r="M3316" t="b">
        <v>0</v>
      </c>
      <c r="N3316" t="inlineStr">
        <is>
          <t>alt</t>
        </is>
      </c>
      <c r="O3316" t="n">
        <v>70</v>
      </c>
      <c r="P3316" t="n">
        <v>0.001297</v>
      </c>
      <c r="Q3316" t="n">
        <v>95</v>
      </c>
      <c r="R3316" t="n">
        <v>0.05035</v>
      </c>
      <c r="S3316">
        <f>IMAGE("https://mitra.stanford.edu/kundaje/oak/projects/neuro-variants/variant_position/credible/roussos_2024/variant_figures/roussos_2024.childhood.GABA/rs31598_count_position.png",4,220,900)</f>
        <v/>
      </c>
      <c r="T3316">
        <f>IMAGE("https://mitra.stanford.edu/kundaje/oak/projects/neuro-variants/variant_position/credible/roussos_2024/variant_figures/roussos_2024.childhood.GABA/rs31598_profile_position.png",4,220,900)</f>
        <v/>
      </c>
    </row>
    <row r="3317">
      <c r="A3317" t="inlineStr">
        <is>
          <t>chr5</t>
        </is>
      </c>
      <c r="B3317" t="n">
        <v>109672899</v>
      </c>
      <c r="C3317" t="inlineStr">
        <is>
          <t>T</t>
        </is>
      </c>
      <c r="D3317" t="inlineStr">
        <is>
          <t>C</t>
        </is>
      </c>
      <c r="E3317" t="inlineStr">
        <is>
          <t>rs253243</t>
        </is>
      </c>
      <c r="F3317" t="n">
        <v>0.0867492966</v>
      </c>
      <c r="G3317" t="n">
        <v>0.0402356866235444</v>
      </c>
      <c r="H3317" t="n">
        <v>0.0183560207502704</v>
      </c>
      <c r="I3317" t="n">
        <v>0.110722915291163</v>
      </c>
      <c r="J3317" t="n">
        <v>0.0397939310171514</v>
      </c>
      <c r="K3317" t="n">
        <v>0.5496936409776421</v>
      </c>
      <c r="L3317" t="b">
        <v>0</v>
      </c>
      <c r="M3317" t="b">
        <v>0</v>
      </c>
      <c r="N3317" t="inlineStr">
        <is>
          <t>alt</t>
        </is>
      </c>
      <c r="O3317" t="n">
        <v>80</v>
      </c>
      <c r="P3317" t="n">
        <v>0.0217</v>
      </c>
      <c r="Q3317" t="n">
        <v>-70</v>
      </c>
      <c r="R3317" t="n">
        <v>0.03662</v>
      </c>
      <c r="S3317">
        <f>IMAGE("https://mitra.stanford.edu/kundaje/oak/projects/neuro-variants/variant_position/credible/roussos_2024/variant_figures/roussos_2024.childhood.GABA/rs253243_count_position.png",4,220,900)</f>
        <v/>
      </c>
      <c r="T3317">
        <f>IMAGE("https://mitra.stanford.edu/kundaje/oak/projects/neuro-variants/variant_position/credible/roussos_2024/variant_figures/roussos_2024.childhood.GABA/rs253243_profile_position.png",4,220,900)</f>
        <v/>
      </c>
    </row>
    <row r="3318">
      <c r="A3318" t="inlineStr">
        <is>
          <t>chr5</t>
        </is>
      </c>
      <c r="B3318" t="n">
        <v>109682839</v>
      </c>
      <c r="C3318" t="inlineStr">
        <is>
          <t>G</t>
        </is>
      </c>
      <c r="D3318" t="inlineStr">
        <is>
          <t>T</t>
        </is>
      </c>
      <c r="E3318" t="inlineStr">
        <is>
          <t>rs845739</t>
        </is>
      </c>
      <c r="F3318" t="n">
        <v>0.0299533096</v>
      </c>
      <c r="G3318" t="n">
        <v>0.2899313407254183</v>
      </c>
      <c r="H3318" t="n">
        <v>0.0268053835225019</v>
      </c>
      <c r="I3318" t="n">
        <v>0.0208229579698977</v>
      </c>
      <c r="J3318" t="n">
        <v>0.0273439299700529</v>
      </c>
      <c r="K3318" t="n">
        <v>0.6066112895074989</v>
      </c>
      <c r="L3318" t="b">
        <v>0</v>
      </c>
      <c r="M3318" t="b">
        <v>0</v>
      </c>
      <c r="N3318" t="inlineStr">
        <is>
          <t>alt</t>
        </is>
      </c>
      <c r="O3318" t="n">
        <v>-100</v>
      </c>
      <c r="P3318" t="n">
        <v>0.001167</v>
      </c>
      <c r="Q3318" t="n">
        <v>-55</v>
      </c>
      <c r="R3318" t="n">
        <v>0.02371</v>
      </c>
      <c r="S3318">
        <f>IMAGE("https://mitra.stanford.edu/kundaje/oak/projects/neuro-variants/variant_position/credible/roussos_2024/variant_figures/roussos_2024.childhood.GABA/rs845739_count_position.png",4,220,900)</f>
        <v/>
      </c>
      <c r="T3318">
        <f>IMAGE("https://mitra.stanford.edu/kundaje/oak/projects/neuro-variants/variant_position/credible/roussos_2024/variant_figures/roussos_2024.childhood.GABA/rs845739_profile_position.png",4,220,900)</f>
        <v/>
      </c>
    </row>
    <row r="3319">
      <c r="A3319" t="inlineStr">
        <is>
          <t>chr5</t>
        </is>
      </c>
      <c r="B3319" t="n">
        <v>109688776</v>
      </c>
      <c r="C3319" t="inlineStr">
        <is>
          <t>G</t>
        </is>
      </c>
      <c r="D3319" t="inlineStr">
        <is>
          <t>A</t>
        </is>
      </c>
      <c r="E3319" t="inlineStr">
        <is>
          <t>rs1438662</t>
        </is>
      </c>
      <c r="F3319" t="n">
        <v>-0.0428973714</v>
      </c>
      <c r="G3319" t="n">
        <v>0.196918077554138</v>
      </c>
      <c r="H3319" t="n">
        <v>0.0172410813279306</v>
      </c>
      <c r="I3319" t="n">
        <v>0.1416881561611973</v>
      </c>
      <c r="J3319" t="n">
        <v>0.824638227471676</v>
      </c>
      <c r="K3319" t="n">
        <v>0.0050916578101593</v>
      </c>
      <c r="L3319" t="b">
        <v>0</v>
      </c>
      <c r="M3319" t="b">
        <v>0</v>
      </c>
      <c r="N3319" t="inlineStr">
        <is>
          <t>ref</t>
        </is>
      </c>
      <c r="O3319" t="n">
        <v>-45</v>
      </c>
      <c r="P3319" t="n">
        <v>0.007934999999999999</v>
      </c>
      <c r="Q3319" t="n">
        <v>90</v>
      </c>
      <c r="R3319" t="n">
        <v>0.07275</v>
      </c>
      <c r="S3319">
        <f>IMAGE("https://mitra.stanford.edu/kundaje/oak/projects/neuro-variants/variant_position/credible/roussos_2024/variant_figures/roussos_2024.childhood.GABA/rs1438662_count_position.png",4,220,900)</f>
        <v/>
      </c>
      <c r="T3319">
        <f>IMAGE("https://mitra.stanford.edu/kundaje/oak/projects/neuro-variants/variant_position/credible/roussos_2024/variant_figures/roussos_2024.childhood.GABA/rs1438662_profile_position.png",4,220,900)</f>
        <v/>
      </c>
    </row>
    <row r="3320">
      <c r="A3320" t="inlineStr">
        <is>
          <t>chr5</t>
        </is>
      </c>
      <c r="B3320" t="n">
        <v>109699795</v>
      </c>
      <c r="C3320" t="inlineStr">
        <is>
          <t>A</t>
        </is>
      </c>
      <c r="D3320" t="inlineStr">
        <is>
          <t>G</t>
        </is>
      </c>
      <c r="E3320" t="inlineStr">
        <is>
          <t>rs3819904</t>
        </is>
      </c>
      <c r="F3320" t="n">
        <v>-0.05064803438</v>
      </c>
      <c r="G3320" t="n">
        <v>0.1485497237968323</v>
      </c>
      <c r="H3320" t="n">
        <v>0.0176197726846496</v>
      </c>
      <c r="I3320" t="n">
        <v>0.1362829292045412</v>
      </c>
      <c r="J3320" t="n">
        <v>0.0619369227869572</v>
      </c>
      <c r="K3320" t="n">
        <v>0.4568658421936095</v>
      </c>
      <c r="L3320" t="b">
        <v>0</v>
      </c>
      <c r="M3320" t="b">
        <v>0</v>
      </c>
      <c r="N3320" t="inlineStr">
        <is>
          <t>ref</t>
        </is>
      </c>
      <c r="O3320" t="n">
        <v>-15</v>
      </c>
      <c r="P3320" t="n">
        <v>0.00145</v>
      </c>
      <c r="Q3320" t="n">
        <v>-85</v>
      </c>
      <c r="R3320" t="n">
        <v>0.1073</v>
      </c>
      <c r="S3320">
        <f>IMAGE("https://mitra.stanford.edu/kundaje/oak/projects/neuro-variants/variant_position/credible/roussos_2024/variant_figures/roussos_2024.childhood.GABA/rs3819904_count_position.png",4,220,900)</f>
        <v/>
      </c>
      <c r="T3320">
        <f>IMAGE("https://mitra.stanford.edu/kundaje/oak/projects/neuro-variants/variant_position/credible/roussos_2024/variant_figures/roussos_2024.childhood.GABA/rs3819904_profile_position.png",4,220,900)</f>
        <v/>
      </c>
    </row>
    <row r="3321">
      <c r="A3321" t="inlineStr">
        <is>
          <t>chr5</t>
        </is>
      </c>
      <c r="B3321" t="n">
        <v>109703598</v>
      </c>
      <c r="C3321" t="inlineStr">
        <is>
          <t>T</t>
        </is>
      </c>
      <c r="D3321" t="inlineStr">
        <is>
          <t>C</t>
        </is>
      </c>
      <c r="E3321" t="inlineStr">
        <is>
          <t>rs1370960</t>
        </is>
      </c>
      <c r="F3321" t="n">
        <v>0.00730965716</v>
      </c>
      <c r="G3321" t="n">
        <v>0.6703768280941762</v>
      </c>
      <c r="H3321" t="n">
        <v>0.0179551724438878</v>
      </c>
      <c r="I3321" t="n">
        <v>0.1150718204447694</v>
      </c>
      <c r="J3321" t="n">
        <v>0.0149180121882264</v>
      </c>
      <c r="K3321" t="n">
        <v>0.6929348360318437</v>
      </c>
      <c r="L3321" t="b">
        <v>0</v>
      </c>
      <c r="M3321" t="b">
        <v>0</v>
      </c>
      <c r="N3321" t="inlineStr">
        <is>
          <t>alt</t>
        </is>
      </c>
      <c r="O3321" t="n">
        <v>35</v>
      </c>
      <c r="P3321" t="n">
        <v>0.01384</v>
      </c>
      <c r="Q3321" t="n">
        <v>-65</v>
      </c>
      <c r="R3321" t="n">
        <v>0.03693</v>
      </c>
      <c r="S3321">
        <f>IMAGE("https://mitra.stanford.edu/kundaje/oak/projects/neuro-variants/variant_position/credible/roussos_2024/variant_figures/roussos_2024.childhood.GABA/rs1370960_count_position.png",4,220,900)</f>
        <v/>
      </c>
      <c r="T3321">
        <f>IMAGE("https://mitra.stanford.edu/kundaje/oak/projects/neuro-variants/variant_position/credible/roussos_2024/variant_figures/roussos_2024.childhood.GABA/rs1370960_profile_position.png",4,220,900)</f>
        <v/>
      </c>
    </row>
    <row r="3322">
      <c r="A3322" t="inlineStr">
        <is>
          <t>chr5</t>
        </is>
      </c>
      <c r="B3322" t="n">
        <v>109708857</v>
      </c>
      <c r="C3322" t="inlineStr">
        <is>
          <t>C</t>
        </is>
      </c>
      <c r="D3322" t="inlineStr">
        <is>
          <t>A</t>
        </is>
      </c>
      <c r="E3322" t="inlineStr">
        <is>
          <t>rs6897334</t>
        </is>
      </c>
      <c r="F3322" t="n">
        <v>0.00497157712</v>
      </c>
      <c r="G3322" t="n">
        <v>0.579403266775479</v>
      </c>
      <c r="H3322" t="n">
        <v>0.015573832273372</v>
      </c>
      <c r="I3322" t="n">
        <v>0.1990201726066094</v>
      </c>
      <c r="J3322" t="n">
        <v>0.0506680488366735</v>
      </c>
      <c r="K3322" t="n">
        <v>0.5191153390705008</v>
      </c>
      <c r="L3322" t="b">
        <v>0</v>
      </c>
      <c r="M3322" t="b">
        <v>0</v>
      </c>
      <c r="N3322" t="inlineStr">
        <is>
          <t>alt</t>
        </is>
      </c>
      <c r="O3322" t="n">
        <v>-100</v>
      </c>
      <c r="P3322" t="n">
        <v>0.00346</v>
      </c>
      <c r="Q3322" t="n">
        <v>-100</v>
      </c>
      <c r="R3322" t="n">
        <v>0.045</v>
      </c>
      <c r="S3322">
        <f>IMAGE("https://mitra.stanford.edu/kundaje/oak/projects/neuro-variants/variant_position/credible/roussos_2024/variant_figures/roussos_2024.childhood.GABA/rs6897334_count_position.png",4,220,900)</f>
        <v/>
      </c>
      <c r="T3322">
        <f>IMAGE("https://mitra.stanford.edu/kundaje/oak/projects/neuro-variants/variant_position/credible/roussos_2024/variant_figures/roussos_2024.childhood.GABA/rs6897334_profile_position.png",4,220,900)</f>
        <v/>
      </c>
    </row>
    <row r="3323">
      <c r="A3323" t="inlineStr">
        <is>
          <t>chr5</t>
        </is>
      </c>
      <c r="B3323" t="n">
        <v>109716958</v>
      </c>
      <c r="C3323" t="inlineStr">
        <is>
          <t>G</t>
        </is>
      </c>
      <c r="D3323" t="inlineStr">
        <is>
          <t>T</t>
        </is>
      </c>
      <c r="E3323" t="inlineStr">
        <is>
          <t>rs2269201</t>
        </is>
      </c>
      <c r="F3323" t="n">
        <v>-0.08730810460000001</v>
      </c>
      <c r="G3323" t="n">
        <v>0.0436944371797115</v>
      </c>
      <c r="H3323" t="n">
        <v>0.0128624533178278</v>
      </c>
      <c r="I3323" t="n">
        <v>0.3667221723251591</v>
      </c>
      <c r="J3323" t="n">
        <v>0.0136709178865363</v>
      </c>
      <c r="K3323" t="n">
        <v>0.7084283773523697</v>
      </c>
      <c r="L3323" t="b">
        <v>0</v>
      </c>
      <c r="M3323" t="b">
        <v>0</v>
      </c>
      <c r="N3323" t="inlineStr">
        <is>
          <t>ref</t>
        </is>
      </c>
      <c r="O3323" t="n">
        <v>100</v>
      </c>
      <c r="P3323" t="n">
        <v>0.00248</v>
      </c>
      <c r="Q3323" t="n">
        <v>35</v>
      </c>
      <c r="R3323" t="n">
        <v>0.0327</v>
      </c>
      <c r="S3323">
        <f>IMAGE("https://mitra.stanford.edu/kundaje/oak/projects/neuro-variants/variant_position/credible/roussos_2024/variant_figures/roussos_2024.childhood.GABA/rs2269201_count_position.png",4,220,900)</f>
        <v/>
      </c>
      <c r="T3323">
        <f>IMAGE("https://mitra.stanford.edu/kundaje/oak/projects/neuro-variants/variant_position/credible/roussos_2024/variant_figures/roussos_2024.childhood.GABA/rs2269201_profile_position.png",4,220,900)</f>
        <v/>
      </c>
    </row>
    <row r="3324">
      <c r="A3324" t="inlineStr">
        <is>
          <t>chr5</t>
        </is>
      </c>
      <c r="B3324" t="n">
        <v>109730763</v>
      </c>
      <c r="C3324" t="inlineStr">
        <is>
          <t>A</t>
        </is>
      </c>
      <c r="D3324" t="inlineStr">
        <is>
          <t>C</t>
        </is>
      </c>
      <c r="E3324" t="inlineStr">
        <is>
          <t>rs34387996</t>
        </is>
      </c>
      <c r="F3324" t="n">
        <v>0.0063425481</v>
      </c>
      <c r="G3324" t="n">
        <v>0.7326083498976721</v>
      </c>
      <c r="H3324" t="n">
        <v>0.0077581663394002</v>
      </c>
      <c r="I3324" t="n">
        <v>0.8544882595100748</v>
      </c>
      <c r="J3324" t="n">
        <v>0.000100521455048</v>
      </c>
      <c r="K3324" t="n">
        <v>0.974801526396567</v>
      </c>
      <c r="L3324" t="b">
        <v>0</v>
      </c>
      <c r="M3324" t="b">
        <v>0</v>
      </c>
      <c r="N3324" t="inlineStr">
        <is>
          <t>alt</t>
        </is>
      </c>
      <c r="O3324" t="n">
        <v>-100</v>
      </c>
      <c r="P3324" t="n">
        <v>0.00908</v>
      </c>
      <c r="Q3324" t="n">
        <v>35</v>
      </c>
      <c r="R3324" t="n">
        <v>0.02502</v>
      </c>
      <c r="S3324">
        <f>IMAGE("https://mitra.stanford.edu/kundaje/oak/projects/neuro-variants/variant_position/credible/roussos_2024/variant_figures/roussos_2024.childhood.GABA/rs34387996_count_position.png",4,220,900)</f>
        <v/>
      </c>
      <c r="T3324">
        <f>IMAGE("https://mitra.stanford.edu/kundaje/oak/projects/neuro-variants/variant_position/credible/roussos_2024/variant_figures/roussos_2024.childhood.GABA/rs34387996_profile_position.png",4,220,900)</f>
        <v/>
      </c>
    </row>
    <row r="3325">
      <c r="A3325" t="inlineStr">
        <is>
          <t>chr5</t>
        </is>
      </c>
      <c r="B3325" t="n">
        <v>109731623</v>
      </c>
      <c r="C3325" t="inlineStr">
        <is>
          <t>G</t>
        </is>
      </c>
      <c r="D3325" t="inlineStr">
        <is>
          <t>T</t>
        </is>
      </c>
      <c r="E3325" t="inlineStr">
        <is>
          <t>rs10463428</t>
        </is>
      </c>
      <c r="F3325" t="n">
        <v>0.01774212914</v>
      </c>
      <c r="G3325" t="n">
        <v>0.4449046055905743</v>
      </c>
      <c r="H3325" t="n">
        <v>0.0310633477454958</v>
      </c>
      <c r="I3325" t="n">
        <v>0.0109152983294834</v>
      </c>
      <c r="J3325" t="n">
        <v>0.0017989152059642</v>
      </c>
      <c r="K3325" t="n">
        <v>0.8913640415168936</v>
      </c>
      <c r="L3325" t="b">
        <v>0</v>
      </c>
      <c r="M3325" t="b">
        <v>0</v>
      </c>
      <c r="N3325" t="inlineStr">
        <is>
          <t>alt</t>
        </is>
      </c>
      <c r="O3325" t="n">
        <v>-100</v>
      </c>
      <c r="P3325" t="n">
        <v>0.007133</v>
      </c>
      <c r="Q3325" t="n">
        <v>-95</v>
      </c>
      <c r="R3325" t="n">
        <v>0.0639</v>
      </c>
      <c r="S3325">
        <f>IMAGE("https://mitra.stanford.edu/kundaje/oak/projects/neuro-variants/variant_position/credible/roussos_2024/variant_figures/roussos_2024.childhood.GABA/rs10463428_count_position.png",4,220,900)</f>
        <v/>
      </c>
      <c r="T3325">
        <f>IMAGE("https://mitra.stanford.edu/kundaje/oak/projects/neuro-variants/variant_position/credible/roussos_2024/variant_figures/roussos_2024.childhood.GABA/rs10463428_profile_position.png",4,220,900)</f>
        <v/>
      </c>
    </row>
    <row r="3326">
      <c r="A3326" t="inlineStr">
        <is>
          <t>chr5</t>
        </is>
      </c>
      <c r="B3326" t="n">
        <v>109736510</v>
      </c>
      <c r="C3326" t="inlineStr">
        <is>
          <t>G</t>
        </is>
      </c>
      <c r="D3326" t="inlineStr">
        <is>
          <t>T</t>
        </is>
      </c>
      <c r="E3326" t="inlineStr">
        <is>
          <t>rs2416217</t>
        </is>
      </c>
      <c r="F3326" t="n">
        <v>-0.050085368</v>
      </c>
      <c r="G3326" t="n">
        <v>0.1408041812528495</v>
      </c>
      <c r="H3326" t="n">
        <v>0.01828839785739</v>
      </c>
      <c r="I3326" t="n">
        <v>0.1073752875971445</v>
      </c>
      <c r="J3326" t="n">
        <v>0.0029863248937194</v>
      </c>
      <c r="K3326" t="n">
        <v>0.8536650904216594</v>
      </c>
      <c r="L3326" t="b">
        <v>0</v>
      </c>
      <c r="M3326" t="b">
        <v>0</v>
      </c>
      <c r="N3326" t="inlineStr">
        <is>
          <t>ref</t>
        </is>
      </c>
      <c r="O3326" t="n">
        <v>75</v>
      </c>
      <c r="P3326" t="n">
        <v>0.012924</v>
      </c>
      <c r="Q3326" t="n">
        <v>20</v>
      </c>
      <c r="R3326" t="n">
        <v>0.00702</v>
      </c>
      <c r="S3326">
        <f>IMAGE("https://mitra.stanford.edu/kundaje/oak/projects/neuro-variants/variant_position/credible/roussos_2024/variant_figures/roussos_2024.childhood.GABA/rs2416217_count_position.png",4,220,900)</f>
        <v/>
      </c>
      <c r="T3326">
        <f>IMAGE("https://mitra.stanford.edu/kundaje/oak/projects/neuro-variants/variant_position/credible/roussos_2024/variant_figures/roussos_2024.childhood.GABA/rs2416217_profile_position.png",4,220,900)</f>
        <v/>
      </c>
    </row>
    <row r="3327">
      <c r="A3327" t="inlineStr">
        <is>
          <t>chr5</t>
        </is>
      </c>
      <c r="B3327" t="n">
        <v>109736511</v>
      </c>
      <c r="C3327" t="inlineStr">
        <is>
          <t>G</t>
        </is>
      </c>
      <c r="D3327" t="inlineStr">
        <is>
          <t>C</t>
        </is>
      </c>
      <c r="E3327" t="inlineStr">
        <is>
          <t>rs2416218</t>
        </is>
      </c>
      <c r="F3327" t="n">
        <v>-0.0194294456</v>
      </c>
      <c r="G3327" t="n">
        <v>0.4315485955853205</v>
      </c>
      <c r="H3327" t="n">
        <v>0.0123093143279384</v>
      </c>
      <c r="I3327" t="n">
        <v>0.4086541081977641</v>
      </c>
      <c r="J3327" t="n">
        <v>0.0029653829239177</v>
      </c>
      <c r="K3327" t="n">
        <v>0.85437623915532</v>
      </c>
      <c r="L3327" t="b">
        <v>0</v>
      </c>
      <c r="M3327" t="b">
        <v>0</v>
      </c>
      <c r="N3327" t="inlineStr">
        <is>
          <t>ref</t>
        </is>
      </c>
      <c r="O3327" t="n">
        <v>75</v>
      </c>
      <c r="P3327" t="n">
        <v>0.014984</v>
      </c>
      <c r="Q3327" t="n">
        <v>-60</v>
      </c>
      <c r="R3327" t="n">
        <v>0.01402</v>
      </c>
      <c r="S3327">
        <f>IMAGE("https://mitra.stanford.edu/kundaje/oak/projects/neuro-variants/variant_position/credible/roussos_2024/variant_figures/roussos_2024.childhood.GABA/rs2416218_count_position.png",4,220,900)</f>
        <v/>
      </c>
      <c r="T3327">
        <f>IMAGE("https://mitra.stanford.edu/kundaje/oak/projects/neuro-variants/variant_position/credible/roussos_2024/variant_figures/roussos_2024.childhood.GABA/rs2416218_profile_position.png",4,220,900)</f>
        <v/>
      </c>
    </row>
    <row r="3328">
      <c r="A3328" t="inlineStr">
        <is>
          <t>chr5</t>
        </is>
      </c>
      <c r="B3328" t="n">
        <v>109739808</v>
      </c>
      <c r="C3328" t="inlineStr">
        <is>
          <t>C</t>
        </is>
      </c>
      <c r="D3328" t="inlineStr">
        <is>
          <t>T</t>
        </is>
      </c>
      <c r="E3328" t="inlineStr">
        <is>
          <t>rs3756597</t>
        </is>
      </c>
      <c r="F3328" t="n">
        <v>-0.0117485127</v>
      </c>
      <c r="G3328" t="n">
        <v>0.5816446231317065</v>
      </c>
      <c r="H3328" t="n">
        <v>0.0114616159029891</v>
      </c>
      <c r="I3328" t="n">
        <v>0.4751872378324768</v>
      </c>
      <c r="J3328" t="n">
        <v>0.0520512659420744</v>
      </c>
      <c r="K3328" t="n">
        <v>0.4913980356904451</v>
      </c>
      <c r="L3328" t="b">
        <v>0</v>
      </c>
      <c r="M3328" t="b">
        <v>0</v>
      </c>
      <c r="N3328" t="inlineStr">
        <is>
          <t>ref</t>
        </is>
      </c>
      <c r="O3328" t="n">
        <v>-100</v>
      </c>
      <c r="P3328" t="n">
        <v>0.00193</v>
      </c>
      <c r="Q3328" t="n">
        <v>100</v>
      </c>
      <c r="R3328" t="n">
        <v>0.068</v>
      </c>
      <c r="S3328">
        <f>IMAGE("https://mitra.stanford.edu/kundaje/oak/projects/neuro-variants/variant_position/credible/roussos_2024/variant_figures/roussos_2024.childhood.GABA/rs3756597_count_position.png",4,220,900)</f>
        <v/>
      </c>
      <c r="T3328">
        <f>IMAGE("https://mitra.stanford.edu/kundaje/oak/projects/neuro-variants/variant_position/credible/roussos_2024/variant_figures/roussos_2024.childhood.GABA/rs3756597_profile_position.png",4,220,900)</f>
        <v/>
      </c>
    </row>
    <row r="3329">
      <c r="A3329" t="inlineStr">
        <is>
          <t>chr5</t>
        </is>
      </c>
      <c r="B3329" t="n">
        <v>109759726</v>
      </c>
      <c r="C3329" t="inlineStr">
        <is>
          <t>T</t>
        </is>
      </c>
      <c r="D3329" t="inlineStr">
        <is>
          <t>G</t>
        </is>
      </c>
      <c r="E3329" t="inlineStr">
        <is>
          <t>rs13187248</t>
        </is>
      </c>
      <c r="F3329" t="n">
        <v>0.0049190638</v>
      </c>
      <c r="G3329" t="n">
        <v>0.4381734710316936</v>
      </c>
      <c r="H3329" t="n">
        <v>0.0131522299021654</v>
      </c>
      <c r="I3329" t="n">
        <v>0.3462953345907463</v>
      </c>
      <c r="J3329" t="n">
        <v>0.0519308496157148</v>
      </c>
      <c r="K3329" t="n">
        <v>0.4839485337858158</v>
      </c>
      <c r="L3329" t="b">
        <v>0</v>
      </c>
      <c r="M3329" t="b">
        <v>0</v>
      </c>
      <c r="N3329" t="inlineStr">
        <is>
          <t>alt</t>
        </is>
      </c>
      <c r="O3329" t="n">
        <v>-75</v>
      </c>
      <c r="P3329" t="n">
        <v>0.01043</v>
      </c>
      <c r="Q3329" t="n">
        <v>5</v>
      </c>
      <c r="R3329" t="n">
        <v>0.0007324</v>
      </c>
      <c r="S3329">
        <f>IMAGE("https://mitra.stanford.edu/kundaje/oak/projects/neuro-variants/variant_position/credible/roussos_2024/variant_figures/roussos_2024.childhood.GABA/rs13187248_count_position.png",4,220,900)</f>
        <v/>
      </c>
      <c r="T3329">
        <f>IMAGE("https://mitra.stanford.edu/kundaje/oak/projects/neuro-variants/variant_position/credible/roussos_2024/variant_figures/roussos_2024.childhood.GABA/rs13187248_profile_position.png",4,220,900)</f>
        <v/>
      </c>
    </row>
    <row r="3330">
      <c r="A3330" t="inlineStr">
        <is>
          <t>chr5</t>
        </is>
      </c>
      <c r="B3330" t="n">
        <v>109759844</v>
      </c>
      <c r="C3330" t="inlineStr">
        <is>
          <t>T</t>
        </is>
      </c>
      <c r="D3330" t="inlineStr">
        <is>
          <t>G</t>
        </is>
      </c>
      <c r="E3330" t="inlineStr">
        <is>
          <t>rs13187428</t>
        </is>
      </c>
      <c r="F3330" t="n">
        <v>-0.209222922</v>
      </c>
      <c r="G3330" t="n">
        <v>0.0044429304709955</v>
      </c>
      <c r="H3330" t="n">
        <v>0.0346258147456744</v>
      </c>
      <c r="I3330" t="n">
        <v>0.0070691390850781</v>
      </c>
      <c r="J3330" t="n">
        <v>0.0548522544030491</v>
      </c>
      <c r="K3330" t="n">
        <v>0.4722962310855841</v>
      </c>
      <c r="L3330" t="b">
        <v>1</v>
      </c>
      <c r="M3330" t="b">
        <v>1</v>
      </c>
      <c r="N3330" t="inlineStr">
        <is>
          <t>ref</t>
        </is>
      </c>
      <c r="O3330" t="n">
        <v>-10</v>
      </c>
      <c r="P3330" t="n">
        <v>0.0005054</v>
      </c>
      <c r="Q3330" t="n">
        <v>-100</v>
      </c>
      <c r="R3330" t="n">
        <v>0.11365</v>
      </c>
      <c r="S3330">
        <f>IMAGE("https://mitra.stanford.edu/kundaje/oak/projects/neuro-variants/variant_position/credible/roussos_2024/variant_figures/roussos_2024.childhood.GABA/rs13187428_count_position.png",4,220,900)</f>
        <v/>
      </c>
      <c r="T3330">
        <f>IMAGE("https://mitra.stanford.edu/kundaje/oak/projects/neuro-variants/variant_position/credible/roussos_2024/variant_figures/roussos_2024.childhood.GABA/rs13187428_profile_position.png",4,220,900)</f>
        <v/>
      </c>
    </row>
    <row r="3331">
      <c r="A3331" t="inlineStr">
        <is>
          <t>chr5</t>
        </is>
      </c>
      <c r="B3331" t="n">
        <v>109768576</v>
      </c>
      <c r="C3331" t="inlineStr">
        <is>
          <t>T</t>
        </is>
      </c>
      <c r="D3331" t="inlineStr">
        <is>
          <t>G</t>
        </is>
      </c>
      <c r="E3331" t="inlineStr">
        <is>
          <t>rs10041575</t>
        </is>
      </c>
      <c r="F3331" t="n">
        <v>0.0014453368479999</v>
      </c>
      <c r="G3331" t="n">
        <v>0.9041067959464626</v>
      </c>
      <c r="H3331" t="n">
        <v>0.0265931830914655</v>
      </c>
      <c r="I3331" t="n">
        <v>0.0214575175641639</v>
      </c>
      <c r="J3331" t="n">
        <v>0.0252319323155535</v>
      </c>
      <c r="K3331" t="n">
        <v>0.6083189477058638</v>
      </c>
      <c r="L3331" t="b">
        <v>0</v>
      </c>
      <c r="M3331" t="b">
        <v>0</v>
      </c>
      <c r="N3331" t="inlineStr">
        <is>
          <t>alt</t>
        </is>
      </c>
      <c r="O3331" t="n">
        <v>-100</v>
      </c>
      <c r="P3331" t="n">
        <v>0.006516</v>
      </c>
      <c r="Q3331" t="n">
        <v>30</v>
      </c>
      <c r="R3331" t="n">
        <v>0.04602</v>
      </c>
      <c r="S3331">
        <f>IMAGE("https://mitra.stanford.edu/kundaje/oak/projects/neuro-variants/variant_position/credible/roussos_2024/variant_figures/roussos_2024.childhood.GABA/rs10041575_count_position.png",4,220,900)</f>
        <v/>
      </c>
      <c r="T3331">
        <f>IMAGE("https://mitra.stanford.edu/kundaje/oak/projects/neuro-variants/variant_position/credible/roussos_2024/variant_figures/roussos_2024.childhood.GABA/rs10041575_profile_position.png",4,220,900)</f>
        <v/>
      </c>
    </row>
    <row r="3332">
      <c r="A3332" t="inlineStr">
        <is>
          <t>chr5</t>
        </is>
      </c>
      <c r="B3332" t="n">
        <v>109772236</v>
      </c>
      <c r="C3332" t="inlineStr">
        <is>
          <t>G</t>
        </is>
      </c>
      <c r="D3332" t="inlineStr">
        <is>
          <t>A</t>
        </is>
      </c>
      <c r="E3332" t="inlineStr">
        <is>
          <t>rs3753174</t>
        </is>
      </c>
      <c r="F3332" t="n">
        <v>0.0774270108</v>
      </c>
      <c r="G3332" t="n">
        <v>0.0719574997275635</v>
      </c>
      <c r="H3332" t="n">
        <v>0.0178103815397456</v>
      </c>
      <c r="I3332" t="n">
        <v>0.1522617687656013</v>
      </c>
      <c r="J3332" t="n">
        <v>0.0124667546229398</v>
      </c>
      <c r="K3332" t="n">
        <v>0.7432808526154452</v>
      </c>
      <c r="L3332" t="b">
        <v>0</v>
      </c>
      <c r="M3332" t="b">
        <v>0</v>
      </c>
      <c r="N3332" t="inlineStr">
        <is>
          <t>alt</t>
        </is>
      </c>
      <c r="O3332" t="n">
        <v>-100</v>
      </c>
      <c r="P3332" t="n">
        <v>0.00343</v>
      </c>
      <c r="Q3332" t="n">
        <v>10</v>
      </c>
      <c r="R3332" t="n">
        <v>0.001465</v>
      </c>
      <c r="S3332">
        <f>IMAGE("https://mitra.stanford.edu/kundaje/oak/projects/neuro-variants/variant_position/credible/roussos_2024/variant_figures/roussos_2024.childhood.GABA/rs3753174_count_position.png",4,220,900)</f>
        <v/>
      </c>
      <c r="T3332">
        <f>IMAGE("https://mitra.stanford.edu/kundaje/oak/projects/neuro-variants/variant_position/credible/roussos_2024/variant_figures/roussos_2024.childhood.GABA/rs3753174_profile_position.png",4,220,900)</f>
        <v/>
      </c>
    </row>
    <row r="3333">
      <c r="A3333" t="inlineStr">
        <is>
          <t>chr5</t>
        </is>
      </c>
      <c r="B3333" t="n">
        <v>109776323</v>
      </c>
      <c r="C3333" t="inlineStr">
        <is>
          <t>A</t>
        </is>
      </c>
      <c r="D3333" t="inlineStr">
        <is>
          <t>T</t>
        </is>
      </c>
      <c r="E3333" t="inlineStr">
        <is>
          <t>rs2042164</t>
        </is>
      </c>
      <c r="F3333" t="n">
        <v>-0.00182240576</v>
      </c>
      <c r="G3333" t="n">
        <v>0.7765674396431439</v>
      </c>
      <c r="H3333" t="n">
        <v>0.0187543128313972</v>
      </c>
      <c r="I3333" t="n">
        <v>0.099282755158087</v>
      </c>
      <c r="J3333" t="n">
        <v>0.005076333479927</v>
      </c>
      <c r="K3333" t="n">
        <v>0.8262737352264946</v>
      </c>
      <c r="L3333" t="b">
        <v>0</v>
      </c>
      <c r="M3333" t="b">
        <v>0</v>
      </c>
      <c r="N3333" t="inlineStr">
        <is>
          <t>ref</t>
        </is>
      </c>
      <c r="O3333" t="n">
        <v>55</v>
      </c>
      <c r="P3333" t="n">
        <v>0.003347</v>
      </c>
      <c r="Q3333" t="n">
        <v>100</v>
      </c>
      <c r="R3333" t="n">
        <v>0.0605</v>
      </c>
      <c r="S3333">
        <f>IMAGE("https://mitra.stanford.edu/kundaje/oak/projects/neuro-variants/variant_position/credible/roussos_2024/variant_figures/roussos_2024.childhood.GABA/rs2042164_count_position.png",4,220,900)</f>
        <v/>
      </c>
      <c r="T3333">
        <f>IMAGE("https://mitra.stanford.edu/kundaje/oak/projects/neuro-variants/variant_position/credible/roussos_2024/variant_figures/roussos_2024.childhood.GABA/rs2042164_profile_position.png",4,220,900)</f>
        <v/>
      </c>
    </row>
    <row r="3334">
      <c r="A3334" t="inlineStr">
        <is>
          <t>chr5</t>
        </is>
      </c>
      <c r="B3334" t="n">
        <v>109777887</v>
      </c>
      <c r="C3334" t="inlineStr">
        <is>
          <t>C</t>
        </is>
      </c>
      <c r="D3334" t="inlineStr">
        <is>
          <t>T</t>
        </is>
      </c>
      <c r="E3334" t="inlineStr">
        <is>
          <t>rs34595717</t>
        </is>
      </c>
      <c r="F3334" t="n">
        <v>0.0268336922</v>
      </c>
      <c r="G3334" t="n">
        <v>0.3182165106287265</v>
      </c>
      <c r="H3334" t="n">
        <v>0.0112441773444353</v>
      </c>
      <c r="I3334" t="n">
        <v>0.5087218661083677</v>
      </c>
      <c r="J3334" t="n">
        <v>0.0002931875772234</v>
      </c>
      <c r="K3334" t="n">
        <v>0.955907978241767</v>
      </c>
      <c r="L3334" t="b">
        <v>0</v>
      </c>
      <c r="M3334" t="b">
        <v>0</v>
      </c>
      <c r="N3334" t="inlineStr">
        <is>
          <t>alt</t>
        </is>
      </c>
      <c r="O3334" t="n">
        <v>100</v>
      </c>
      <c r="P3334" t="n">
        <v>0.04428</v>
      </c>
      <c r="Q3334" t="n">
        <v>-40</v>
      </c>
      <c r="R3334" t="n">
        <v>0.02585</v>
      </c>
      <c r="S3334">
        <f>IMAGE("https://mitra.stanford.edu/kundaje/oak/projects/neuro-variants/variant_position/credible/roussos_2024/variant_figures/roussos_2024.childhood.GABA/rs34595717_count_position.png",4,220,900)</f>
        <v/>
      </c>
      <c r="T3334">
        <f>IMAGE("https://mitra.stanford.edu/kundaje/oak/projects/neuro-variants/variant_position/credible/roussos_2024/variant_figures/roussos_2024.childhood.GABA/rs34595717_profile_position.png",4,220,900)</f>
        <v/>
      </c>
    </row>
    <row r="3335">
      <c r="A3335" t="inlineStr">
        <is>
          <t>chr5</t>
        </is>
      </c>
      <c r="B3335" t="n">
        <v>109781470</v>
      </c>
      <c r="C3335" t="inlineStr">
        <is>
          <t>A</t>
        </is>
      </c>
      <c r="D3335" t="inlineStr">
        <is>
          <t>G</t>
        </is>
      </c>
      <c r="E3335" t="inlineStr">
        <is>
          <t>rs13189822</t>
        </is>
      </c>
      <c r="F3335" t="n">
        <v>-0.076485361</v>
      </c>
      <c r="G3335" t="n">
        <v>0.0611703401126417</v>
      </c>
      <c r="H3335" t="n">
        <v>0.020008226744673</v>
      </c>
      <c r="I3335" t="n">
        <v>0.0778736692636019</v>
      </c>
      <c r="J3335" t="n">
        <v>0.0187367803815626</v>
      </c>
      <c r="K3335" t="n">
        <v>0.651600819816669</v>
      </c>
      <c r="L3335" t="b">
        <v>0</v>
      </c>
      <c r="M3335" t="b">
        <v>0</v>
      </c>
      <c r="N3335" t="inlineStr">
        <is>
          <t>ref</t>
        </is>
      </c>
      <c r="O3335" t="n">
        <v>-85</v>
      </c>
      <c r="P3335" t="n">
        <v>0.00182</v>
      </c>
      <c r="Q3335" t="n">
        <v>80</v>
      </c>
      <c r="R3335" t="n">
        <v>0.0216</v>
      </c>
      <c r="S3335">
        <f>IMAGE("https://mitra.stanford.edu/kundaje/oak/projects/neuro-variants/variant_position/credible/roussos_2024/variant_figures/roussos_2024.childhood.GABA/rs13189822_count_position.png",4,220,900)</f>
        <v/>
      </c>
      <c r="T3335">
        <f>IMAGE("https://mitra.stanford.edu/kundaje/oak/projects/neuro-variants/variant_position/credible/roussos_2024/variant_figures/roussos_2024.childhood.GABA/rs13189822_profile_position.png",4,220,900)</f>
        <v/>
      </c>
    </row>
    <row r="3336">
      <c r="A3336" t="inlineStr">
        <is>
          <t>chr5</t>
        </is>
      </c>
      <c r="B3336" t="n">
        <v>109786878</v>
      </c>
      <c r="C3336" t="inlineStr">
        <is>
          <t>A</t>
        </is>
      </c>
      <c r="D3336" t="inlineStr">
        <is>
          <t>G</t>
        </is>
      </c>
      <c r="E3336" t="inlineStr">
        <is>
          <t>rs2269205</t>
        </is>
      </c>
      <c r="F3336" t="n">
        <v>0.0194627777</v>
      </c>
      <c r="G3336" t="n">
        <v>0.334645180550547</v>
      </c>
      <c r="H3336" t="n">
        <v>0.0276305893251056</v>
      </c>
      <c r="I3336" t="n">
        <v>0.0189183087468382</v>
      </c>
      <c r="J3336" t="n">
        <v>0.0857929676865405</v>
      </c>
      <c r="K3336" t="n">
        <v>0.3809103911808167</v>
      </c>
      <c r="L3336" t="b">
        <v>1</v>
      </c>
      <c r="M3336" t="b">
        <v>0</v>
      </c>
      <c r="N3336" t="inlineStr">
        <is>
          <t>alt</t>
        </is>
      </c>
      <c r="O3336" t="n">
        <v>75</v>
      </c>
      <c r="P3336" t="n">
        <v>0.009809999999999999</v>
      </c>
      <c r="Q3336" t="n">
        <v>65</v>
      </c>
      <c r="R3336" t="n">
        <v>0.04395</v>
      </c>
      <c r="S3336">
        <f>IMAGE("https://mitra.stanford.edu/kundaje/oak/projects/neuro-variants/variant_position/credible/roussos_2024/variant_figures/roussos_2024.childhood.GABA/rs2269205_count_position.png",4,220,900)</f>
        <v/>
      </c>
      <c r="T3336">
        <f>IMAGE("https://mitra.stanford.edu/kundaje/oak/projects/neuro-variants/variant_position/credible/roussos_2024/variant_figures/roussos_2024.childhood.GABA/rs2269205_profile_position.png",4,220,900)</f>
        <v/>
      </c>
    </row>
    <row r="3337">
      <c r="A3337" t="inlineStr">
        <is>
          <t>chr5</t>
        </is>
      </c>
      <c r="B3337" t="n">
        <v>109786985</v>
      </c>
      <c r="C3337" t="inlineStr">
        <is>
          <t>G</t>
        </is>
      </c>
      <c r="D3337" t="inlineStr">
        <is>
          <t>A</t>
        </is>
      </c>
      <c r="E3337" t="inlineStr">
        <is>
          <t>rs2269206</t>
        </is>
      </c>
      <c r="F3337" t="n">
        <v>-0.0367531747999999</v>
      </c>
      <c r="G3337" t="n">
        <v>0.245295985790322</v>
      </c>
      <c r="H3337" t="n">
        <v>0.009726911923977399</v>
      </c>
      <c r="I3337" t="n">
        <v>0.6690796204596486</v>
      </c>
      <c r="J3337" t="n">
        <v>0.0939404410378839</v>
      </c>
      <c r="K3337" t="n">
        <v>0.3623413829130235</v>
      </c>
      <c r="L3337" t="b">
        <v>0</v>
      </c>
      <c r="M3337" t="b">
        <v>0</v>
      </c>
      <c r="N3337" t="inlineStr">
        <is>
          <t>ref</t>
        </is>
      </c>
      <c r="O3337" t="n">
        <v>-30</v>
      </c>
      <c r="P3337" t="n">
        <v>0.003937</v>
      </c>
      <c r="Q3337" t="n">
        <v>-40</v>
      </c>
      <c r="R3337" t="n">
        <v>0.1196</v>
      </c>
      <c r="S3337">
        <f>IMAGE("https://mitra.stanford.edu/kundaje/oak/projects/neuro-variants/variant_position/credible/roussos_2024/variant_figures/roussos_2024.childhood.GABA/rs2269206_count_position.png",4,220,900)</f>
        <v/>
      </c>
      <c r="T3337">
        <f>IMAGE("https://mitra.stanford.edu/kundaje/oak/projects/neuro-variants/variant_position/credible/roussos_2024/variant_figures/roussos_2024.childhood.GABA/rs2269206_profile_position.png",4,220,900)</f>
        <v/>
      </c>
    </row>
    <row r="3338">
      <c r="A3338" t="inlineStr">
        <is>
          <t>chr5</t>
        </is>
      </c>
      <c r="B3338" t="n">
        <v>109796377</v>
      </c>
      <c r="C3338" t="inlineStr">
        <is>
          <t>A</t>
        </is>
      </c>
      <c r="D3338" t="inlineStr">
        <is>
          <t>T</t>
        </is>
      </c>
      <c r="E3338" t="inlineStr">
        <is>
          <t>rs2301009</t>
        </is>
      </c>
      <c r="F3338" t="n">
        <v>0.00915718554</v>
      </c>
      <c r="G3338" t="n">
        <v>0.5922455038778178</v>
      </c>
      <c r="H3338" t="n">
        <v>0.0203087143287645</v>
      </c>
      <c r="I3338" t="n">
        <v>0.07105438609374951</v>
      </c>
      <c r="J3338" t="n">
        <v>0.0216257251157043</v>
      </c>
      <c r="K3338" t="n">
        <v>0.6331627175832629</v>
      </c>
      <c r="L3338" t="b">
        <v>0</v>
      </c>
      <c r="M3338" t="b">
        <v>0</v>
      </c>
      <c r="N3338" t="inlineStr">
        <is>
          <t>alt</t>
        </is>
      </c>
      <c r="O3338" t="n">
        <v>-100</v>
      </c>
      <c r="P3338" t="n">
        <v>0.00496</v>
      </c>
      <c r="Q3338" t="n">
        <v>-100</v>
      </c>
      <c r="R3338" t="n">
        <v>0.1359</v>
      </c>
      <c r="S3338">
        <f>IMAGE("https://mitra.stanford.edu/kundaje/oak/projects/neuro-variants/variant_position/credible/roussos_2024/variant_figures/roussos_2024.childhood.GABA/rs2301009_count_position.png",4,220,900)</f>
        <v/>
      </c>
      <c r="T3338">
        <f>IMAGE("https://mitra.stanford.edu/kundaje/oak/projects/neuro-variants/variant_position/credible/roussos_2024/variant_figures/roussos_2024.childhood.GABA/rs2301009_profile_position.png",4,220,900)</f>
        <v/>
      </c>
    </row>
    <row r="3339">
      <c r="A3339" t="inlineStr">
        <is>
          <t>chr5</t>
        </is>
      </c>
      <c r="B3339" t="n">
        <v>109799795</v>
      </c>
      <c r="C3339" t="inlineStr">
        <is>
          <t>A</t>
        </is>
      </c>
      <c r="D3339" t="inlineStr">
        <is>
          <t>G</t>
        </is>
      </c>
      <c r="E3339" t="inlineStr">
        <is>
          <t>rs1008661</t>
        </is>
      </c>
      <c r="F3339" t="n">
        <v>-0.0052775279679999</v>
      </c>
      <c r="G3339" t="n">
        <v>0.7524872168146819</v>
      </c>
      <c r="H3339" t="n">
        <v>0.026152527469016</v>
      </c>
      <c r="I3339" t="n">
        <v>0.0230736206121803</v>
      </c>
      <c r="J3339" t="n">
        <v>0.029602521413164</v>
      </c>
      <c r="K3339" t="n">
        <v>0.6001918219139138</v>
      </c>
      <c r="L3339" t="b">
        <v>0</v>
      </c>
      <c r="M3339" t="b">
        <v>0</v>
      </c>
      <c r="N3339" t="inlineStr">
        <is>
          <t>ref</t>
        </is>
      </c>
      <c r="O3339" t="n">
        <v>-90</v>
      </c>
      <c r="P3339" t="n">
        <v>0.004288</v>
      </c>
      <c r="Q3339" t="n">
        <v>-60</v>
      </c>
      <c r="R3339" t="n">
        <v>0.0911</v>
      </c>
      <c r="S3339">
        <f>IMAGE("https://mitra.stanford.edu/kundaje/oak/projects/neuro-variants/variant_position/credible/roussos_2024/variant_figures/roussos_2024.childhood.GABA/rs1008661_count_position.png",4,220,900)</f>
        <v/>
      </c>
      <c r="T3339">
        <f>IMAGE("https://mitra.stanford.edu/kundaje/oak/projects/neuro-variants/variant_position/credible/roussos_2024/variant_figures/roussos_2024.childhood.GABA/rs1008661_profile_position.png",4,220,900)</f>
        <v/>
      </c>
    </row>
    <row r="3340">
      <c r="A3340" t="inlineStr">
        <is>
          <t>chr5</t>
        </is>
      </c>
      <c r="B3340" t="n">
        <v>109808927</v>
      </c>
      <c r="C3340" t="inlineStr">
        <is>
          <t>T</t>
        </is>
      </c>
      <c r="D3340" t="inlineStr">
        <is>
          <t>G</t>
        </is>
      </c>
      <c r="E3340" t="inlineStr">
        <is>
          <t>rs34052755</t>
        </is>
      </c>
      <c r="F3340" t="n">
        <v>0.0799521196</v>
      </c>
      <c r="G3340" t="n">
        <v>0.0478743965053077</v>
      </c>
      <c r="H3340" t="n">
        <v>0.0134580223022869</v>
      </c>
      <c r="I3340" t="n">
        <v>0.3210261520613944</v>
      </c>
      <c r="J3340" t="n">
        <v>0.003953843898557</v>
      </c>
      <c r="K3340" t="n">
        <v>0.8334036383721654</v>
      </c>
      <c r="L3340" t="b">
        <v>0</v>
      </c>
      <c r="M3340" t="b">
        <v>0</v>
      </c>
      <c r="N3340" t="inlineStr">
        <is>
          <t>alt</t>
        </is>
      </c>
      <c r="O3340" t="n">
        <v>-90</v>
      </c>
      <c r="P3340" t="n">
        <v>0.03668</v>
      </c>
      <c r="Q3340" t="n">
        <v>-100</v>
      </c>
      <c r="R3340" t="n">
        <v>0.0851</v>
      </c>
      <c r="S3340">
        <f>IMAGE("https://mitra.stanford.edu/kundaje/oak/projects/neuro-variants/variant_position/credible/roussos_2024/variant_figures/roussos_2024.childhood.GABA/rs34052755_count_position.png",4,220,900)</f>
        <v/>
      </c>
      <c r="T3340">
        <f>IMAGE("https://mitra.stanford.edu/kundaje/oak/projects/neuro-variants/variant_position/credible/roussos_2024/variant_figures/roussos_2024.childhood.GABA/rs34052755_profile_position.png",4,220,900)</f>
        <v/>
      </c>
    </row>
    <row r="3341">
      <c r="A3341" t="inlineStr">
        <is>
          <t>chr5</t>
        </is>
      </c>
      <c r="B3341" t="n">
        <v>109816784</v>
      </c>
      <c r="C3341" t="inlineStr">
        <is>
          <t>G</t>
        </is>
      </c>
      <c r="D3341" t="inlineStr">
        <is>
          <t>T</t>
        </is>
      </c>
      <c r="E3341" t="inlineStr">
        <is>
          <t>rs4141495</t>
        </is>
      </c>
      <c r="F3341" t="n">
        <v>-0.0493530392</v>
      </c>
      <c r="G3341" t="n">
        <v>0.1550106039570296</v>
      </c>
      <c r="H3341" t="n">
        <v>0.0120290514500764</v>
      </c>
      <c r="I3341" t="n">
        <v>0.4402187547817313</v>
      </c>
      <c r="J3341" t="n">
        <v>0.0101359133840128</v>
      </c>
      <c r="K3341" t="n">
        <v>0.7477868315536621</v>
      </c>
      <c r="L3341" t="b">
        <v>0</v>
      </c>
      <c r="M3341" t="b">
        <v>0</v>
      </c>
      <c r="N3341" t="inlineStr">
        <is>
          <t>ref</t>
        </is>
      </c>
      <c r="O3341" t="n">
        <v>-75</v>
      </c>
      <c r="P3341" t="n">
        <v>0.005474</v>
      </c>
      <c r="Q3341" t="n">
        <v>0</v>
      </c>
      <c r="R3341" t="n">
        <v>0</v>
      </c>
      <c r="S3341">
        <f>IMAGE("https://mitra.stanford.edu/kundaje/oak/projects/neuro-variants/variant_position/credible/roussos_2024/variant_figures/roussos_2024.childhood.GABA/rs4141495_count_position.png",4,220,900)</f>
        <v/>
      </c>
      <c r="T3341">
        <f>IMAGE("https://mitra.stanford.edu/kundaje/oak/projects/neuro-variants/variant_position/credible/roussos_2024/variant_figures/roussos_2024.childhood.GABA/rs4141495_profile_position.png",4,220,900)</f>
        <v/>
      </c>
    </row>
    <row r="3342">
      <c r="A3342" t="inlineStr">
        <is>
          <t>chr5</t>
        </is>
      </c>
      <c r="B3342" t="n">
        <v>109822362</v>
      </c>
      <c r="C3342" t="inlineStr">
        <is>
          <t>A</t>
        </is>
      </c>
      <c r="D3342" t="inlineStr">
        <is>
          <t>C</t>
        </is>
      </c>
      <c r="E3342" t="inlineStr">
        <is>
          <t>rs10515405</t>
        </is>
      </c>
      <c r="F3342" t="n">
        <v>0.01949174564134</v>
      </c>
      <c r="G3342" t="n">
        <v>0.4185674148379007</v>
      </c>
      <c r="H3342" t="n">
        <v>0.0081700884305807</v>
      </c>
      <c r="I3342" t="n">
        <v>0.8409625183639193</v>
      </c>
      <c r="J3342" t="n">
        <v>0.0102238696571799</v>
      </c>
      <c r="K3342" t="n">
        <v>0.7401741460642377</v>
      </c>
      <c r="L3342" t="b">
        <v>0</v>
      </c>
      <c r="M3342" t="b">
        <v>0</v>
      </c>
      <c r="N3342" t="inlineStr">
        <is>
          <t>alt</t>
        </is>
      </c>
      <c r="O3342" t="n">
        <v>-95</v>
      </c>
      <c r="P3342" t="n">
        <v>0.01875</v>
      </c>
      <c r="Q3342" t="n">
        <v>25</v>
      </c>
      <c r="R3342" t="n">
        <v>0.02025</v>
      </c>
      <c r="S3342">
        <f>IMAGE("https://mitra.stanford.edu/kundaje/oak/projects/neuro-variants/variant_position/credible/roussos_2024/variant_figures/roussos_2024.childhood.GABA/rs10515405_count_position.png",4,220,900)</f>
        <v/>
      </c>
      <c r="T3342">
        <f>IMAGE("https://mitra.stanford.edu/kundaje/oak/projects/neuro-variants/variant_position/credible/roussos_2024/variant_figures/roussos_2024.childhood.GABA/rs10515405_profile_position.png",4,220,900)</f>
        <v/>
      </c>
    </row>
    <row r="3343">
      <c r="A3343" t="inlineStr">
        <is>
          <t>chr5</t>
        </is>
      </c>
      <c r="B3343" t="n">
        <v>109836474</v>
      </c>
      <c r="C3343" t="inlineStr">
        <is>
          <t>G</t>
        </is>
      </c>
      <c r="D3343" t="inlineStr">
        <is>
          <t>A</t>
        </is>
      </c>
      <c r="E3343" t="inlineStr">
        <is>
          <t>rs12518625</t>
        </is>
      </c>
      <c r="F3343" t="n">
        <v>0.1164816463999999</v>
      </c>
      <c r="G3343" t="n">
        <v>0.0270270357055907</v>
      </c>
      <c r="H3343" t="n">
        <v>0.0238593526319694</v>
      </c>
      <c r="I3343" t="n">
        <v>0.0407074243175175</v>
      </c>
      <c r="J3343" t="n">
        <v>0.2336359447969675</v>
      </c>
      <c r="K3343" t="n">
        <v>0.1823640487044958</v>
      </c>
      <c r="L3343" t="b">
        <v>0</v>
      </c>
      <c r="M3343" t="b">
        <v>0</v>
      </c>
      <c r="N3343" t="inlineStr">
        <is>
          <t>alt</t>
        </is>
      </c>
      <c r="O3343" t="n">
        <v>-65</v>
      </c>
      <c r="P3343" t="n">
        <v>0.007587</v>
      </c>
      <c r="Q3343" t="n">
        <v>45</v>
      </c>
      <c r="R3343" t="n">
        <v>0.09766</v>
      </c>
      <c r="S3343">
        <f>IMAGE("https://mitra.stanford.edu/kundaje/oak/projects/neuro-variants/variant_position/credible/roussos_2024/variant_figures/roussos_2024.childhood.GABA/rs12518625_count_position.png",4,220,900)</f>
        <v/>
      </c>
      <c r="T3343">
        <f>IMAGE("https://mitra.stanford.edu/kundaje/oak/projects/neuro-variants/variant_position/credible/roussos_2024/variant_figures/roussos_2024.childhood.GABA/rs12518625_profile_position.png",4,220,900)</f>
        <v/>
      </c>
    </row>
    <row r="3344">
      <c r="A3344" t="inlineStr">
        <is>
          <t>chr5</t>
        </is>
      </c>
      <c r="B3344" t="n">
        <v>109841677</v>
      </c>
      <c r="C3344" t="inlineStr">
        <is>
          <t>C</t>
        </is>
      </c>
      <c r="D3344" t="inlineStr">
        <is>
          <t>T</t>
        </is>
      </c>
      <c r="E3344" t="inlineStr">
        <is>
          <t>rs10065099</t>
        </is>
      </c>
      <c r="F3344" t="n">
        <v>-0.0241897986</v>
      </c>
      <c r="G3344" t="n">
        <v>0.3635190636863971</v>
      </c>
      <c r="H3344" t="n">
        <v>0.010807484829792</v>
      </c>
      <c r="I3344" t="n">
        <v>0.5526412275637743</v>
      </c>
      <c r="J3344" t="n">
        <v>0.0097620992230528</v>
      </c>
      <c r="K3344" t="n">
        <v>0.7450979886338631</v>
      </c>
      <c r="L3344" t="b">
        <v>0</v>
      </c>
      <c r="M3344" t="b">
        <v>0</v>
      </c>
      <c r="N3344" t="inlineStr">
        <is>
          <t>ref</t>
        </is>
      </c>
      <c r="O3344" t="n">
        <v>-50</v>
      </c>
      <c r="P3344" t="n">
        <v>0.0002251</v>
      </c>
      <c r="Q3344" t="n">
        <v>-100</v>
      </c>
      <c r="R3344" t="n">
        <v>0.0638</v>
      </c>
      <c r="S3344">
        <f>IMAGE("https://mitra.stanford.edu/kundaje/oak/projects/neuro-variants/variant_position/credible/roussos_2024/variant_figures/roussos_2024.childhood.GABA/rs10065099_count_position.png",4,220,900)</f>
        <v/>
      </c>
      <c r="T3344">
        <f>IMAGE("https://mitra.stanford.edu/kundaje/oak/projects/neuro-variants/variant_position/credible/roussos_2024/variant_figures/roussos_2024.childhood.GABA/rs10065099_profile_position.png",4,220,900)</f>
        <v/>
      </c>
    </row>
    <row r="3345">
      <c r="A3345" t="inlineStr">
        <is>
          <t>chr5</t>
        </is>
      </c>
      <c r="B3345" t="n">
        <v>109847218</v>
      </c>
      <c r="C3345" t="inlineStr">
        <is>
          <t>C</t>
        </is>
      </c>
      <c r="D3345" t="inlineStr">
        <is>
          <t>T</t>
        </is>
      </c>
      <c r="E3345" t="inlineStr">
        <is>
          <t>rs17162347</t>
        </is>
      </c>
      <c r="F3345" t="n">
        <v>0.0505308062</v>
      </c>
      <c r="G3345" t="n">
        <v>0.1064105518881704</v>
      </c>
      <c r="H3345" t="n">
        <v>0.0161424972903532</v>
      </c>
      <c r="I3345" t="n">
        <v>0.1712148518044787</v>
      </c>
      <c r="J3345" t="n">
        <v>0.0386086155263763</v>
      </c>
      <c r="K3345" t="n">
        <v>0.5335253850287365</v>
      </c>
      <c r="L3345" t="b">
        <v>0</v>
      </c>
      <c r="M3345" t="b">
        <v>0</v>
      </c>
      <c r="N3345" t="inlineStr">
        <is>
          <t>alt</t>
        </is>
      </c>
      <c r="O3345" t="n">
        <v>65</v>
      </c>
      <c r="P3345" t="n">
        <v>0.02077</v>
      </c>
      <c r="Q3345" t="n">
        <v>-10</v>
      </c>
      <c r="R3345" t="n">
        <v>0.01416</v>
      </c>
      <c r="S3345">
        <f>IMAGE("https://mitra.stanford.edu/kundaje/oak/projects/neuro-variants/variant_position/credible/roussos_2024/variant_figures/roussos_2024.childhood.GABA/rs17162347_count_position.png",4,220,900)</f>
        <v/>
      </c>
      <c r="T3345">
        <f>IMAGE("https://mitra.stanford.edu/kundaje/oak/projects/neuro-variants/variant_position/credible/roussos_2024/variant_figures/roussos_2024.childhood.GABA/rs17162347_profile_position.png",4,220,900)</f>
        <v/>
      </c>
    </row>
    <row r="3346">
      <c r="A3346" t="inlineStr">
        <is>
          <t>chr5</t>
        </is>
      </c>
      <c r="B3346" t="n">
        <v>109864270</v>
      </c>
      <c r="C3346" t="inlineStr">
        <is>
          <t>T</t>
        </is>
      </c>
      <c r="D3346" t="inlineStr">
        <is>
          <t>G</t>
        </is>
      </c>
      <c r="E3346" t="inlineStr">
        <is>
          <t>rs12187114</t>
        </is>
      </c>
      <c r="F3346" t="n">
        <v>-0.0017195407</v>
      </c>
      <c r="G3346" t="n">
        <v>0.8588843055989909</v>
      </c>
      <c r="H3346" t="n">
        <v>0.0308213988544935</v>
      </c>
      <c r="I3346" t="n">
        <v>0.0112241429547748</v>
      </c>
      <c r="J3346" t="n">
        <v>0.0610992439948901</v>
      </c>
      <c r="K3346" t="n">
        <v>0.4450207026500751</v>
      </c>
      <c r="L3346" t="b">
        <v>1</v>
      </c>
      <c r="M3346" t="b">
        <v>0</v>
      </c>
      <c r="N3346" t="inlineStr">
        <is>
          <t>ref</t>
        </is>
      </c>
      <c r="O3346" t="n">
        <v>-15</v>
      </c>
      <c r="P3346" t="n">
        <v>0.0001984</v>
      </c>
      <c r="Q3346" t="n">
        <v>-100</v>
      </c>
      <c r="R3346" t="n">
        <v>0.07764</v>
      </c>
      <c r="S3346">
        <f>IMAGE("https://mitra.stanford.edu/kundaje/oak/projects/neuro-variants/variant_position/credible/roussos_2024/variant_figures/roussos_2024.childhood.GABA/rs12187114_count_position.png",4,220,900)</f>
        <v/>
      </c>
      <c r="T3346">
        <f>IMAGE("https://mitra.stanford.edu/kundaje/oak/projects/neuro-variants/variant_position/credible/roussos_2024/variant_figures/roussos_2024.childhood.GABA/rs12187114_profile_position.png",4,220,900)</f>
        <v/>
      </c>
    </row>
    <row r="3347">
      <c r="A3347" t="inlineStr">
        <is>
          <t>chr5</t>
        </is>
      </c>
      <c r="B3347" t="n">
        <v>109864280</v>
      </c>
      <c r="C3347" t="inlineStr">
        <is>
          <t>A</t>
        </is>
      </c>
      <c r="D3347" t="inlineStr">
        <is>
          <t>G</t>
        </is>
      </c>
      <c r="E3347" t="inlineStr">
        <is>
          <t>rs11241042</t>
        </is>
      </c>
      <c r="F3347" t="n">
        <v>-0.0029590475919999</v>
      </c>
      <c r="G3347" t="n">
        <v>0.8822732220437073</v>
      </c>
      <c r="H3347" t="n">
        <v>0.013021620745351</v>
      </c>
      <c r="I3347" t="n">
        <v>0.3517625608240501</v>
      </c>
      <c r="J3347" t="n">
        <v>0.0605139159389331</v>
      </c>
      <c r="K3347" t="n">
        <v>0.446711998886832</v>
      </c>
      <c r="L3347" t="b">
        <v>0</v>
      </c>
      <c r="M3347" t="b">
        <v>0</v>
      </c>
      <c r="N3347" t="inlineStr">
        <is>
          <t>ref</t>
        </is>
      </c>
      <c r="O3347" t="n">
        <v>-25</v>
      </c>
      <c r="P3347" t="n">
        <v>0.002548</v>
      </c>
      <c r="Q3347" t="n">
        <v>-100</v>
      </c>
      <c r="R3347" t="n">
        <v>0.0673</v>
      </c>
      <c r="S3347">
        <f>IMAGE("https://mitra.stanford.edu/kundaje/oak/projects/neuro-variants/variant_position/credible/roussos_2024/variant_figures/roussos_2024.childhood.GABA/rs11241042_count_position.png",4,220,900)</f>
        <v/>
      </c>
      <c r="T3347">
        <f>IMAGE("https://mitra.stanford.edu/kundaje/oak/projects/neuro-variants/variant_position/credible/roussos_2024/variant_figures/roussos_2024.childhood.GABA/rs11241042_profile_position.png",4,220,900)</f>
        <v/>
      </c>
    </row>
    <row r="3348">
      <c r="A3348" t="inlineStr">
        <is>
          <t>chr5</t>
        </is>
      </c>
      <c r="B3348" t="n">
        <v>109873641</v>
      </c>
      <c r="C3348" t="inlineStr">
        <is>
          <t>T</t>
        </is>
      </c>
      <c r="D3348" t="inlineStr">
        <is>
          <t>C</t>
        </is>
      </c>
      <c r="E3348" t="inlineStr">
        <is>
          <t>rs12656279</t>
        </is>
      </c>
      <c r="F3348" t="n">
        <v>0.090024514</v>
      </c>
      <c r="G3348" t="n">
        <v>0.0358173706535208</v>
      </c>
      <c r="H3348" t="n">
        <v>0.0142580850275783</v>
      </c>
      <c r="I3348" t="n">
        <v>0.269615255265861</v>
      </c>
      <c r="J3348" t="n">
        <v>0.07063831123955509</v>
      </c>
      <c r="K3348" t="n">
        <v>0.4323344276719926</v>
      </c>
      <c r="L3348" t="b">
        <v>0</v>
      </c>
      <c r="M3348" t="b">
        <v>0</v>
      </c>
      <c r="N3348" t="inlineStr">
        <is>
          <t>alt</t>
        </is>
      </c>
      <c r="O3348" t="n">
        <v>-70</v>
      </c>
      <c r="P3348" t="n">
        <v>0.002094</v>
      </c>
      <c r="Q3348" t="n">
        <v>40</v>
      </c>
      <c r="R3348" t="n">
        <v>0.03162</v>
      </c>
      <c r="S3348">
        <f>IMAGE("https://mitra.stanford.edu/kundaje/oak/projects/neuro-variants/variant_position/credible/roussos_2024/variant_figures/roussos_2024.childhood.GABA/rs12656279_count_position.png",4,220,900)</f>
        <v/>
      </c>
      <c r="T3348">
        <f>IMAGE("https://mitra.stanford.edu/kundaje/oak/projects/neuro-variants/variant_position/credible/roussos_2024/variant_figures/roussos_2024.childhood.GABA/rs12656279_profile_position.png",4,220,900)</f>
        <v/>
      </c>
    </row>
    <row r="3349">
      <c r="A3349" t="inlineStr">
        <is>
          <t>chr5</t>
        </is>
      </c>
      <c r="B3349" t="n">
        <v>119388814</v>
      </c>
      <c r="C3349" t="inlineStr">
        <is>
          <t>G</t>
        </is>
      </c>
      <c r="D3349" t="inlineStr">
        <is>
          <t>A</t>
        </is>
      </c>
      <c r="E3349" t="inlineStr">
        <is>
          <t>rs6888436</t>
        </is>
      </c>
      <c r="F3349" t="n">
        <v>0.0058861613599999</v>
      </c>
      <c r="G3349" t="n">
        <v>0.7412904254871486</v>
      </c>
      <c r="H3349" t="n">
        <v>0.0211864261744324</v>
      </c>
      <c r="I3349" t="n">
        <v>0.0601655795180595</v>
      </c>
      <c r="J3349" t="n">
        <v>0.0215482398274381</v>
      </c>
      <c r="K3349" t="n">
        <v>0.63912191485276</v>
      </c>
      <c r="L3349" t="b">
        <v>0</v>
      </c>
      <c r="M3349" t="b">
        <v>0</v>
      </c>
      <c r="N3349" t="inlineStr">
        <is>
          <t>alt</t>
        </is>
      </c>
      <c r="O3349" t="n">
        <v>-100</v>
      </c>
      <c r="P3349" t="n">
        <v>0.007248</v>
      </c>
      <c r="Q3349" t="n">
        <v>-60</v>
      </c>
      <c r="R3349" t="n">
        <v>0.03009</v>
      </c>
      <c r="S3349">
        <f>IMAGE("https://mitra.stanford.edu/kundaje/oak/projects/neuro-variants/variant_position/credible/roussos_2024/variant_figures/roussos_2024.childhood.GABA/rs6888436_count_position.png",4,220,900)</f>
        <v/>
      </c>
      <c r="T3349">
        <f>IMAGE("https://mitra.stanford.edu/kundaje/oak/projects/neuro-variants/variant_position/credible/roussos_2024/variant_figures/roussos_2024.childhood.GABA/rs6888436_profile_position.png",4,220,900)</f>
        <v/>
      </c>
    </row>
    <row r="3350">
      <c r="A3350" t="inlineStr">
        <is>
          <t>chr5</t>
        </is>
      </c>
      <c r="B3350" t="n">
        <v>119389627</v>
      </c>
      <c r="C3350" t="inlineStr">
        <is>
          <t>T</t>
        </is>
      </c>
      <c r="D3350" t="inlineStr">
        <is>
          <t>C</t>
        </is>
      </c>
      <c r="E3350" t="inlineStr">
        <is>
          <t>rs1848554</t>
        </is>
      </c>
      <c r="F3350" t="n">
        <v>0.0110429847</v>
      </c>
      <c r="G3350" t="n">
        <v>0.5745691413645476</v>
      </c>
      <c r="H3350" t="n">
        <v>0.0127374911891636</v>
      </c>
      <c r="I3350" t="n">
        <v>0.3785149150150212</v>
      </c>
      <c r="J3350" t="n">
        <v>0.0439509120227848</v>
      </c>
      <c r="K3350" t="n">
        <v>0.5118417133196856</v>
      </c>
      <c r="L3350" t="b">
        <v>0</v>
      </c>
      <c r="M3350" t="b">
        <v>0</v>
      </c>
      <c r="N3350" t="inlineStr">
        <is>
          <t>alt</t>
        </is>
      </c>
      <c r="O3350" t="n">
        <v>50</v>
      </c>
      <c r="P3350" t="n">
        <v>0.003641</v>
      </c>
      <c r="Q3350" t="n">
        <v>55</v>
      </c>
      <c r="R3350" t="n">
        <v>0.1064</v>
      </c>
      <c r="S3350">
        <f>IMAGE("https://mitra.stanford.edu/kundaje/oak/projects/neuro-variants/variant_position/credible/roussos_2024/variant_figures/roussos_2024.childhood.GABA/rs1848554_count_position.png",4,220,900)</f>
        <v/>
      </c>
      <c r="T3350">
        <f>IMAGE("https://mitra.stanford.edu/kundaje/oak/projects/neuro-variants/variant_position/credible/roussos_2024/variant_figures/roussos_2024.childhood.GABA/rs1848554_profile_position.png",4,220,900)</f>
        <v/>
      </c>
    </row>
    <row r="3351">
      <c r="A3351" t="inlineStr">
        <is>
          <t>chr5</t>
        </is>
      </c>
      <c r="B3351" t="n">
        <v>119442221</v>
      </c>
      <c r="C3351" t="inlineStr">
        <is>
          <t>A</t>
        </is>
      </c>
      <c r="D3351" t="inlineStr">
        <is>
          <t>C</t>
        </is>
      </c>
      <c r="E3351" t="inlineStr">
        <is>
          <t>rs32643</t>
        </is>
      </c>
      <c r="F3351" t="n">
        <v>0.0139291298529999</v>
      </c>
      <c r="G3351" t="n">
        <v>0.5468623929237177</v>
      </c>
      <c r="H3351" t="n">
        <v>0.0240171283680947</v>
      </c>
      <c r="I3351" t="n">
        <v>0.0337500801872626</v>
      </c>
      <c r="J3351" t="n">
        <v>0.008953739188707999</v>
      </c>
      <c r="K3351" t="n">
        <v>0.7563855873039698</v>
      </c>
      <c r="L3351" t="b">
        <v>0</v>
      </c>
      <c r="M3351" t="b">
        <v>0</v>
      </c>
      <c r="N3351" t="inlineStr">
        <is>
          <t>alt</t>
        </is>
      </c>
      <c r="O3351" t="n">
        <v>-85</v>
      </c>
      <c r="P3351" t="n">
        <v>0.002495</v>
      </c>
      <c r="Q3351" t="n">
        <v>-100</v>
      </c>
      <c r="R3351" t="n">
        <v>0.1271</v>
      </c>
      <c r="S3351">
        <f>IMAGE("https://mitra.stanford.edu/kundaje/oak/projects/neuro-variants/variant_position/credible/roussos_2024/variant_figures/roussos_2024.childhood.GABA/rs32643_count_position.png",4,220,900)</f>
        <v/>
      </c>
      <c r="T3351">
        <f>IMAGE("https://mitra.stanford.edu/kundaje/oak/projects/neuro-variants/variant_position/credible/roussos_2024/variant_figures/roussos_2024.childhood.GABA/rs32643_profile_position.png",4,220,900)</f>
        <v/>
      </c>
    </row>
    <row r="3352">
      <c r="A3352" t="inlineStr">
        <is>
          <t>chr5</t>
        </is>
      </c>
      <c r="B3352" t="n">
        <v>126910206</v>
      </c>
      <c r="C3352" t="inlineStr">
        <is>
          <t>C</t>
        </is>
      </c>
      <c r="D3352" t="inlineStr">
        <is>
          <t>T</t>
        </is>
      </c>
      <c r="E3352" t="inlineStr">
        <is>
          <t>rs11956061</t>
        </is>
      </c>
      <c r="F3352" t="n">
        <v>0.057307329</v>
      </c>
      <c r="G3352" t="n">
        <v>0.109553476429421</v>
      </c>
      <c r="H3352" t="n">
        <v>0.0279640443237424</v>
      </c>
      <c r="I3352" t="n">
        <v>0.0192895932779798</v>
      </c>
      <c r="J3352" t="n">
        <v>0.3603945467110636</v>
      </c>
      <c r="K3352" t="n">
        <v>0.1039733603814378</v>
      </c>
      <c r="L3352" t="b">
        <v>1</v>
      </c>
      <c r="M3352" t="b">
        <v>0</v>
      </c>
      <c r="N3352" t="inlineStr">
        <is>
          <t>alt</t>
        </is>
      </c>
      <c r="O3352" t="n">
        <v>-100</v>
      </c>
      <c r="P3352" t="n">
        <v>0.0415</v>
      </c>
      <c r="Q3352" t="n">
        <v>-100</v>
      </c>
      <c r="R3352" t="n">
        <v>0.3499</v>
      </c>
      <c r="S3352">
        <f>IMAGE("https://mitra.stanford.edu/kundaje/oak/projects/neuro-variants/variant_position/credible/roussos_2024/variant_figures/roussos_2024.childhood.GABA/rs11956061_count_position.png",4,220,900)</f>
        <v/>
      </c>
      <c r="T3352">
        <f>IMAGE("https://mitra.stanford.edu/kundaje/oak/projects/neuro-variants/variant_position/credible/roussos_2024/variant_figures/roussos_2024.childhood.GABA/rs11956061_profile_position.png",4,220,900)</f>
        <v/>
      </c>
    </row>
    <row r="3353">
      <c r="A3353" t="inlineStr">
        <is>
          <t>chr5</t>
        </is>
      </c>
      <c r="B3353" t="n">
        <v>126971918</v>
      </c>
      <c r="C3353" t="inlineStr">
        <is>
          <t>C</t>
        </is>
      </c>
      <c r="D3353" t="inlineStr">
        <is>
          <t>T</t>
        </is>
      </c>
      <c r="E3353" t="inlineStr">
        <is>
          <t>rs4836307</t>
        </is>
      </c>
      <c r="F3353" t="n">
        <v>0.00252034176</v>
      </c>
      <c r="G3353" t="n">
        <v>0.6428174674782938</v>
      </c>
      <c r="H3353" t="n">
        <v>0.0077477557551398</v>
      </c>
      <c r="I3353" t="n">
        <v>0.8840875673261372</v>
      </c>
      <c r="J3353" t="n">
        <v>0.06589809637494499</v>
      </c>
      <c r="K3353" t="n">
        <v>0.4306517298799135</v>
      </c>
      <c r="L3353" t="b">
        <v>0</v>
      </c>
      <c r="M3353" t="b">
        <v>0</v>
      </c>
      <c r="N3353" t="inlineStr">
        <is>
          <t>alt</t>
        </is>
      </c>
      <c r="O3353" t="n">
        <v>50</v>
      </c>
      <c r="P3353" t="n">
        <v>0.003126</v>
      </c>
      <c r="Q3353" t="n">
        <v>55</v>
      </c>
      <c r="R3353" t="n">
        <v>0.08624</v>
      </c>
      <c r="S3353">
        <f>IMAGE("https://mitra.stanford.edu/kundaje/oak/projects/neuro-variants/variant_position/credible/roussos_2024/variant_figures/roussos_2024.childhood.GABA/rs4836307_count_position.png",4,220,900)</f>
        <v/>
      </c>
      <c r="T3353">
        <f>IMAGE("https://mitra.stanford.edu/kundaje/oak/projects/neuro-variants/variant_position/credible/roussos_2024/variant_figures/roussos_2024.childhood.GABA/rs4836307_profile_position.png",4,220,900)</f>
        <v/>
      </c>
    </row>
    <row r="3354">
      <c r="A3354" t="inlineStr">
        <is>
          <t>chr5</t>
        </is>
      </c>
      <c r="B3354" t="n">
        <v>126981234</v>
      </c>
      <c r="C3354" t="inlineStr">
        <is>
          <t>G</t>
        </is>
      </c>
      <c r="D3354" t="inlineStr">
        <is>
          <t>A</t>
        </is>
      </c>
      <c r="E3354" t="inlineStr">
        <is>
          <t>rs12657369</t>
        </is>
      </c>
      <c r="F3354" t="n">
        <v>0.001871661</v>
      </c>
      <c r="G3354" t="n">
        <v>0.8075446753697473</v>
      </c>
      <c r="H3354" t="n">
        <v>0.0128080337474871</v>
      </c>
      <c r="I3354" t="n">
        <v>0.3726189313270718</v>
      </c>
      <c r="J3354" t="n">
        <v>0.0160666792318485</v>
      </c>
      <c r="K3354" t="n">
        <v>0.6804922760699849</v>
      </c>
      <c r="L3354" t="b">
        <v>0</v>
      </c>
      <c r="M3354" t="b">
        <v>0</v>
      </c>
      <c r="N3354" t="inlineStr">
        <is>
          <t>alt</t>
        </is>
      </c>
      <c r="O3354" t="n">
        <v>-40</v>
      </c>
      <c r="P3354" t="n">
        <v>0.002556</v>
      </c>
      <c r="Q3354" t="n">
        <v>-95</v>
      </c>
      <c r="R3354" t="n">
        <v>0.091</v>
      </c>
      <c r="S3354">
        <f>IMAGE("https://mitra.stanford.edu/kundaje/oak/projects/neuro-variants/variant_position/credible/roussos_2024/variant_figures/roussos_2024.childhood.GABA/rs12657369_count_position.png",4,220,900)</f>
        <v/>
      </c>
      <c r="T3354">
        <f>IMAGE("https://mitra.stanford.edu/kundaje/oak/projects/neuro-variants/variant_position/credible/roussos_2024/variant_figures/roussos_2024.childhood.GABA/rs12657369_profile_position.png",4,220,900)</f>
        <v/>
      </c>
    </row>
    <row r="3355">
      <c r="A3355" t="inlineStr">
        <is>
          <t>chr5</t>
        </is>
      </c>
      <c r="B3355" t="n">
        <v>126988408</v>
      </c>
      <c r="C3355" t="inlineStr">
        <is>
          <t>C</t>
        </is>
      </c>
      <c r="D3355" t="inlineStr">
        <is>
          <t>T</t>
        </is>
      </c>
      <c r="E3355" t="inlineStr">
        <is>
          <t>rs10057084</t>
        </is>
      </c>
      <c r="F3355" t="n">
        <v>0.0112501865411999</v>
      </c>
      <c r="G3355" t="n">
        <v>0.6038086124998552</v>
      </c>
      <c r="H3355" t="n">
        <v>0.0103401121288697</v>
      </c>
      <c r="I3355" t="n">
        <v>0.5910523388465808</v>
      </c>
      <c r="J3355" t="n">
        <v>0.0590071412117023</v>
      </c>
      <c r="K3355" t="n">
        <v>0.4677463108768506</v>
      </c>
      <c r="L3355" t="b">
        <v>0</v>
      </c>
      <c r="M3355" t="b">
        <v>0</v>
      </c>
      <c r="N3355" t="inlineStr">
        <is>
          <t>alt</t>
        </is>
      </c>
      <c r="O3355" t="n">
        <v>-10</v>
      </c>
      <c r="P3355" t="n">
        <v>0.001472</v>
      </c>
      <c r="Q3355" t="n">
        <v>-100</v>
      </c>
      <c r="R3355" t="n">
        <v>0.04932</v>
      </c>
      <c r="S3355">
        <f>IMAGE("https://mitra.stanford.edu/kundaje/oak/projects/neuro-variants/variant_position/credible/roussos_2024/variant_figures/roussos_2024.childhood.GABA/rs10057084_count_position.png",4,220,900)</f>
        <v/>
      </c>
      <c r="T3355">
        <f>IMAGE("https://mitra.stanford.edu/kundaje/oak/projects/neuro-variants/variant_position/credible/roussos_2024/variant_figures/roussos_2024.childhood.GABA/rs10057084_profile_position.png",4,220,900)</f>
        <v/>
      </c>
    </row>
    <row r="3356">
      <c r="A3356" t="inlineStr">
        <is>
          <t>chr5</t>
        </is>
      </c>
      <c r="B3356" t="n">
        <v>127011852</v>
      </c>
      <c r="C3356" t="inlineStr">
        <is>
          <t>G</t>
        </is>
      </c>
      <c r="D3356" t="inlineStr">
        <is>
          <t>A</t>
        </is>
      </c>
      <c r="E3356" t="inlineStr">
        <is>
          <t>rs9327428</t>
        </is>
      </c>
      <c r="F3356" t="n">
        <v>-0.0827249214</v>
      </c>
      <c r="G3356" t="n">
        <v>0.0528783059269819</v>
      </c>
      <c r="H3356" t="n">
        <v>0.0199671302186582</v>
      </c>
      <c r="I3356" t="n">
        <v>0.08043582973775321</v>
      </c>
      <c r="J3356" t="n">
        <v>0.0989979267449895</v>
      </c>
      <c r="K3356" t="n">
        <v>0.3536385522621451</v>
      </c>
      <c r="L3356" t="b">
        <v>0</v>
      </c>
      <c r="M3356" t="b">
        <v>0</v>
      </c>
      <c r="N3356" t="inlineStr">
        <is>
          <t>ref</t>
        </is>
      </c>
      <c r="O3356" t="n">
        <v>-100</v>
      </c>
      <c r="P3356" t="n">
        <v>0.00409</v>
      </c>
      <c r="Q3356" t="n">
        <v>90</v>
      </c>
      <c r="R3356" t="n">
        <v>0.1172</v>
      </c>
      <c r="S3356">
        <f>IMAGE("https://mitra.stanford.edu/kundaje/oak/projects/neuro-variants/variant_position/credible/roussos_2024/variant_figures/roussos_2024.childhood.GABA/rs9327428_count_position.png",4,220,900)</f>
        <v/>
      </c>
      <c r="T3356">
        <f>IMAGE("https://mitra.stanford.edu/kundaje/oak/projects/neuro-variants/variant_position/credible/roussos_2024/variant_figures/roussos_2024.childhood.GABA/rs9327428_profile_position.png",4,220,900)</f>
        <v/>
      </c>
    </row>
    <row r="3357">
      <c r="A3357" t="inlineStr">
        <is>
          <t>chr5</t>
        </is>
      </c>
      <c r="B3357" t="n">
        <v>127021395</v>
      </c>
      <c r="C3357" t="inlineStr">
        <is>
          <t>T</t>
        </is>
      </c>
      <c r="D3357" t="inlineStr">
        <is>
          <t>A</t>
        </is>
      </c>
      <c r="E3357" t="inlineStr">
        <is>
          <t>rs2108458</t>
        </is>
      </c>
      <c r="F3357" t="n">
        <v>-0.02040974</v>
      </c>
      <c r="G3357" t="n">
        <v>0.4366211907180645</v>
      </c>
      <c r="H3357" t="n">
        <v>0.0373140337568113</v>
      </c>
      <c r="I3357" t="n">
        <v>0.0051006358700736</v>
      </c>
      <c r="J3357" t="n">
        <v>0.0229555401981109</v>
      </c>
      <c r="K3357" t="n">
        <v>0.6215099553153898</v>
      </c>
      <c r="L3357" t="b">
        <v>1</v>
      </c>
      <c r="M3357" t="b">
        <v>0</v>
      </c>
      <c r="N3357" t="inlineStr">
        <is>
          <t>ref</t>
        </is>
      </c>
      <c r="O3357" t="n">
        <v>55</v>
      </c>
      <c r="P3357" t="n">
        <v>0.003387</v>
      </c>
      <c r="Q3357" t="n">
        <v>65</v>
      </c>
      <c r="R3357" t="n">
        <v>0.11523</v>
      </c>
      <c r="S3357">
        <f>IMAGE("https://mitra.stanford.edu/kundaje/oak/projects/neuro-variants/variant_position/credible/roussos_2024/variant_figures/roussos_2024.childhood.GABA/rs2108458_count_position.png",4,220,900)</f>
        <v/>
      </c>
      <c r="T3357">
        <f>IMAGE("https://mitra.stanford.edu/kundaje/oak/projects/neuro-variants/variant_position/credible/roussos_2024/variant_figures/roussos_2024.childhood.GABA/rs2108458_profile_position.png",4,220,900)</f>
        <v/>
      </c>
    </row>
    <row r="3358">
      <c r="A3358" t="inlineStr">
        <is>
          <t>chr5</t>
        </is>
      </c>
      <c r="B3358" t="n">
        <v>127024983</v>
      </c>
      <c r="C3358" t="inlineStr">
        <is>
          <t>G</t>
        </is>
      </c>
      <c r="D3358" t="inlineStr">
        <is>
          <t>A</t>
        </is>
      </c>
      <c r="E3358" t="inlineStr">
        <is>
          <t>rs7706333</t>
        </is>
      </c>
      <c r="F3358" t="n">
        <v>-0.0999253149999999</v>
      </c>
      <c r="G3358" t="n">
        <v>0.0307530050749547</v>
      </c>
      <c r="H3358" t="n">
        <v>0.0140327682835605</v>
      </c>
      <c r="I3358" t="n">
        <v>0.2833061869391471</v>
      </c>
      <c r="J3358" t="n">
        <v>0.0295491193901697</v>
      </c>
      <c r="K3358" t="n">
        <v>0.5786497195898914</v>
      </c>
      <c r="L3358" t="b">
        <v>0</v>
      </c>
      <c r="M3358" t="b">
        <v>0</v>
      </c>
      <c r="N3358" t="inlineStr">
        <is>
          <t>ref</t>
        </is>
      </c>
      <c r="O3358" t="n">
        <v>-85</v>
      </c>
      <c r="P3358" t="n">
        <v>0.00966</v>
      </c>
      <c r="Q3358" t="n">
        <v>-25</v>
      </c>
      <c r="R3358" t="n">
        <v>0.009766</v>
      </c>
      <c r="S3358">
        <f>IMAGE("https://mitra.stanford.edu/kundaje/oak/projects/neuro-variants/variant_position/credible/roussos_2024/variant_figures/roussos_2024.childhood.GABA/rs7706333_count_position.png",4,220,900)</f>
        <v/>
      </c>
      <c r="T3358">
        <f>IMAGE("https://mitra.stanford.edu/kundaje/oak/projects/neuro-variants/variant_position/credible/roussos_2024/variant_figures/roussos_2024.childhood.GABA/rs7706333_profile_position.png",4,220,900)</f>
        <v/>
      </c>
    </row>
    <row r="3359">
      <c r="A3359" t="inlineStr">
        <is>
          <t>chr5</t>
        </is>
      </c>
      <c r="B3359" t="n">
        <v>127028162</v>
      </c>
      <c r="C3359" t="inlineStr">
        <is>
          <t>G</t>
        </is>
      </c>
      <c r="D3359" t="inlineStr">
        <is>
          <t>A</t>
        </is>
      </c>
      <c r="E3359" t="inlineStr">
        <is>
          <t>rs1013662</t>
        </is>
      </c>
      <c r="F3359" t="n">
        <v>-0.08126187479999999</v>
      </c>
      <c r="G3359" t="n">
        <v>0.0503650444374257</v>
      </c>
      <c r="H3359" t="n">
        <v>0.0130045219097587</v>
      </c>
      <c r="I3359" t="n">
        <v>0.3515838147769177</v>
      </c>
      <c r="J3359" t="n">
        <v>0.11471382798266</v>
      </c>
      <c r="K3359" t="n">
        <v>0.3239524366180649</v>
      </c>
      <c r="L3359" t="b">
        <v>0</v>
      </c>
      <c r="M3359" t="b">
        <v>0</v>
      </c>
      <c r="N3359" t="inlineStr">
        <is>
          <t>ref</t>
        </is>
      </c>
      <c r="O3359" t="n">
        <v>-20</v>
      </c>
      <c r="P3359" t="n">
        <v>0.002071</v>
      </c>
      <c r="Q3359" t="n">
        <v>-100</v>
      </c>
      <c r="R3359" t="n">
        <v>0.1877</v>
      </c>
      <c r="S3359">
        <f>IMAGE("https://mitra.stanford.edu/kundaje/oak/projects/neuro-variants/variant_position/credible/roussos_2024/variant_figures/roussos_2024.childhood.GABA/rs1013662_count_position.png",4,220,900)</f>
        <v/>
      </c>
      <c r="T3359">
        <f>IMAGE("https://mitra.stanford.edu/kundaje/oak/projects/neuro-variants/variant_position/credible/roussos_2024/variant_figures/roussos_2024.childhood.GABA/rs1013662_profile_position.png",4,220,900)</f>
        <v/>
      </c>
    </row>
    <row r="3360">
      <c r="A3360" t="inlineStr">
        <is>
          <t>chr5</t>
        </is>
      </c>
      <c r="B3360" t="n">
        <v>127055270</v>
      </c>
      <c r="C3360" t="inlineStr">
        <is>
          <t>T</t>
        </is>
      </c>
      <c r="D3360" t="inlineStr">
        <is>
          <t>C</t>
        </is>
      </c>
      <c r="E3360" t="inlineStr">
        <is>
          <t>rs6899133</t>
        </is>
      </c>
      <c r="F3360" t="n">
        <v>0.0788809774</v>
      </c>
      <c r="G3360" t="n">
        <v>0.0506011674818252</v>
      </c>
      <c r="H3360" t="n">
        <v>0.0155518672579768</v>
      </c>
      <c r="I3360" t="n">
        <v>0.2015354679728227</v>
      </c>
      <c r="J3360" t="n">
        <v>0.0191231597244036</v>
      </c>
      <c r="K3360" t="n">
        <v>0.6735815822589922</v>
      </c>
      <c r="L3360" t="b">
        <v>0</v>
      </c>
      <c r="M3360" t="b">
        <v>0</v>
      </c>
      <c r="N3360" t="inlineStr">
        <is>
          <t>alt</t>
        </is>
      </c>
      <c r="O3360" t="n">
        <v>90</v>
      </c>
      <c r="P3360" t="n">
        <v>0.002563</v>
      </c>
      <c r="Q3360" t="n">
        <v>100</v>
      </c>
      <c r="R3360" t="n">
        <v>0.0597</v>
      </c>
      <c r="S3360">
        <f>IMAGE("https://mitra.stanford.edu/kundaje/oak/projects/neuro-variants/variant_position/credible/roussos_2024/variant_figures/roussos_2024.childhood.GABA/rs6899133_count_position.png",4,220,900)</f>
        <v/>
      </c>
      <c r="T3360">
        <f>IMAGE("https://mitra.stanford.edu/kundaje/oak/projects/neuro-variants/variant_position/credible/roussos_2024/variant_figures/roussos_2024.childhood.GABA/rs6899133_profile_position.png",4,220,900)</f>
        <v/>
      </c>
    </row>
    <row r="3361">
      <c r="A3361" t="inlineStr">
        <is>
          <t>chr5</t>
        </is>
      </c>
      <c r="B3361" t="n">
        <v>127073496</v>
      </c>
      <c r="C3361" t="inlineStr">
        <is>
          <t>C</t>
        </is>
      </c>
      <c r="D3361" t="inlineStr">
        <is>
          <t>G</t>
        </is>
      </c>
      <c r="E3361" t="inlineStr">
        <is>
          <t>rs13154281</t>
        </is>
      </c>
      <c r="F3361" t="n">
        <v>-0.133835356</v>
      </c>
      <c r="G3361" t="n">
        <v>0.0148392577815216</v>
      </c>
      <c r="H3361" t="n">
        <v>0.0269660928780638</v>
      </c>
      <c r="I3361" t="n">
        <v>0.0201111633161897</v>
      </c>
      <c r="J3361" t="n">
        <v>0.7780214026931372</v>
      </c>
      <c r="K3361" t="n">
        <v>0.008142620384859099</v>
      </c>
      <c r="L3361" t="b">
        <v>1</v>
      </c>
      <c r="M3361" t="b">
        <v>0</v>
      </c>
      <c r="N3361" t="inlineStr">
        <is>
          <t>ref</t>
        </is>
      </c>
      <c r="O3361" t="n">
        <v>-50</v>
      </c>
      <c r="P3361" t="n">
        <v>0.00412</v>
      </c>
      <c r="Q3361" t="n">
        <v>-50</v>
      </c>
      <c r="R3361" t="n">
        <v>0.06934</v>
      </c>
      <c r="S3361">
        <f>IMAGE("https://mitra.stanford.edu/kundaje/oak/projects/neuro-variants/variant_position/credible/roussos_2024/variant_figures/roussos_2024.childhood.GABA/rs13154281_count_position.png",4,220,900)</f>
        <v/>
      </c>
      <c r="T3361">
        <f>IMAGE("https://mitra.stanford.edu/kundaje/oak/projects/neuro-variants/variant_position/credible/roussos_2024/variant_figures/roussos_2024.childhood.GABA/rs13154281_profile_position.png",4,220,900)</f>
        <v/>
      </c>
    </row>
    <row r="3362">
      <c r="A3362" t="inlineStr">
        <is>
          <t>chr5</t>
        </is>
      </c>
      <c r="B3362" t="n">
        <v>127091854</v>
      </c>
      <c r="C3362" t="inlineStr">
        <is>
          <t>G</t>
        </is>
      </c>
      <c r="D3362" t="inlineStr">
        <is>
          <t>A</t>
        </is>
      </c>
      <c r="E3362" t="inlineStr">
        <is>
          <t>rs2191209</t>
        </is>
      </c>
      <c r="F3362" t="n">
        <v>-0.112817165</v>
      </c>
      <c r="G3362" t="n">
        <v>0.022356164669855</v>
      </c>
      <c r="H3362" t="n">
        <v>0.0256203710435226</v>
      </c>
      <c r="I3362" t="n">
        <v>0.0264187580515777</v>
      </c>
      <c r="J3362" t="n">
        <v>0.0760151619861363</v>
      </c>
      <c r="K3362" t="n">
        <v>0.4093121089262296</v>
      </c>
      <c r="L3362" t="b">
        <v>0</v>
      </c>
      <c r="M3362" t="b">
        <v>0</v>
      </c>
      <c r="N3362" t="inlineStr">
        <is>
          <t>ref</t>
        </is>
      </c>
      <c r="O3362" t="n">
        <v>75</v>
      </c>
      <c r="P3362" t="n">
        <v>0.000786</v>
      </c>
      <c r="Q3362" t="n">
        <v>-75</v>
      </c>
      <c r="R3362" t="n">
        <v>0.01465</v>
      </c>
      <c r="S3362">
        <f>IMAGE("https://mitra.stanford.edu/kundaje/oak/projects/neuro-variants/variant_position/credible/roussos_2024/variant_figures/roussos_2024.childhood.GABA/rs2191209_count_position.png",4,220,900)</f>
        <v/>
      </c>
      <c r="T3362">
        <f>IMAGE("https://mitra.stanford.edu/kundaje/oak/projects/neuro-variants/variant_position/credible/roussos_2024/variant_figures/roussos_2024.childhood.GABA/rs2191209_profile_position.png",4,220,900)</f>
        <v/>
      </c>
    </row>
    <row r="3363">
      <c r="A3363" t="inlineStr">
        <is>
          <t>chr5</t>
        </is>
      </c>
      <c r="B3363" t="n">
        <v>127092895</v>
      </c>
      <c r="C3363" t="inlineStr">
        <is>
          <t>C</t>
        </is>
      </c>
      <c r="D3363" t="inlineStr">
        <is>
          <t>T</t>
        </is>
      </c>
      <c r="E3363" t="inlineStr">
        <is>
          <t>rs7731621</t>
        </is>
      </c>
      <c r="F3363" t="n">
        <v>-0.08995807</v>
      </c>
      <c r="G3363" t="n">
        <v>0.0420041972019491</v>
      </c>
      <c r="H3363" t="n">
        <v>0.0093183175216488</v>
      </c>
      <c r="I3363" t="n">
        <v>0.7205015653317732</v>
      </c>
      <c r="J3363" t="n">
        <v>0.1085108165274025</v>
      </c>
      <c r="K3363" t="n">
        <v>0.3557140649490114</v>
      </c>
      <c r="L3363" t="b">
        <v>0</v>
      </c>
      <c r="M3363" t="b">
        <v>0</v>
      </c>
      <c r="N3363" t="inlineStr">
        <is>
          <t>ref</t>
        </is>
      </c>
      <c r="O3363" t="n">
        <v>5</v>
      </c>
      <c r="P3363" t="n">
        <v>0.000553</v>
      </c>
      <c r="Q3363" t="n">
        <v>85</v>
      </c>
      <c r="R3363" t="n">
        <v>0.05554</v>
      </c>
      <c r="S3363">
        <f>IMAGE("https://mitra.stanford.edu/kundaje/oak/projects/neuro-variants/variant_position/credible/roussos_2024/variant_figures/roussos_2024.childhood.GABA/rs7731621_count_position.png",4,220,900)</f>
        <v/>
      </c>
      <c r="T3363">
        <f>IMAGE("https://mitra.stanford.edu/kundaje/oak/projects/neuro-variants/variant_position/credible/roussos_2024/variant_figures/roussos_2024.childhood.GABA/rs7731621_profile_position.png",4,220,900)</f>
        <v/>
      </c>
    </row>
    <row r="3364">
      <c r="A3364" t="inlineStr">
        <is>
          <t>chr5</t>
        </is>
      </c>
      <c r="B3364" t="n">
        <v>127115607</v>
      </c>
      <c r="C3364" t="inlineStr">
        <is>
          <t>G</t>
        </is>
      </c>
      <c r="D3364" t="inlineStr">
        <is>
          <t>A</t>
        </is>
      </c>
      <c r="E3364" t="inlineStr">
        <is>
          <t>rs13190493</t>
        </is>
      </c>
      <c r="F3364" t="n">
        <v>-0.0112448824</v>
      </c>
      <c r="G3364" t="n">
        <v>0.5946278567532989</v>
      </c>
      <c r="H3364" t="n">
        <v>0.0097185322416536</v>
      </c>
      <c r="I3364" t="n">
        <v>0.6548804258619065</v>
      </c>
      <c r="J3364" t="n">
        <v>0.1169535716529496</v>
      </c>
      <c r="K3364" t="n">
        <v>0.328626920529146</v>
      </c>
      <c r="L3364" t="b">
        <v>0</v>
      </c>
      <c r="M3364" t="b">
        <v>0</v>
      </c>
      <c r="N3364" t="inlineStr">
        <is>
          <t>ref</t>
        </is>
      </c>
      <c r="O3364" t="n">
        <v>5</v>
      </c>
      <c r="P3364" t="n">
        <v>6.104e-05</v>
      </c>
      <c r="Q3364" t="n">
        <v>100</v>
      </c>
      <c r="R3364" t="n">
        <v>0.1725</v>
      </c>
      <c r="S3364">
        <f>IMAGE("https://mitra.stanford.edu/kundaje/oak/projects/neuro-variants/variant_position/credible/roussos_2024/variant_figures/roussos_2024.childhood.GABA/rs13190493_count_position.png",4,220,900)</f>
        <v/>
      </c>
      <c r="T3364">
        <f>IMAGE("https://mitra.stanford.edu/kundaje/oak/projects/neuro-variants/variant_position/credible/roussos_2024/variant_figures/roussos_2024.childhood.GABA/rs13190493_profile_position.png",4,220,900)</f>
        <v/>
      </c>
    </row>
    <row r="3365">
      <c r="A3365" t="inlineStr">
        <is>
          <t>chr5</t>
        </is>
      </c>
      <c r="B3365" t="n">
        <v>127172658</v>
      </c>
      <c r="C3365" t="inlineStr">
        <is>
          <t>T</t>
        </is>
      </c>
      <c r="D3365" t="inlineStr">
        <is>
          <t>C</t>
        </is>
      </c>
      <c r="E3365" t="inlineStr">
        <is>
          <t>rs248081</t>
        </is>
      </c>
      <c r="F3365" t="n">
        <v>0.0390733434</v>
      </c>
      <c r="G3365" t="n">
        <v>0.2035094481563082</v>
      </c>
      <c r="H3365" t="n">
        <v>0.0150241188387236</v>
      </c>
      <c r="I3365" t="n">
        <v>0.2238970265758813</v>
      </c>
      <c r="J3365" t="n">
        <v>0.2936702896274423</v>
      </c>
      <c r="K3365" t="n">
        <v>0.1413692354815603</v>
      </c>
      <c r="L3365" t="b">
        <v>0</v>
      </c>
      <c r="M3365" t="b">
        <v>0</v>
      </c>
      <c r="N3365" t="inlineStr">
        <is>
          <t>alt</t>
        </is>
      </c>
      <c r="O3365" t="n">
        <v>-50</v>
      </c>
      <c r="P3365" t="n">
        <v>0.001369</v>
      </c>
      <c r="Q3365" t="n">
        <v>-100</v>
      </c>
      <c r="R3365" t="n">
        <v>0.03906</v>
      </c>
      <c r="S3365">
        <f>IMAGE("https://mitra.stanford.edu/kundaje/oak/projects/neuro-variants/variant_position/credible/roussos_2024/variant_figures/roussos_2024.childhood.GABA/rs248081_count_position.png",4,220,900)</f>
        <v/>
      </c>
      <c r="T3365">
        <f>IMAGE("https://mitra.stanford.edu/kundaje/oak/projects/neuro-variants/variant_position/credible/roussos_2024/variant_figures/roussos_2024.childhood.GABA/rs248081_profile_position.png",4,220,900)</f>
        <v/>
      </c>
    </row>
    <row r="3366">
      <c r="A3366" t="inlineStr">
        <is>
          <t>chr5</t>
        </is>
      </c>
      <c r="B3366" t="n">
        <v>127175105</v>
      </c>
      <c r="C3366" t="inlineStr">
        <is>
          <t>A</t>
        </is>
      </c>
      <c r="D3366" t="inlineStr">
        <is>
          <t>G</t>
        </is>
      </c>
      <c r="E3366" t="inlineStr">
        <is>
          <t>rs248090</t>
        </is>
      </c>
      <c r="F3366" t="n">
        <v>0.056420749</v>
      </c>
      <c r="G3366" t="n">
        <v>0.1057968811266924</v>
      </c>
      <c r="H3366" t="n">
        <v>0.0127573966670965</v>
      </c>
      <c r="I3366" t="n">
        <v>0.3688466182708731</v>
      </c>
      <c r="J3366" t="n">
        <v>0.0010648991644153</v>
      </c>
      <c r="K3366" t="n">
        <v>0.9132207898905864</v>
      </c>
      <c r="L3366" t="b">
        <v>0</v>
      </c>
      <c r="M3366" t="b">
        <v>0</v>
      </c>
      <c r="N3366" t="inlineStr">
        <is>
          <t>alt</t>
        </is>
      </c>
      <c r="O3366" t="n">
        <v>-5</v>
      </c>
      <c r="P3366" t="n">
        <v>9.92e-05</v>
      </c>
      <c r="Q3366" t="n">
        <v>100</v>
      </c>
      <c r="R3366" t="n">
        <v>0.1576</v>
      </c>
      <c r="S3366">
        <f>IMAGE("https://mitra.stanford.edu/kundaje/oak/projects/neuro-variants/variant_position/credible/roussos_2024/variant_figures/roussos_2024.childhood.GABA/rs248090_count_position.png",4,220,900)</f>
        <v/>
      </c>
      <c r="T3366">
        <f>IMAGE("https://mitra.stanford.edu/kundaje/oak/projects/neuro-variants/variant_position/credible/roussos_2024/variant_figures/roussos_2024.childhood.GABA/rs248090_profile_position.png",4,220,900)</f>
        <v/>
      </c>
    </row>
    <row r="3367">
      <c r="A3367" t="inlineStr">
        <is>
          <t>chr5</t>
        </is>
      </c>
      <c r="B3367" t="n">
        <v>127182851</v>
      </c>
      <c r="C3367" t="inlineStr">
        <is>
          <t>A</t>
        </is>
      </c>
      <c r="D3367" t="inlineStr">
        <is>
          <t>G</t>
        </is>
      </c>
      <c r="E3367" t="inlineStr">
        <is>
          <t>rs248104</t>
        </is>
      </c>
      <c r="F3367" t="n">
        <v>0.1942743899999999</v>
      </c>
      <c r="G3367" t="n">
        <v>0.0048125307890849</v>
      </c>
      <c r="H3367" t="n">
        <v>0.0231809039739795</v>
      </c>
      <c r="I3367" t="n">
        <v>0.0408809591215777</v>
      </c>
      <c r="J3367" t="n">
        <v>0.1629505141253586</v>
      </c>
      <c r="K3367" t="n">
        <v>0.2803813259311043</v>
      </c>
      <c r="L3367" t="b">
        <v>1</v>
      </c>
      <c r="M3367" t="b">
        <v>1</v>
      </c>
      <c r="N3367" t="inlineStr">
        <is>
          <t>alt</t>
        </is>
      </c>
      <c r="O3367" t="n">
        <v>80</v>
      </c>
      <c r="P3367" t="n">
        <v>0.00228</v>
      </c>
      <c r="Q3367" t="n">
        <v>70</v>
      </c>
      <c r="R3367" t="n">
        <v>0.04187</v>
      </c>
      <c r="S3367">
        <f>IMAGE("https://mitra.stanford.edu/kundaje/oak/projects/neuro-variants/variant_position/credible/roussos_2024/variant_figures/roussos_2024.childhood.GABA/rs248104_count_position.png",4,220,900)</f>
        <v/>
      </c>
      <c r="T3367">
        <f>IMAGE("https://mitra.stanford.edu/kundaje/oak/projects/neuro-variants/variant_position/credible/roussos_2024/variant_figures/roussos_2024.childhood.GABA/rs248104_profile_position.png",4,220,900)</f>
        <v/>
      </c>
    </row>
    <row r="3368">
      <c r="A3368" t="inlineStr">
        <is>
          <t>chr5</t>
        </is>
      </c>
      <c r="B3368" t="n">
        <v>127185450</v>
      </c>
      <c r="C3368" t="inlineStr">
        <is>
          <t>G</t>
        </is>
      </c>
      <c r="D3368" t="inlineStr">
        <is>
          <t>A</t>
        </is>
      </c>
      <c r="E3368" t="inlineStr">
        <is>
          <t>rs248115</t>
        </is>
      </c>
      <c r="F3368" t="n">
        <v>-0.0555911472</v>
      </c>
      <c r="G3368" t="n">
        <v>0.1199211816828831</v>
      </c>
      <c r="H3368" t="n">
        <v>0.01248634631612</v>
      </c>
      <c r="I3368" t="n">
        <v>0.3942215389349389</v>
      </c>
      <c r="J3368" t="n">
        <v>0.129265355699357</v>
      </c>
      <c r="K3368" t="n">
        <v>0.3163377231578887</v>
      </c>
      <c r="L3368" t="b">
        <v>0</v>
      </c>
      <c r="M3368" t="b">
        <v>0</v>
      </c>
      <c r="N3368" t="inlineStr">
        <is>
          <t>ref</t>
        </is>
      </c>
      <c r="O3368" t="n">
        <v>90</v>
      </c>
      <c r="P3368" t="n">
        <v>0.006977</v>
      </c>
      <c r="Q3368" t="n">
        <v>-15</v>
      </c>
      <c r="R3368" t="n">
        <v>0.0547</v>
      </c>
      <c r="S3368">
        <f>IMAGE("https://mitra.stanford.edu/kundaje/oak/projects/neuro-variants/variant_position/credible/roussos_2024/variant_figures/roussos_2024.childhood.GABA/rs248115_count_position.png",4,220,900)</f>
        <v/>
      </c>
      <c r="T3368">
        <f>IMAGE("https://mitra.stanford.edu/kundaje/oak/projects/neuro-variants/variant_position/credible/roussos_2024/variant_figures/roussos_2024.childhood.GABA/rs248115_profile_position.png",4,220,900)</f>
        <v/>
      </c>
    </row>
    <row r="3369">
      <c r="A3369" t="inlineStr">
        <is>
          <t>chr5</t>
        </is>
      </c>
      <c r="B3369" t="n">
        <v>127185845</v>
      </c>
      <c r="C3369" t="inlineStr">
        <is>
          <t>G</t>
        </is>
      </c>
      <c r="D3369" t="inlineStr">
        <is>
          <t>T</t>
        </is>
      </c>
      <c r="E3369" t="inlineStr">
        <is>
          <t>rs248116</t>
        </is>
      </c>
      <c r="F3369" t="n">
        <v>0.00029979278</v>
      </c>
      <c r="G3369" t="n">
        <v>0.7167548871940629</v>
      </c>
      <c r="H3369" t="n">
        <v>0.0394721049905148</v>
      </c>
      <c r="I3369" t="n">
        <v>0.0039721808229191</v>
      </c>
      <c r="J3369" t="n">
        <v>0.0506156939121693</v>
      </c>
      <c r="K3369" t="n">
        <v>0.5095022489732123</v>
      </c>
      <c r="L3369" t="b">
        <v>1</v>
      </c>
      <c r="M3369" t="b">
        <v>1</v>
      </c>
      <c r="N3369" t="inlineStr">
        <is>
          <t>alt</t>
        </is>
      </c>
      <c r="O3369" t="n">
        <v>-100</v>
      </c>
      <c r="P3369" t="n">
        <v>0.01347</v>
      </c>
      <c r="Q3369" t="n">
        <v>-15</v>
      </c>
      <c r="R3369" t="n">
        <v>0.01288</v>
      </c>
      <c r="S3369">
        <f>IMAGE("https://mitra.stanford.edu/kundaje/oak/projects/neuro-variants/variant_position/credible/roussos_2024/variant_figures/roussos_2024.childhood.GABA/rs248116_count_position.png",4,220,900)</f>
        <v/>
      </c>
      <c r="T3369">
        <f>IMAGE("https://mitra.stanford.edu/kundaje/oak/projects/neuro-variants/variant_position/credible/roussos_2024/variant_figures/roussos_2024.childhood.GABA/rs248116_profile_position.png",4,220,900)</f>
        <v/>
      </c>
    </row>
    <row r="3370">
      <c r="A3370" t="inlineStr">
        <is>
          <t>chr5</t>
        </is>
      </c>
      <c r="B3370" t="n">
        <v>127185953</v>
      </c>
      <c r="C3370" t="inlineStr">
        <is>
          <t>C</t>
        </is>
      </c>
      <c r="D3370" t="inlineStr">
        <is>
          <t>T</t>
        </is>
      </c>
      <c r="E3370" t="inlineStr">
        <is>
          <t>rs248117</t>
        </is>
      </c>
      <c r="F3370" t="n">
        <v>-0.0021792202699999</v>
      </c>
      <c r="G3370" t="n">
        <v>0.8858611452180595</v>
      </c>
      <c r="H3370" t="n">
        <v>0.008785667041579801</v>
      </c>
      <c r="I3370" t="n">
        <v>0.7813802681904598</v>
      </c>
      <c r="J3370" t="n">
        <v>0.0410902389478753</v>
      </c>
      <c r="K3370" t="n">
        <v>0.546516320626133</v>
      </c>
      <c r="L3370" t="b">
        <v>0</v>
      </c>
      <c r="M3370" t="b">
        <v>0</v>
      </c>
      <c r="N3370" t="inlineStr">
        <is>
          <t>ref</t>
        </is>
      </c>
      <c r="O3370" t="n">
        <v>100</v>
      </c>
      <c r="P3370" t="n">
        <v>0.007305</v>
      </c>
      <c r="Q3370" t="n">
        <v>-100</v>
      </c>
      <c r="R3370" t="n">
        <v>0.0687</v>
      </c>
      <c r="S3370">
        <f>IMAGE("https://mitra.stanford.edu/kundaje/oak/projects/neuro-variants/variant_position/credible/roussos_2024/variant_figures/roussos_2024.childhood.GABA/rs248117_count_position.png",4,220,900)</f>
        <v/>
      </c>
      <c r="T3370">
        <f>IMAGE("https://mitra.stanford.edu/kundaje/oak/projects/neuro-variants/variant_position/credible/roussos_2024/variant_figures/roussos_2024.childhood.GABA/rs248117_profile_position.png",4,220,900)</f>
        <v/>
      </c>
    </row>
    <row r="3371">
      <c r="A3371" t="inlineStr">
        <is>
          <t>chr5</t>
        </is>
      </c>
      <c r="B3371" t="n">
        <v>127191359</v>
      </c>
      <c r="C3371" t="inlineStr">
        <is>
          <t>A</t>
        </is>
      </c>
      <c r="D3371" t="inlineStr">
        <is>
          <t>G</t>
        </is>
      </c>
      <c r="E3371" t="inlineStr">
        <is>
          <t>rs1860439</t>
        </is>
      </c>
      <c r="F3371" t="n">
        <v>-0.0057159405999999</v>
      </c>
      <c r="G3371" t="n">
        <v>0.6601496571667165</v>
      </c>
      <c r="H3371" t="n">
        <v>0.0088337478388193</v>
      </c>
      <c r="I3371" t="n">
        <v>0.7688431550426466</v>
      </c>
      <c r="J3371" t="n">
        <v>0.08913425896839849</v>
      </c>
      <c r="K3371" t="n">
        <v>0.3944816315223572</v>
      </c>
      <c r="L3371" t="b">
        <v>0</v>
      </c>
      <c r="M3371" t="b">
        <v>0</v>
      </c>
      <c r="N3371" t="inlineStr">
        <is>
          <t>ref</t>
        </is>
      </c>
      <c r="O3371" t="n">
        <v>-100</v>
      </c>
      <c r="P3371" t="n">
        <v>0.008316</v>
      </c>
      <c r="Q3371" t="n">
        <v>55</v>
      </c>
      <c r="R3371" t="n">
        <v>0.0475</v>
      </c>
      <c r="S3371">
        <f>IMAGE("https://mitra.stanford.edu/kundaje/oak/projects/neuro-variants/variant_position/credible/roussos_2024/variant_figures/roussos_2024.childhood.GABA/rs1860439_count_position.png",4,220,900)</f>
        <v/>
      </c>
      <c r="T3371">
        <f>IMAGE("https://mitra.stanford.edu/kundaje/oak/projects/neuro-variants/variant_position/credible/roussos_2024/variant_figures/roussos_2024.childhood.GABA/rs1860439_profile_position.png",4,220,900)</f>
        <v/>
      </c>
    </row>
    <row r="3372">
      <c r="A3372" t="inlineStr">
        <is>
          <t>chr5</t>
        </is>
      </c>
      <c r="B3372" t="n">
        <v>127192961</v>
      </c>
      <c r="C3372" t="inlineStr">
        <is>
          <t>A</t>
        </is>
      </c>
      <c r="D3372" t="inlineStr">
        <is>
          <t>G</t>
        </is>
      </c>
      <c r="E3372" t="inlineStr">
        <is>
          <t>rs173555</t>
        </is>
      </c>
      <c r="F3372" t="n">
        <v>0.369039798</v>
      </c>
      <c r="G3372" t="n">
        <v>0.000730386511504</v>
      </c>
      <c r="H3372" t="n">
        <v>0.0353823397278066</v>
      </c>
      <c r="I3372" t="n">
        <v>0.009062288968871599</v>
      </c>
      <c r="J3372" t="n">
        <v>0.175337689263052</v>
      </c>
      <c r="K3372" t="n">
        <v>0.2380975812188971</v>
      </c>
      <c r="L3372" t="b">
        <v>1</v>
      </c>
      <c r="M3372" t="b">
        <v>1</v>
      </c>
      <c r="N3372" t="inlineStr">
        <is>
          <t>alt</t>
        </is>
      </c>
      <c r="O3372" t="n">
        <v>25</v>
      </c>
      <c r="P3372" t="n">
        <v>0.00644</v>
      </c>
      <c r="Q3372" t="n">
        <v>-85</v>
      </c>
      <c r="R3372" t="n">
        <v>0.08716</v>
      </c>
      <c r="S3372">
        <f>IMAGE("https://mitra.stanford.edu/kundaje/oak/projects/neuro-variants/variant_position/credible/roussos_2024/variant_figures/roussos_2024.childhood.GABA/rs173555_count_position.png",4,220,900)</f>
        <v/>
      </c>
      <c r="T3372">
        <f>IMAGE("https://mitra.stanford.edu/kundaje/oak/projects/neuro-variants/variant_position/credible/roussos_2024/variant_figures/roussos_2024.childhood.GABA/rs173555_profile_position.png",4,220,900)</f>
        <v/>
      </c>
    </row>
    <row r="3373">
      <c r="A3373" t="inlineStr">
        <is>
          <t>chr5</t>
        </is>
      </c>
      <c r="B3373" t="n">
        <v>127194980</v>
      </c>
      <c r="C3373" t="inlineStr">
        <is>
          <t>T</t>
        </is>
      </c>
      <c r="D3373" t="inlineStr">
        <is>
          <t>C</t>
        </is>
      </c>
      <c r="E3373" t="inlineStr">
        <is>
          <t>rs248127</t>
        </is>
      </c>
      <c r="F3373" t="n">
        <v>0.1017038368</v>
      </c>
      <c r="G3373" t="n">
        <v>0.0297013417047485</v>
      </c>
      <c r="H3373" t="n">
        <v>0.0245467312861774</v>
      </c>
      <c r="I3373" t="n">
        <v>0.0311654359955452</v>
      </c>
      <c r="J3373" t="n">
        <v>0.0077621411069924</v>
      </c>
      <c r="K3373" t="n">
        <v>0.7730597383428066</v>
      </c>
      <c r="L3373" t="b">
        <v>0</v>
      </c>
      <c r="M3373" t="b">
        <v>0</v>
      </c>
      <c r="N3373" t="inlineStr">
        <is>
          <t>alt</t>
        </is>
      </c>
      <c r="O3373" t="n">
        <v>-60</v>
      </c>
      <c r="P3373" t="n">
        <v>0.01706</v>
      </c>
      <c r="Q3373" t="n">
        <v>-85</v>
      </c>
      <c r="R3373" t="n">
        <v>0.02405</v>
      </c>
      <c r="S3373">
        <f>IMAGE("https://mitra.stanford.edu/kundaje/oak/projects/neuro-variants/variant_position/credible/roussos_2024/variant_figures/roussos_2024.childhood.GABA/rs248127_count_position.png",4,220,900)</f>
        <v/>
      </c>
      <c r="T3373">
        <f>IMAGE("https://mitra.stanford.edu/kundaje/oak/projects/neuro-variants/variant_position/credible/roussos_2024/variant_figures/roussos_2024.childhood.GABA/rs248127_profile_position.png",4,220,900)</f>
        <v/>
      </c>
    </row>
    <row r="3374">
      <c r="A3374" t="inlineStr">
        <is>
          <t>chr5</t>
        </is>
      </c>
      <c r="B3374" t="n">
        <v>138545415</v>
      </c>
      <c r="C3374" t="inlineStr">
        <is>
          <t>T</t>
        </is>
      </c>
      <c r="D3374" t="inlineStr">
        <is>
          <t>C</t>
        </is>
      </c>
      <c r="E3374" t="inlineStr">
        <is>
          <t>rs188731</t>
        </is>
      </c>
      <c r="F3374" t="n">
        <v>0.0232424566</v>
      </c>
      <c r="G3374" t="n">
        <v>0.377338230378991</v>
      </c>
      <c r="H3374" t="n">
        <v>0.0120008372957356</v>
      </c>
      <c r="I3374" t="n">
        <v>0.4210056412822877</v>
      </c>
      <c r="J3374" t="n">
        <v>0.0596563422755544</v>
      </c>
      <c r="K3374" t="n">
        <v>0.4773635955326159</v>
      </c>
      <c r="L3374" t="b">
        <v>0</v>
      </c>
      <c r="M3374" t="b">
        <v>0</v>
      </c>
      <c r="N3374" t="inlineStr">
        <is>
          <t>alt</t>
        </is>
      </c>
      <c r="O3374" t="n">
        <v>85</v>
      </c>
      <c r="P3374" t="n">
        <v>0.01161</v>
      </c>
      <c r="Q3374" t="n">
        <v>-70</v>
      </c>
      <c r="R3374" t="n">
        <v>0.08690000000000001</v>
      </c>
      <c r="S3374">
        <f>IMAGE("https://mitra.stanford.edu/kundaje/oak/projects/neuro-variants/variant_position/credible/roussos_2024/variant_figures/roussos_2024.childhood.GABA/rs188731_count_position.png",4,220,900)</f>
        <v/>
      </c>
      <c r="T3374">
        <f>IMAGE("https://mitra.stanford.edu/kundaje/oak/projects/neuro-variants/variant_position/credible/roussos_2024/variant_figures/roussos_2024.childhood.GABA/rs188731_profile_position.png",4,220,900)</f>
        <v/>
      </c>
    </row>
    <row r="3375">
      <c r="A3375" t="inlineStr">
        <is>
          <t>chr5</t>
        </is>
      </c>
      <c r="B3375" t="n">
        <v>138547009</v>
      </c>
      <c r="C3375" t="inlineStr">
        <is>
          <t>T</t>
        </is>
      </c>
      <c r="D3375" t="inlineStr">
        <is>
          <t>C</t>
        </is>
      </c>
      <c r="E3375" t="inlineStr">
        <is>
          <t>rs187653</t>
        </is>
      </c>
      <c r="F3375" t="n">
        <v>0.0096442335</v>
      </c>
      <c r="G3375" t="n">
        <v>0.5757748259196713</v>
      </c>
      <c r="H3375" t="n">
        <v>0.0128439513773907</v>
      </c>
      <c r="I3375" t="n">
        <v>0.3562167706592489</v>
      </c>
      <c r="J3375" t="n">
        <v>0.0284559485665221</v>
      </c>
      <c r="K3375" t="n">
        <v>0.6064214093169435</v>
      </c>
      <c r="L3375" t="b">
        <v>0</v>
      </c>
      <c r="M3375" t="b">
        <v>0</v>
      </c>
      <c r="N3375" t="inlineStr">
        <is>
          <t>alt</t>
        </is>
      </c>
      <c r="O3375" t="n">
        <v>75</v>
      </c>
      <c r="P3375" t="n">
        <v>0.00448</v>
      </c>
      <c r="Q3375" t="n">
        <v>100</v>
      </c>
      <c r="R3375" t="n">
        <v>0.06494</v>
      </c>
      <c r="S3375">
        <f>IMAGE("https://mitra.stanford.edu/kundaje/oak/projects/neuro-variants/variant_position/credible/roussos_2024/variant_figures/roussos_2024.childhood.GABA/rs187653_count_position.png",4,220,900)</f>
        <v/>
      </c>
      <c r="T3375">
        <f>IMAGE("https://mitra.stanford.edu/kundaje/oak/projects/neuro-variants/variant_position/credible/roussos_2024/variant_figures/roussos_2024.childhood.GABA/rs187653_profile_position.png",4,220,900)</f>
        <v/>
      </c>
    </row>
    <row r="3376">
      <c r="A3376" t="inlineStr">
        <is>
          <t>chr5</t>
        </is>
      </c>
      <c r="B3376" t="n">
        <v>139487202</v>
      </c>
      <c r="C3376" t="inlineStr">
        <is>
          <t>A</t>
        </is>
      </c>
      <c r="D3376" t="inlineStr">
        <is>
          <t>G</t>
        </is>
      </c>
      <c r="E3376" t="inlineStr">
        <is>
          <t>rs6421150</t>
        </is>
      </c>
      <c r="F3376" t="n">
        <v>0.1100422849999999</v>
      </c>
      <c r="G3376" t="n">
        <v>0.024044170765346</v>
      </c>
      <c r="H3376" t="n">
        <v>0.0132519884485105</v>
      </c>
      <c r="I3376" t="n">
        <v>0.3285905048079596</v>
      </c>
      <c r="J3376" t="n">
        <v>0.3167860358945361</v>
      </c>
      <c r="K3376" t="n">
        <v>0.1276240209479966</v>
      </c>
      <c r="L3376" t="b">
        <v>0</v>
      </c>
      <c r="M3376" t="b">
        <v>0</v>
      </c>
      <c r="N3376" t="inlineStr">
        <is>
          <t>alt</t>
        </is>
      </c>
      <c r="O3376" t="n">
        <v>-95</v>
      </c>
      <c r="P3376" t="n">
        <v>0.005043</v>
      </c>
      <c r="Q3376" t="n">
        <v>15</v>
      </c>
      <c r="R3376" t="n">
        <v>0.01782</v>
      </c>
      <c r="S3376">
        <f>IMAGE("https://mitra.stanford.edu/kundaje/oak/projects/neuro-variants/variant_position/credible/roussos_2024/variant_figures/roussos_2024.childhood.GABA/rs6421150_count_position.png",4,220,900)</f>
        <v/>
      </c>
      <c r="T3376">
        <f>IMAGE("https://mitra.stanford.edu/kundaje/oak/projects/neuro-variants/variant_position/credible/roussos_2024/variant_figures/roussos_2024.childhood.GABA/rs6421150_profile_position.png",4,220,900)</f>
        <v/>
      </c>
    </row>
    <row r="3377">
      <c r="A3377" t="inlineStr">
        <is>
          <t>chr5</t>
        </is>
      </c>
      <c r="B3377" t="n">
        <v>139578493</v>
      </c>
      <c r="C3377" t="inlineStr">
        <is>
          <t>T</t>
        </is>
      </c>
      <c r="D3377" t="inlineStr">
        <is>
          <t>C</t>
        </is>
      </c>
      <c r="E3377" t="inlineStr">
        <is>
          <t>rs355163</t>
        </is>
      </c>
      <c r="F3377" t="n">
        <v>0.00880759414</v>
      </c>
      <c r="G3377" t="n">
        <v>0.6317752380179479</v>
      </c>
      <c r="H3377" t="n">
        <v>0.009513929399315901</v>
      </c>
      <c r="I3377" t="n">
        <v>0.6972768166494083</v>
      </c>
      <c r="J3377" t="n">
        <v>0.1607537014931623</v>
      </c>
      <c r="K3377" t="n">
        <v>0.2554212847649</v>
      </c>
      <c r="L3377" t="b">
        <v>0</v>
      </c>
      <c r="M3377" t="b">
        <v>0</v>
      </c>
      <c r="N3377" t="inlineStr">
        <is>
          <t>alt</t>
        </is>
      </c>
      <c r="O3377" t="n">
        <v>5</v>
      </c>
      <c r="P3377" t="n">
        <v>0.003777</v>
      </c>
      <c r="Q3377" t="n">
        <v>25</v>
      </c>
      <c r="R3377" t="n">
        <v>0.0056</v>
      </c>
      <c r="S3377">
        <f>IMAGE("https://mitra.stanford.edu/kundaje/oak/projects/neuro-variants/variant_position/credible/roussos_2024/variant_figures/roussos_2024.childhood.GABA/rs355163_count_position.png",4,220,900)</f>
        <v/>
      </c>
      <c r="T3377">
        <f>IMAGE("https://mitra.stanford.edu/kundaje/oak/projects/neuro-variants/variant_position/credible/roussos_2024/variant_figures/roussos_2024.childhood.GABA/rs355163_profile_position.png",4,220,900)</f>
        <v/>
      </c>
    </row>
    <row r="3378">
      <c r="A3378" t="inlineStr">
        <is>
          <t>chr5</t>
        </is>
      </c>
      <c r="B3378" t="n">
        <v>139686403</v>
      </c>
      <c r="C3378" t="inlineStr">
        <is>
          <t>T</t>
        </is>
      </c>
      <c r="D3378" t="inlineStr">
        <is>
          <t>G</t>
        </is>
      </c>
      <c r="E3378" t="inlineStr">
        <is>
          <t>rs9687282</t>
        </is>
      </c>
      <c r="F3378" t="n">
        <v>0.012435405764</v>
      </c>
      <c r="G3378" t="n">
        <v>0.4680873770622716</v>
      </c>
      <c r="H3378" t="n">
        <v>0.0135788557362761</v>
      </c>
      <c r="I3378" t="n">
        <v>0.3133712304966704</v>
      </c>
      <c r="J3378" t="n">
        <v>0.301759125463341</v>
      </c>
      <c r="K3378" t="n">
        <v>0.1368173875626144</v>
      </c>
      <c r="L3378" t="b">
        <v>0</v>
      </c>
      <c r="M3378" t="b">
        <v>0</v>
      </c>
      <c r="N3378" t="inlineStr">
        <is>
          <t>alt</t>
        </is>
      </c>
      <c r="O3378" t="n">
        <v>-25</v>
      </c>
      <c r="P3378" t="n">
        <v>0.0005493</v>
      </c>
      <c r="Q3378" t="n">
        <v>-95</v>
      </c>
      <c r="R3378" t="n">
        <v>0.0835</v>
      </c>
      <c r="S3378">
        <f>IMAGE("https://mitra.stanford.edu/kundaje/oak/projects/neuro-variants/variant_position/credible/roussos_2024/variant_figures/roussos_2024.childhood.GABA/rs9687282_count_position.png",4,220,900)</f>
        <v/>
      </c>
      <c r="T3378">
        <f>IMAGE("https://mitra.stanford.edu/kundaje/oak/projects/neuro-variants/variant_position/credible/roussos_2024/variant_figures/roussos_2024.childhood.GABA/rs9687282_profile_position.png",4,220,900)</f>
        <v/>
      </c>
    </row>
    <row r="3379">
      <c r="A3379" t="inlineStr">
        <is>
          <t>chr5</t>
        </is>
      </c>
      <c r="B3379" t="n">
        <v>139857377</v>
      </c>
      <c r="C3379" t="inlineStr">
        <is>
          <t>C</t>
        </is>
      </c>
      <c r="D3379" t="inlineStr">
        <is>
          <t>T</t>
        </is>
      </c>
      <c r="E3379" t="inlineStr">
        <is>
          <t>rs4912894</t>
        </is>
      </c>
      <c r="F3379" t="n">
        <v>0.0031927571</v>
      </c>
      <c r="G3379" t="n">
        <v>0.6542348152015155</v>
      </c>
      <c r="H3379" t="n">
        <v>0.0098825125703603</v>
      </c>
      <c r="I3379" t="n">
        <v>0.6505539796590845</v>
      </c>
      <c r="J3379" t="n">
        <v>0.2229827647588532</v>
      </c>
      <c r="K3379" t="n">
        <v>0.1972498224161158</v>
      </c>
      <c r="L3379" t="b">
        <v>0</v>
      </c>
      <c r="M3379" t="b">
        <v>0</v>
      </c>
      <c r="N3379" t="inlineStr">
        <is>
          <t>alt</t>
        </is>
      </c>
      <c r="O3379" t="n">
        <v>95</v>
      </c>
      <c r="P3379" t="n">
        <v>0.013824</v>
      </c>
      <c r="Q3379" t="n">
        <v>-90</v>
      </c>
      <c r="R3379" t="n">
        <v>0.1466</v>
      </c>
      <c r="S3379">
        <f>IMAGE("https://mitra.stanford.edu/kundaje/oak/projects/neuro-variants/variant_position/credible/roussos_2024/variant_figures/roussos_2024.childhood.GABA/rs4912894_count_position.png",4,220,900)</f>
        <v/>
      </c>
      <c r="T3379">
        <f>IMAGE("https://mitra.stanford.edu/kundaje/oak/projects/neuro-variants/variant_position/credible/roussos_2024/variant_figures/roussos_2024.childhood.GABA/rs4912894_profile_position.png",4,220,900)</f>
        <v/>
      </c>
    </row>
    <row r="3380">
      <c r="A3380" t="inlineStr">
        <is>
          <t>chr5</t>
        </is>
      </c>
      <c r="B3380" t="n">
        <v>140679308</v>
      </c>
      <c r="C3380" t="inlineStr">
        <is>
          <t>C</t>
        </is>
      </c>
      <c r="D3380" t="inlineStr">
        <is>
          <t>T</t>
        </is>
      </c>
      <c r="E3380" t="inlineStr">
        <is>
          <t>rs2073512</t>
        </is>
      </c>
      <c r="F3380" t="n">
        <v>-0.1888818686</v>
      </c>
      <c r="G3380" t="n">
        <v>0.010116377638973</v>
      </c>
      <c r="H3380" t="n">
        <v>0.0403337791723209</v>
      </c>
      <c r="I3380" t="n">
        <v>0.007116971528596</v>
      </c>
      <c r="J3380" t="n">
        <v>0.1771743000146593</v>
      </c>
      <c r="K3380" t="n">
        <v>0.24494657897254</v>
      </c>
      <c r="L3380" t="b">
        <v>1</v>
      </c>
      <c r="M3380" t="b">
        <v>1</v>
      </c>
      <c r="N3380" t="inlineStr">
        <is>
          <t>ref</t>
        </is>
      </c>
      <c r="O3380" t="n">
        <v>70</v>
      </c>
      <c r="P3380" t="n">
        <v>0.004715</v>
      </c>
      <c r="Q3380" t="n">
        <v>90</v>
      </c>
      <c r="R3380" t="n">
        <v>0.0862</v>
      </c>
      <c r="S3380">
        <f>IMAGE("https://mitra.stanford.edu/kundaje/oak/projects/neuro-variants/variant_position/credible/roussos_2024/variant_figures/roussos_2024.childhood.GABA/rs2073512_count_position.png",4,220,900)</f>
        <v/>
      </c>
      <c r="T3380">
        <f>IMAGE("https://mitra.stanford.edu/kundaje/oak/projects/neuro-variants/variant_position/credible/roussos_2024/variant_figures/roussos_2024.childhood.GABA/rs2073512_profile_position.png",4,220,900)</f>
        <v/>
      </c>
    </row>
    <row r="3381">
      <c r="A3381" t="inlineStr">
        <is>
          <t>chr5</t>
        </is>
      </c>
      <c r="B3381" t="n">
        <v>140729085</v>
      </c>
      <c r="C3381" t="inlineStr">
        <is>
          <t>G</t>
        </is>
      </c>
      <c r="D3381" t="inlineStr">
        <is>
          <t>T</t>
        </is>
      </c>
      <c r="E3381" t="inlineStr">
        <is>
          <t>rs12186884</t>
        </is>
      </c>
      <c r="F3381" t="n">
        <v>0.001464566448</v>
      </c>
      <c r="G3381" t="n">
        <v>0.8952306433034382</v>
      </c>
      <c r="H3381" t="n">
        <v>0.016910335891579</v>
      </c>
      <c r="I3381" t="n">
        <v>0.1499300012036213</v>
      </c>
      <c r="J3381" t="n">
        <v>0.0125390044187555</v>
      </c>
      <c r="K3381" t="n">
        <v>0.7181455193218266</v>
      </c>
      <c r="L3381" t="b">
        <v>0</v>
      </c>
      <c r="M3381" t="b">
        <v>0</v>
      </c>
      <c r="N3381" t="inlineStr">
        <is>
          <t>alt</t>
        </is>
      </c>
      <c r="O3381" t="n">
        <v>-25</v>
      </c>
      <c r="P3381" t="n">
        <v>0.0005913</v>
      </c>
      <c r="Q3381" t="n">
        <v>-100</v>
      </c>
      <c r="R3381" t="n">
        <v>0.0173</v>
      </c>
      <c r="S3381">
        <f>IMAGE("https://mitra.stanford.edu/kundaje/oak/projects/neuro-variants/variant_position/credible/roussos_2024/variant_figures/roussos_2024.childhood.GABA/rs12186884_count_position.png",4,220,900)</f>
        <v/>
      </c>
      <c r="T3381">
        <f>IMAGE("https://mitra.stanford.edu/kundaje/oak/projects/neuro-variants/variant_position/credible/roussos_2024/variant_figures/roussos_2024.childhood.GABA/rs12186884_profile_position.png",4,220,900)</f>
        <v/>
      </c>
    </row>
    <row r="3382">
      <c r="A3382" t="inlineStr">
        <is>
          <t>chr5</t>
        </is>
      </c>
      <c r="B3382" t="n">
        <v>140733127</v>
      </c>
      <c r="C3382" t="inlineStr">
        <is>
          <t>C</t>
        </is>
      </c>
      <c r="D3382" t="inlineStr">
        <is>
          <t>T</t>
        </is>
      </c>
      <c r="E3382" t="inlineStr">
        <is>
          <t>rs801174</t>
        </is>
      </c>
      <c r="F3382" t="n">
        <v>0.0855495622</v>
      </c>
      <c r="G3382" t="n">
        <v>0.0570206838937177</v>
      </c>
      <c r="H3382" t="n">
        <v>0.030008668070079</v>
      </c>
      <c r="I3382" t="n">
        <v>0.0130944851916982</v>
      </c>
      <c r="J3382" t="n">
        <v>0.0853531863207052</v>
      </c>
      <c r="K3382" t="n">
        <v>0.3842003409460646</v>
      </c>
      <c r="L3382" t="b">
        <v>1</v>
      </c>
      <c r="M3382" t="b">
        <v>0</v>
      </c>
      <c r="N3382" t="inlineStr">
        <is>
          <t>alt</t>
        </is>
      </c>
      <c r="O3382" t="n">
        <v>70</v>
      </c>
      <c r="P3382" t="n">
        <v>0.00906</v>
      </c>
      <c r="Q3382" t="n">
        <v>60</v>
      </c>
      <c r="R3382" t="n">
        <v>0.1543</v>
      </c>
      <c r="S3382">
        <f>IMAGE("https://mitra.stanford.edu/kundaje/oak/projects/neuro-variants/variant_position/credible/roussos_2024/variant_figures/roussos_2024.childhood.GABA/rs801174_count_position.png",4,220,900)</f>
        <v/>
      </c>
      <c r="T3382">
        <f>IMAGE("https://mitra.stanford.edu/kundaje/oak/projects/neuro-variants/variant_position/credible/roussos_2024/variant_figures/roussos_2024.childhood.GABA/rs801174_profile_position.png",4,220,900)</f>
        <v/>
      </c>
    </row>
    <row r="3383">
      <c r="A3383" t="inlineStr">
        <is>
          <t>chr5</t>
        </is>
      </c>
      <c r="B3383" t="n">
        <v>140767663</v>
      </c>
      <c r="C3383" t="inlineStr">
        <is>
          <t>T</t>
        </is>
      </c>
      <c r="D3383" t="inlineStr">
        <is>
          <t>C</t>
        </is>
      </c>
      <c r="E3383" t="inlineStr">
        <is>
          <t>rs12659129</t>
        </is>
      </c>
      <c r="F3383" t="n">
        <v>0.0588899478</v>
      </c>
      <c r="G3383" t="n">
        <v>0.1127991691040957</v>
      </c>
      <c r="H3383" t="n">
        <v>0.026577800414422</v>
      </c>
      <c r="I3383" t="n">
        <v>0.0235693527596063</v>
      </c>
      <c r="J3383" t="n">
        <v>0.0003057527591044</v>
      </c>
      <c r="K3383" t="n">
        <v>0.9492931794675348</v>
      </c>
      <c r="L3383" t="b">
        <v>0</v>
      </c>
      <c r="M3383" t="b">
        <v>0</v>
      </c>
      <c r="N3383" t="inlineStr">
        <is>
          <t>alt</t>
        </is>
      </c>
      <c r="O3383" t="n">
        <v>100</v>
      </c>
      <c r="P3383" t="n">
        <v>0.003815</v>
      </c>
      <c r="Q3383" t="n">
        <v>-75</v>
      </c>
      <c r="R3383" t="n">
        <v>0.0607</v>
      </c>
      <c r="S3383">
        <f>IMAGE("https://mitra.stanford.edu/kundaje/oak/projects/neuro-variants/variant_position/credible/roussos_2024/variant_figures/roussos_2024.childhood.GABA/rs12659129_count_position.png",4,220,900)</f>
        <v/>
      </c>
      <c r="T3383">
        <f>IMAGE("https://mitra.stanford.edu/kundaje/oak/projects/neuro-variants/variant_position/credible/roussos_2024/variant_figures/roussos_2024.childhood.GABA/rs12659129_profile_position.png",4,220,900)</f>
        <v/>
      </c>
    </row>
    <row r="3384">
      <c r="A3384" t="inlineStr">
        <is>
          <t>chr5</t>
        </is>
      </c>
      <c r="B3384" t="n">
        <v>140776679</v>
      </c>
      <c r="C3384" t="inlineStr">
        <is>
          <t>T</t>
        </is>
      </c>
      <c r="D3384" t="inlineStr">
        <is>
          <t>C</t>
        </is>
      </c>
      <c r="E3384" t="inlineStr">
        <is>
          <t>rs7710380</t>
        </is>
      </c>
      <c r="F3384" t="n">
        <v>0.103637007</v>
      </c>
      <c r="G3384" t="n">
        <v>0.0258750307306477</v>
      </c>
      <c r="H3384" t="n">
        <v>0.0202216951273198</v>
      </c>
      <c r="I3384" t="n">
        <v>0.0718961299401161</v>
      </c>
      <c r="J3384" t="n">
        <v>0.4229408808192499</v>
      </c>
      <c r="K3384" t="n">
        <v>0.077033489079708</v>
      </c>
      <c r="L3384" t="b">
        <v>0</v>
      </c>
      <c r="M3384" t="b">
        <v>0</v>
      </c>
      <c r="N3384" t="inlineStr">
        <is>
          <t>alt</t>
        </is>
      </c>
      <c r="O3384" t="n">
        <v>-70</v>
      </c>
      <c r="P3384" t="n">
        <v>0.00778</v>
      </c>
      <c r="Q3384" t="n">
        <v>25</v>
      </c>
      <c r="R3384" t="n">
        <v>0.06335</v>
      </c>
      <c r="S3384">
        <f>IMAGE("https://mitra.stanford.edu/kundaje/oak/projects/neuro-variants/variant_position/credible/roussos_2024/variant_figures/roussos_2024.childhood.GABA/rs7710380_count_position.png",4,220,900)</f>
        <v/>
      </c>
      <c r="T3384">
        <f>IMAGE("https://mitra.stanford.edu/kundaje/oak/projects/neuro-variants/variant_position/credible/roussos_2024/variant_figures/roussos_2024.childhood.GABA/rs7710380_profile_position.png",4,220,900)</f>
        <v/>
      </c>
    </row>
    <row r="3385">
      <c r="A3385" t="inlineStr">
        <is>
          <t>chr5</t>
        </is>
      </c>
      <c r="B3385" t="n">
        <v>140785333</v>
      </c>
      <c r="C3385" t="inlineStr">
        <is>
          <t>T</t>
        </is>
      </c>
      <c r="D3385" t="inlineStr">
        <is>
          <t>C</t>
        </is>
      </c>
      <c r="E3385" t="inlineStr">
        <is>
          <t>rs1548699</t>
        </is>
      </c>
      <c r="F3385" t="n">
        <v>0.040663024</v>
      </c>
      <c r="G3385" t="n">
        <v>0.1876306217727681</v>
      </c>
      <c r="H3385" t="n">
        <v>0.0182175859156007</v>
      </c>
      <c r="I3385" t="n">
        <v>0.1086129766139026</v>
      </c>
      <c r="J3385" t="n">
        <v>0.0071160813386106</v>
      </c>
      <c r="K3385" t="n">
        <v>0.7903221410407945</v>
      </c>
      <c r="L3385" t="b">
        <v>0</v>
      </c>
      <c r="M3385" t="b">
        <v>0</v>
      </c>
      <c r="N3385" t="inlineStr">
        <is>
          <t>alt</t>
        </is>
      </c>
      <c r="O3385" t="n">
        <v>30</v>
      </c>
      <c r="P3385" t="n">
        <v>0.0006579999999999999</v>
      </c>
      <c r="Q3385" t="n">
        <v>-30</v>
      </c>
      <c r="R3385" t="n">
        <v>0.0382</v>
      </c>
      <c r="S3385">
        <f>IMAGE("https://mitra.stanford.edu/kundaje/oak/projects/neuro-variants/variant_position/credible/roussos_2024/variant_figures/roussos_2024.childhood.GABA/rs1548699_count_position.png",4,220,900)</f>
        <v/>
      </c>
      <c r="T3385">
        <f>IMAGE("https://mitra.stanford.edu/kundaje/oak/projects/neuro-variants/variant_position/credible/roussos_2024/variant_figures/roussos_2024.childhood.GABA/rs1548699_profile_position.png",4,220,900)</f>
        <v/>
      </c>
    </row>
    <row r="3386">
      <c r="A3386" t="inlineStr">
        <is>
          <t>chr5</t>
        </is>
      </c>
      <c r="B3386" t="n">
        <v>140793333</v>
      </c>
      <c r="C3386" t="inlineStr">
        <is>
          <t>T</t>
        </is>
      </c>
      <c r="D3386" t="inlineStr">
        <is>
          <t>C</t>
        </is>
      </c>
      <c r="E3386" t="inlineStr">
        <is>
          <t>rs13184940</t>
        </is>
      </c>
      <c r="F3386" t="n">
        <v>-0.148740784</v>
      </c>
      <c r="G3386" t="n">
        <v>0.0136827421629677</v>
      </c>
      <c r="H3386" t="n">
        <v>0.0332907969862404</v>
      </c>
      <c r="I3386" t="n">
        <v>0.0090780325385849</v>
      </c>
      <c r="J3386" t="n">
        <v>0.0752706749596866</v>
      </c>
      <c r="K3386" t="n">
        <v>0.4045348388488298</v>
      </c>
      <c r="L3386" t="b">
        <v>1</v>
      </c>
      <c r="M3386" t="b">
        <v>1</v>
      </c>
      <c r="N3386" t="inlineStr">
        <is>
          <t>ref</t>
        </is>
      </c>
      <c r="O3386" t="n">
        <v>-100</v>
      </c>
      <c r="P3386" t="n">
        <v>0.02484</v>
      </c>
      <c r="Q3386" t="n">
        <v>-90</v>
      </c>
      <c r="R3386" t="n">
        <v>0.2361</v>
      </c>
      <c r="S3386">
        <f>IMAGE("https://mitra.stanford.edu/kundaje/oak/projects/neuro-variants/variant_position/credible/roussos_2024/variant_figures/roussos_2024.childhood.GABA/rs13184940_count_position.png",4,220,900)</f>
        <v/>
      </c>
      <c r="T3386">
        <f>IMAGE("https://mitra.stanford.edu/kundaje/oak/projects/neuro-variants/variant_position/credible/roussos_2024/variant_figures/roussos_2024.childhood.GABA/rs13184940_profile_position.png",4,220,900)</f>
        <v/>
      </c>
    </row>
    <row r="3387">
      <c r="A3387" t="inlineStr">
        <is>
          <t>chr5</t>
        </is>
      </c>
      <c r="B3387" t="n">
        <v>140800976</v>
      </c>
      <c r="C3387" t="inlineStr">
        <is>
          <t>A</t>
        </is>
      </c>
      <c r="D3387" t="inlineStr">
        <is>
          <t>G</t>
        </is>
      </c>
      <c r="E3387" t="inlineStr">
        <is>
          <t>rs3756338</t>
        </is>
      </c>
      <c r="F3387" t="n">
        <v>0.0754111804</v>
      </c>
      <c r="G3387" t="n">
        <v>0.0574009096479242</v>
      </c>
      <c r="H3387" t="n">
        <v>0.01596446385752</v>
      </c>
      <c r="I3387" t="n">
        <v>0.1803185173068482</v>
      </c>
      <c r="J3387" t="n">
        <v>0.5349814663567256</v>
      </c>
      <c r="K3387" t="n">
        <v>0.0414395163764431</v>
      </c>
      <c r="L3387" t="b">
        <v>0</v>
      </c>
      <c r="M3387" t="b">
        <v>0</v>
      </c>
      <c r="N3387" t="inlineStr">
        <is>
          <t>alt</t>
        </is>
      </c>
      <c r="O3387" t="n">
        <v>40</v>
      </c>
      <c r="P3387" t="n">
        <v>0.00354</v>
      </c>
      <c r="Q3387" t="n">
        <v>40</v>
      </c>
      <c r="R3387" t="n">
        <v>0.05176</v>
      </c>
      <c r="S3387">
        <f>IMAGE("https://mitra.stanford.edu/kundaje/oak/projects/neuro-variants/variant_position/credible/roussos_2024/variant_figures/roussos_2024.childhood.GABA/rs3756338_count_position.png",4,220,900)</f>
        <v/>
      </c>
      <c r="T3387">
        <f>IMAGE("https://mitra.stanford.edu/kundaje/oak/projects/neuro-variants/variant_position/credible/roussos_2024/variant_figures/roussos_2024.childhood.GABA/rs3756338_profile_position.png",4,220,900)</f>
        <v/>
      </c>
    </row>
    <row r="3388">
      <c r="A3388" t="inlineStr">
        <is>
          <t>chr5</t>
        </is>
      </c>
      <c r="B3388" t="n">
        <v>140801152</v>
      </c>
      <c r="C3388" t="inlineStr">
        <is>
          <t>C</t>
        </is>
      </c>
      <c r="D3388" t="inlineStr">
        <is>
          <t>T</t>
        </is>
      </c>
      <c r="E3388" t="inlineStr">
        <is>
          <t>rs3806845</t>
        </is>
      </c>
      <c r="F3388" t="n">
        <v>-0.00106347486</v>
      </c>
      <c r="G3388" t="n">
        <v>0.8511376761471388</v>
      </c>
      <c r="H3388" t="n">
        <v>0.0232094873397818</v>
      </c>
      <c r="I3388" t="n">
        <v>0.0404273760478487</v>
      </c>
      <c r="J3388" t="n">
        <v>0.629814035308161</v>
      </c>
      <c r="K3388" t="n">
        <v>0.0240545954926529</v>
      </c>
      <c r="L3388" t="b">
        <v>0</v>
      </c>
      <c r="M3388" t="b">
        <v>0</v>
      </c>
      <c r="N3388" t="inlineStr">
        <is>
          <t>ref</t>
        </is>
      </c>
      <c r="O3388" t="n">
        <v>-30</v>
      </c>
      <c r="P3388" t="n">
        <v>0.08069999999999999</v>
      </c>
      <c r="Q3388" t="n">
        <v>-25</v>
      </c>
      <c r="R3388" t="n">
        <v>0.545</v>
      </c>
      <c r="S3388">
        <f>IMAGE("https://mitra.stanford.edu/kundaje/oak/projects/neuro-variants/variant_position/credible/roussos_2024/variant_figures/roussos_2024.childhood.GABA/rs3806845_count_position.png",4,220,900)</f>
        <v/>
      </c>
      <c r="T3388">
        <f>IMAGE("https://mitra.stanford.edu/kundaje/oak/projects/neuro-variants/variant_position/credible/roussos_2024/variant_figures/roussos_2024.childhood.GABA/rs3806845_profile_position.png",4,220,900)</f>
        <v/>
      </c>
    </row>
    <row r="3389">
      <c r="A3389" t="inlineStr">
        <is>
          <t>chr5</t>
        </is>
      </c>
      <c r="B3389" t="n">
        <v>140821679</v>
      </c>
      <c r="C3389" t="inlineStr">
        <is>
          <t>C</t>
        </is>
      </c>
      <c r="D3389" t="inlineStr">
        <is>
          <t>T</t>
        </is>
      </c>
      <c r="E3389" t="inlineStr">
        <is>
          <t>rs4151682</t>
        </is>
      </c>
      <c r="F3389" t="n">
        <v>-0.0993127219999999</v>
      </c>
      <c r="G3389" t="n">
        <v>0.0310893380880365</v>
      </c>
      <c r="H3389" t="n">
        <v>0.0272179070465576</v>
      </c>
      <c r="I3389" t="n">
        <v>0.0209341141047784</v>
      </c>
      <c r="J3389" t="n">
        <v>0.6156122384871521</v>
      </c>
      <c r="K3389" t="n">
        <v>0.0266090720956354</v>
      </c>
      <c r="L3389" t="b">
        <v>0</v>
      </c>
      <c r="M3389" t="b">
        <v>0</v>
      </c>
      <c r="N3389" t="inlineStr">
        <is>
          <t>ref</t>
        </is>
      </c>
      <c r="O3389" t="n">
        <v>0</v>
      </c>
      <c r="P3389" t="n">
        <v>0</v>
      </c>
      <c r="Q3389" t="n">
        <v>0</v>
      </c>
      <c r="R3389" t="n">
        <v>0</v>
      </c>
      <c r="S3389">
        <f>IMAGE("https://mitra.stanford.edu/kundaje/oak/projects/neuro-variants/variant_position/credible/roussos_2024/variant_figures/roussos_2024.childhood.GABA/rs4151682_count_position.png",4,220,900)</f>
        <v/>
      </c>
      <c r="T3389">
        <f>IMAGE("https://mitra.stanford.edu/kundaje/oak/projects/neuro-variants/variant_position/credible/roussos_2024/variant_figures/roussos_2024.childhood.GABA/rs4151682_profile_position.png",4,220,900)</f>
        <v/>
      </c>
    </row>
    <row r="3390">
      <c r="A3390" t="inlineStr">
        <is>
          <t>chr5</t>
        </is>
      </c>
      <c r="B3390" t="n">
        <v>140821835</v>
      </c>
      <c r="C3390" t="inlineStr">
        <is>
          <t>T</t>
        </is>
      </c>
      <c r="D3390" t="inlineStr">
        <is>
          <t>C</t>
        </is>
      </c>
      <c r="E3390" t="inlineStr">
        <is>
          <t>rs11958868</t>
        </is>
      </c>
      <c r="F3390" t="n">
        <v>0.0528077312</v>
      </c>
      <c r="G3390" t="n">
        <v>0.1256747551106179</v>
      </c>
      <c r="H3390" t="n">
        <v>0.009377145928940201</v>
      </c>
      <c r="I3390" t="n">
        <v>0.6911988931657039</v>
      </c>
      <c r="J3390" t="n">
        <v>0.6821427823501078</v>
      </c>
      <c r="K3390" t="n">
        <v>0.0170211336221827</v>
      </c>
      <c r="L3390" t="b">
        <v>0</v>
      </c>
      <c r="M3390" t="b">
        <v>0</v>
      </c>
      <c r="N3390" t="inlineStr">
        <is>
          <t>alt</t>
        </is>
      </c>
      <c r="O3390" t="n">
        <v>-85</v>
      </c>
      <c r="P3390" t="n">
        <v>0.011566</v>
      </c>
      <c r="Q3390" t="n">
        <v>20</v>
      </c>
      <c r="R3390" t="n">
        <v>0.05347</v>
      </c>
      <c r="S3390">
        <f>IMAGE("https://mitra.stanford.edu/kundaje/oak/projects/neuro-variants/variant_position/credible/roussos_2024/variant_figures/roussos_2024.childhood.GABA/rs11958868_count_position.png",4,220,900)</f>
        <v/>
      </c>
      <c r="T3390">
        <f>IMAGE("https://mitra.stanford.edu/kundaje/oak/projects/neuro-variants/variant_position/credible/roussos_2024/variant_figures/roussos_2024.childhood.GABA/rs11958868_profile_position.png",4,220,900)</f>
        <v/>
      </c>
    </row>
    <row r="3391">
      <c r="A3391" t="inlineStr">
        <is>
          <t>chr5</t>
        </is>
      </c>
      <c r="B3391" t="n">
        <v>140831031</v>
      </c>
      <c r="C3391" t="inlineStr">
        <is>
          <t>G</t>
        </is>
      </c>
      <c r="D3391" t="inlineStr">
        <is>
          <t>A</t>
        </is>
      </c>
      <c r="E3391" t="inlineStr">
        <is>
          <t>rs10038174</t>
        </is>
      </c>
      <c r="F3391" t="n">
        <v>-0.0821388072</v>
      </c>
      <c r="G3391" t="n">
        <v>0.0488631696472257</v>
      </c>
      <c r="H3391" t="n">
        <v>0.0150298293705946</v>
      </c>
      <c r="I3391" t="n">
        <v>0.2283375279232297</v>
      </c>
      <c r="J3391" t="n">
        <v>0.0252204142321626</v>
      </c>
      <c r="K3391" t="n">
        <v>0.6166133968491067</v>
      </c>
      <c r="L3391" t="b">
        <v>0</v>
      </c>
      <c r="M3391" t="b">
        <v>0</v>
      </c>
      <c r="N3391" t="inlineStr">
        <is>
          <t>ref</t>
        </is>
      </c>
      <c r="O3391" t="n">
        <v>55</v>
      </c>
      <c r="P3391" t="n">
        <v>0.007675</v>
      </c>
      <c r="Q3391" t="n">
        <v>100</v>
      </c>
      <c r="R3391" t="n">
        <v>0.0315</v>
      </c>
      <c r="S3391">
        <f>IMAGE("https://mitra.stanford.edu/kundaje/oak/projects/neuro-variants/variant_position/credible/roussos_2024/variant_figures/roussos_2024.childhood.GABA/rs10038174_count_position.png",4,220,900)</f>
        <v/>
      </c>
      <c r="T3391">
        <f>IMAGE("https://mitra.stanford.edu/kundaje/oak/projects/neuro-variants/variant_position/credible/roussos_2024/variant_figures/roussos_2024.childhood.GABA/rs10038174_profile_position.png",4,220,900)</f>
        <v/>
      </c>
    </row>
    <row r="3392">
      <c r="A3392" t="inlineStr">
        <is>
          <t>chr5</t>
        </is>
      </c>
      <c r="B3392" t="n">
        <v>141038323</v>
      </c>
      <c r="C3392" t="inlineStr">
        <is>
          <t>T</t>
        </is>
      </c>
      <c r="D3392" t="inlineStr">
        <is>
          <t>C</t>
        </is>
      </c>
      <c r="E3392" t="inlineStr">
        <is>
          <t>rs35123355</t>
        </is>
      </c>
      <c r="F3392" t="n">
        <v>-0.0273727442599999</v>
      </c>
      <c r="G3392" t="n">
        <v>0.3278632963279465</v>
      </c>
      <c r="H3392" t="n">
        <v>0.0272845285554595</v>
      </c>
      <c r="I3392" t="n">
        <v>0.0197550873602007</v>
      </c>
      <c r="J3392" t="n">
        <v>0.0098856568448827</v>
      </c>
      <c r="K3392" t="n">
        <v>0.7402154900935494</v>
      </c>
      <c r="L3392" t="b">
        <v>0</v>
      </c>
      <c r="M3392" t="b">
        <v>0</v>
      </c>
      <c r="N3392" t="inlineStr">
        <is>
          <t>ref</t>
        </is>
      </c>
      <c r="O3392" t="n">
        <v>100</v>
      </c>
      <c r="P3392" t="n">
        <v>0.009995</v>
      </c>
      <c r="Q3392" t="n">
        <v>-60</v>
      </c>
      <c r="R3392" t="n">
        <v>0.05103</v>
      </c>
      <c r="S3392">
        <f>IMAGE("https://mitra.stanford.edu/kundaje/oak/projects/neuro-variants/variant_position/credible/roussos_2024/variant_figures/roussos_2024.childhood.GABA/rs35123355_count_position.png",4,220,900)</f>
        <v/>
      </c>
      <c r="T3392">
        <f>IMAGE("https://mitra.stanford.edu/kundaje/oak/projects/neuro-variants/variant_position/credible/roussos_2024/variant_figures/roussos_2024.childhood.GABA/rs35123355_profile_position.png",4,220,900)</f>
        <v/>
      </c>
    </row>
    <row r="3393">
      <c r="A3393" t="inlineStr">
        <is>
          <t>chr5</t>
        </is>
      </c>
      <c r="B3393" t="n">
        <v>141040639</v>
      </c>
      <c r="C3393" t="inlineStr">
        <is>
          <t>C</t>
        </is>
      </c>
      <c r="D3393" t="inlineStr">
        <is>
          <t>T</t>
        </is>
      </c>
      <c r="E3393" t="inlineStr">
        <is>
          <t>rs31745</t>
        </is>
      </c>
      <c r="F3393" t="n">
        <v>0.0070235205999999</v>
      </c>
      <c r="G3393" t="n">
        <v>0.6899768561007891</v>
      </c>
      <c r="H3393" t="n">
        <v>0.0159677402261954</v>
      </c>
      <c r="I3393" t="n">
        <v>0.1831749199598498</v>
      </c>
      <c r="J3393" t="n">
        <v>0.8034302946535151</v>
      </c>
      <c r="K3393" t="n">
        <v>0.0063113404321477</v>
      </c>
      <c r="L3393" t="b">
        <v>0</v>
      </c>
      <c r="M3393" t="b">
        <v>0</v>
      </c>
      <c r="N3393" t="inlineStr">
        <is>
          <t>alt</t>
        </is>
      </c>
      <c r="O3393" t="n">
        <v>50</v>
      </c>
      <c r="P3393" t="n">
        <v>0.01334</v>
      </c>
      <c r="Q3393" t="n">
        <v>95</v>
      </c>
      <c r="R3393" t="n">
        <v>0.09827</v>
      </c>
      <c r="S3393">
        <f>IMAGE("https://mitra.stanford.edu/kundaje/oak/projects/neuro-variants/variant_position/credible/roussos_2024/variant_figures/roussos_2024.childhood.GABA/rs31745_count_position.png",4,220,900)</f>
        <v/>
      </c>
      <c r="T3393">
        <f>IMAGE("https://mitra.stanford.edu/kundaje/oak/projects/neuro-variants/variant_position/credible/roussos_2024/variant_figures/roussos_2024.childhood.GABA/rs31745_profile_position.png",4,220,900)</f>
        <v/>
      </c>
    </row>
    <row r="3394">
      <c r="A3394" t="inlineStr">
        <is>
          <t>chr5</t>
        </is>
      </c>
      <c r="B3394" t="n">
        <v>141049461</v>
      </c>
      <c r="C3394" t="inlineStr">
        <is>
          <t>A</t>
        </is>
      </c>
      <c r="D3394" t="inlineStr">
        <is>
          <t>G</t>
        </is>
      </c>
      <c r="E3394" t="inlineStr">
        <is>
          <t>rs34907800</t>
        </is>
      </c>
      <c r="F3394" t="n">
        <v>0.136391118</v>
      </c>
      <c r="G3394" t="n">
        <v>0.0155256343169343</v>
      </c>
      <c r="H3394" t="n">
        <v>0.0171480532269032</v>
      </c>
      <c r="I3394" t="n">
        <v>0.1342704192291395</v>
      </c>
      <c r="J3394" t="n">
        <v>0.0174006827082155</v>
      </c>
      <c r="K3394" t="n">
        <v>0.6909406797537169</v>
      </c>
      <c r="L3394" t="b">
        <v>1</v>
      </c>
      <c r="M3394" t="b">
        <v>0</v>
      </c>
      <c r="N3394" t="inlineStr">
        <is>
          <t>alt</t>
        </is>
      </c>
      <c r="O3394" t="n">
        <v>90</v>
      </c>
      <c r="P3394" t="n">
        <v>0.002888</v>
      </c>
      <c r="Q3394" t="n">
        <v>0</v>
      </c>
      <c r="R3394" t="n">
        <v>0</v>
      </c>
      <c r="S3394">
        <f>IMAGE("https://mitra.stanford.edu/kundaje/oak/projects/neuro-variants/variant_position/credible/roussos_2024/variant_figures/roussos_2024.childhood.GABA/rs34907800_count_position.png",4,220,900)</f>
        <v/>
      </c>
      <c r="T3394">
        <f>IMAGE("https://mitra.stanford.edu/kundaje/oak/projects/neuro-variants/variant_position/credible/roussos_2024/variant_figures/roussos_2024.childhood.GABA/rs34907800_profile_position.png",4,220,900)</f>
        <v/>
      </c>
    </row>
    <row r="3395">
      <c r="A3395" t="inlineStr">
        <is>
          <t>chr5</t>
        </is>
      </c>
      <c r="B3395" t="n">
        <v>141086238</v>
      </c>
      <c r="C3395" t="inlineStr">
        <is>
          <t>A</t>
        </is>
      </c>
      <c r="D3395" t="inlineStr">
        <is>
          <t>G</t>
        </is>
      </c>
      <c r="E3395" t="inlineStr">
        <is>
          <t>rs31860</t>
        </is>
      </c>
      <c r="F3395" t="n">
        <v>0.0339526651999999</v>
      </c>
      <c r="G3395" t="n">
        <v>0.2546226280626538</v>
      </c>
      <c r="H3395" t="n">
        <v>0.009722144334901201</v>
      </c>
      <c r="I3395" t="n">
        <v>0.6668607802722504</v>
      </c>
      <c r="J3395" t="n">
        <v>0.0405666897028334</v>
      </c>
      <c r="K3395" t="n">
        <v>0.5224987203507693</v>
      </c>
      <c r="L3395" t="b">
        <v>0</v>
      </c>
      <c r="M3395" t="b">
        <v>0</v>
      </c>
      <c r="N3395" t="inlineStr">
        <is>
          <t>alt</t>
        </is>
      </c>
      <c r="O3395" t="n">
        <v>15</v>
      </c>
      <c r="P3395" t="n">
        <v>0.001766</v>
      </c>
      <c r="Q3395" t="n">
        <v>-40</v>
      </c>
      <c r="R3395" t="n">
        <v>0.06152</v>
      </c>
      <c r="S3395">
        <f>IMAGE("https://mitra.stanford.edu/kundaje/oak/projects/neuro-variants/variant_position/credible/roussos_2024/variant_figures/roussos_2024.childhood.GABA/rs31860_count_position.png",4,220,900)</f>
        <v/>
      </c>
      <c r="T3395">
        <f>IMAGE("https://mitra.stanford.edu/kundaje/oak/projects/neuro-variants/variant_position/credible/roussos_2024/variant_figures/roussos_2024.childhood.GABA/rs31860_profile_position.png",4,220,900)</f>
        <v/>
      </c>
    </row>
    <row r="3396">
      <c r="A3396" t="inlineStr">
        <is>
          <t>chr5</t>
        </is>
      </c>
      <c r="B3396" t="n">
        <v>141086467</v>
      </c>
      <c r="C3396" t="inlineStr">
        <is>
          <t>G</t>
        </is>
      </c>
      <c r="D3396" t="inlineStr">
        <is>
          <t>A</t>
        </is>
      </c>
      <c r="E3396" t="inlineStr">
        <is>
          <t>rs31859</t>
        </is>
      </c>
      <c r="F3396" t="n">
        <v>0.007902545259999999</v>
      </c>
      <c r="G3396" t="n">
        <v>0.5936588688212058</v>
      </c>
      <c r="H3396" t="n">
        <v>0.0201018470981102</v>
      </c>
      <c r="I3396" t="n">
        <v>0.0733560752503796</v>
      </c>
      <c r="J3396" t="n">
        <v>0.0187137442147807</v>
      </c>
      <c r="K3396" t="n">
        <v>0.6565741308759587</v>
      </c>
      <c r="L3396" t="b">
        <v>0</v>
      </c>
      <c r="M3396" t="b">
        <v>0</v>
      </c>
      <c r="N3396" t="inlineStr">
        <is>
          <t>alt</t>
        </is>
      </c>
      <c r="O3396" t="n">
        <v>100</v>
      </c>
      <c r="P3396" t="n">
        <v>0.003902</v>
      </c>
      <c r="Q3396" t="n">
        <v>-80</v>
      </c>
      <c r="R3396" t="n">
        <v>0.1259</v>
      </c>
      <c r="S3396">
        <f>IMAGE("https://mitra.stanford.edu/kundaje/oak/projects/neuro-variants/variant_position/credible/roussos_2024/variant_figures/roussos_2024.childhood.GABA/rs31859_count_position.png",4,220,900)</f>
        <v/>
      </c>
      <c r="T3396">
        <f>IMAGE("https://mitra.stanford.edu/kundaje/oak/projects/neuro-variants/variant_position/credible/roussos_2024/variant_figures/roussos_2024.childhood.GABA/rs31859_profile_position.png",4,220,900)</f>
        <v/>
      </c>
    </row>
    <row r="3397">
      <c r="A3397" t="inlineStr">
        <is>
          <t>chr5</t>
        </is>
      </c>
      <c r="B3397" t="n">
        <v>141087672</v>
      </c>
      <c r="C3397" t="inlineStr">
        <is>
          <t>T</t>
        </is>
      </c>
      <c r="D3397" t="inlineStr">
        <is>
          <t>A</t>
        </is>
      </c>
      <c r="E3397" t="inlineStr">
        <is>
          <t>rs35110655</t>
        </is>
      </c>
      <c r="F3397" t="n">
        <v>0.08585021499999999</v>
      </c>
      <c r="G3397" t="n">
        <v>0.0431757505579859</v>
      </c>
      <c r="H3397" t="n">
        <v>0.022858130517014</v>
      </c>
      <c r="I3397" t="n">
        <v>0.043123988204791</v>
      </c>
      <c r="J3397" t="n">
        <v>0.0332066344160331</v>
      </c>
      <c r="K3397" t="n">
        <v>0.5665950349487333</v>
      </c>
      <c r="L3397" t="b">
        <v>0</v>
      </c>
      <c r="M3397" t="b">
        <v>0</v>
      </c>
      <c r="N3397" t="inlineStr">
        <is>
          <t>alt</t>
        </is>
      </c>
      <c r="O3397" t="n">
        <v>-100</v>
      </c>
      <c r="P3397" t="n">
        <v>0.003155</v>
      </c>
      <c r="Q3397" t="n">
        <v>-100</v>
      </c>
      <c r="R3397" t="n">
        <v>0.1254</v>
      </c>
      <c r="S3397">
        <f>IMAGE("https://mitra.stanford.edu/kundaje/oak/projects/neuro-variants/variant_position/credible/roussos_2024/variant_figures/roussos_2024.childhood.GABA/rs35110655_count_position.png",4,220,900)</f>
        <v/>
      </c>
      <c r="T3397">
        <f>IMAGE("https://mitra.stanford.edu/kundaje/oak/projects/neuro-variants/variant_position/credible/roussos_2024/variant_figures/roussos_2024.childhood.GABA/rs35110655_profile_position.png",4,220,900)</f>
        <v/>
      </c>
    </row>
    <row r="3398">
      <c r="A3398" t="inlineStr">
        <is>
          <t>chr5</t>
        </is>
      </c>
      <c r="B3398" t="n">
        <v>141092802</v>
      </c>
      <c r="C3398" t="inlineStr">
        <is>
          <t>A</t>
        </is>
      </c>
      <c r="D3398" t="inlineStr">
        <is>
          <t>G</t>
        </is>
      </c>
      <c r="E3398" t="inlineStr">
        <is>
          <t>rs34580312</t>
        </is>
      </c>
      <c r="F3398" t="n">
        <v>0.251628914</v>
      </c>
      <c r="G3398" t="n">
        <v>0.0022806696231384</v>
      </c>
      <c r="H3398" t="n">
        <v>0.0465509885242815</v>
      </c>
      <c r="I3398" t="n">
        <v>0.0023609392622241</v>
      </c>
      <c r="J3398" t="n">
        <v>0.00062511779858</v>
      </c>
      <c r="K3398" t="n">
        <v>0.9329107030275886</v>
      </c>
      <c r="L3398" t="b">
        <v>1</v>
      </c>
      <c r="M3398" t="b">
        <v>1</v>
      </c>
      <c r="N3398" t="inlineStr">
        <is>
          <t>alt</t>
        </is>
      </c>
      <c r="O3398" t="n">
        <v>100</v>
      </c>
      <c r="P3398" t="n">
        <v>0.006046</v>
      </c>
      <c r="Q3398" t="n">
        <v>100</v>
      </c>
      <c r="R3398" t="n">
        <v>0.06287</v>
      </c>
      <c r="S3398">
        <f>IMAGE("https://mitra.stanford.edu/kundaje/oak/projects/neuro-variants/variant_position/credible/roussos_2024/variant_figures/roussos_2024.childhood.GABA/rs34580312_count_position.png",4,220,900)</f>
        <v/>
      </c>
      <c r="T3398">
        <f>IMAGE("https://mitra.stanford.edu/kundaje/oak/projects/neuro-variants/variant_position/credible/roussos_2024/variant_figures/roussos_2024.childhood.GABA/rs34580312_profile_position.png",4,220,900)</f>
        <v/>
      </c>
    </row>
    <row r="3399">
      <c r="A3399" t="inlineStr">
        <is>
          <t>chr5</t>
        </is>
      </c>
      <c r="B3399" t="n">
        <v>141095172</v>
      </c>
      <c r="C3399" t="inlineStr">
        <is>
          <t>G</t>
        </is>
      </c>
      <c r="D3399" t="inlineStr">
        <is>
          <t>A</t>
        </is>
      </c>
      <c r="E3399" t="inlineStr">
        <is>
          <t>rs31853</t>
        </is>
      </c>
      <c r="F3399" t="n">
        <v>-0.0461021199999999</v>
      </c>
      <c r="G3399" t="n">
        <v>0.1610625545672109</v>
      </c>
      <c r="H3399" t="n">
        <v>0.0115677607660438</v>
      </c>
      <c r="I3399" t="n">
        <v>0.4723400596719477</v>
      </c>
      <c r="J3399" t="n">
        <v>0.6813187158384119</v>
      </c>
      <c r="K3399" t="n">
        <v>0.0170763073822818</v>
      </c>
      <c r="L3399" t="b">
        <v>0</v>
      </c>
      <c r="M3399" t="b">
        <v>0</v>
      </c>
      <c r="N3399" t="inlineStr">
        <is>
          <t>ref</t>
        </is>
      </c>
      <c r="O3399" t="n">
        <v>-45</v>
      </c>
      <c r="P3399" t="n">
        <v>0.009995</v>
      </c>
      <c r="Q3399" t="n">
        <v>100</v>
      </c>
      <c r="R3399" t="n">
        <v>0.11145</v>
      </c>
      <c r="S3399">
        <f>IMAGE("https://mitra.stanford.edu/kundaje/oak/projects/neuro-variants/variant_position/credible/roussos_2024/variant_figures/roussos_2024.childhood.GABA/rs31853_count_position.png",4,220,900)</f>
        <v/>
      </c>
      <c r="T3399">
        <f>IMAGE("https://mitra.stanford.edu/kundaje/oak/projects/neuro-variants/variant_position/credible/roussos_2024/variant_figures/roussos_2024.childhood.GABA/rs31853_profile_position.png",4,220,900)</f>
        <v/>
      </c>
    </row>
    <row r="3400">
      <c r="A3400" t="inlineStr">
        <is>
          <t>chr5</t>
        </is>
      </c>
      <c r="B3400" t="n">
        <v>141099537</v>
      </c>
      <c r="C3400" t="inlineStr">
        <is>
          <t>A</t>
        </is>
      </c>
      <c r="D3400" t="inlineStr">
        <is>
          <t>C</t>
        </is>
      </c>
      <c r="E3400" t="inlineStr">
        <is>
          <t>rs13183611</t>
        </is>
      </c>
      <c r="F3400" t="n">
        <v>-0.15519478</v>
      </c>
      <c r="G3400" t="n">
        <v>0.0099303238834499</v>
      </c>
      <c r="H3400" t="n">
        <v>0.0255839101463858</v>
      </c>
      <c r="I3400" t="n">
        <v>0.0287479237375328</v>
      </c>
      <c r="J3400" t="n">
        <v>0.0797731984670477</v>
      </c>
      <c r="K3400" t="n">
        <v>0.3957937487573757</v>
      </c>
      <c r="L3400" t="b">
        <v>1</v>
      </c>
      <c r="M3400" t="b">
        <v>1</v>
      </c>
      <c r="N3400" t="inlineStr">
        <is>
          <t>ref</t>
        </is>
      </c>
      <c r="O3400" t="n">
        <v>50</v>
      </c>
      <c r="P3400" t="n">
        <v>0.004208</v>
      </c>
      <c r="Q3400" t="n">
        <v>-60</v>
      </c>
      <c r="R3400" t="n">
        <v>0.1159</v>
      </c>
      <c r="S3400">
        <f>IMAGE("https://mitra.stanford.edu/kundaje/oak/projects/neuro-variants/variant_position/credible/roussos_2024/variant_figures/roussos_2024.childhood.GABA/rs13183611_count_position.png",4,220,900)</f>
        <v/>
      </c>
      <c r="T3400">
        <f>IMAGE("https://mitra.stanford.edu/kundaje/oak/projects/neuro-variants/variant_position/credible/roussos_2024/variant_figures/roussos_2024.childhood.GABA/rs13183611_profile_position.png",4,220,900)</f>
        <v/>
      </c>
    </row>
    <row r="3401">
      <c r="A3401" t="inlineStr">
        <is>
          <t>chr5</t>
        </is>
      </c>
      <c r="B3401" t="n">
        <v>141100595</v>
      </c>
      <c r="C3401" t="inlineStr">
        <is>
          <t>T</t>
        </is>
      </c>
      <c r="D3401" t="inlineStr">
        <is>
          <t>G</t>
        </is>
      </c>
      <c r="E3401" t="inlineStr">
        <is>
          <t>rs1055410</t>
        </is>
      </c>
      <c r="F3401" t="n">
        <v>0.0305823528</v>
      </c>
      <c r="G3401" t="n">
        <v>0.2732859826659523</v>
      </c>
      <c r="H3401" t="n">
        <v>0.0103946742035155</v>
      </c>
      <c r="I3401" t="n">
        <v>0.602393712261155</v>
      </c>
      <c r="J3401" t="n">
        <v>0.809787229586815</v>
      </c>
      <c r="K3401" t="n">
        <v>0.0059565501213717</v>
      </c>
      <c r="L3401" t="b">
        <v>0</v>
      </c>
      <c r="M3401" t="b">
        <v>0</v>
      </c>
      <c r="N3401" t="inlineStr">
        <is>
          <t>alt</t>
        </is>
      </c>
      <c r="O3401" t="n">
        <v>-100</v>
      </c>
      <c r="P3401" t="n">
        <v>0.2189</v>
      </c>
      <c r="Q3401" t="n">
        <v>-70</v>
      </c>
      <c r="R3401" t="n">
        <v>0.787</v>
      </c>
      <c r="S3401">
        <f>IMAGE("https://mitra.stanford.edu/kundaje/oak/projects/neuro-variants/variant_position/credible/roussos_2024/variant_figures/roussos_2024.childhood.GABA/rs1055410_count_position.png",4,220,900)</f>
        <v/>
      </c>
      <c r="T3401">
        <f>IMAGE("https://mitra.stanford.edu/kundaje/oak/projects/neuro-variants/variant_position/credible/roussos_2024/variant_figures/roussos_2024.childhood.GABA/rs1055410_profile_position.png",4,220,900)</f>
        <v/>
      </c>
    </row>
    <row r="3402">
      <c r="A3402" t="inlineStr">
        <is>
          <t>chr5</t>
        </is>
      </c>
      <c r="B3402" t="n">
        <v>141107252</v>
      </c>
      <c r="C3402" t="inlineStr">
        <is>
          <t>G</t>
        </is>
      </c>
      <c r="D3402" t="inlineStr">
        <is>
          <t>A</t>
        </is>
      </c>
      <c r="E3402" t="inlineStr">
        <is>
          <t>rs34535102</t>
        </is>
      </c>
      <c r="F3402" t="n">
        <v>0.01607839632</v>
      </c>
      <c r="G3402" t="n">
        <v>0.4892743155205702</v>
      </c>
      <c r="H3402" t="n">
        <v>0.0081852994945002</v>
      </c>
      <c r="I3402" t="n">
        <v>0.8466442711874979</v>
      </c>
      <c r="J3402" t="n">
        <v>0.0008795627316704</v>
      </c>
      <c r="K3402" t="n">
        <v>0.915173597582262</v>
      </c>
      <c r="L3402" t="b">
        <v>0</v>
      </c>
      <c r="M3402" t="b">
        <v>0</v>
      </c>
      <c r="N3402" t="inlineStr">
        <is>
          <t>alt</t>
        </is>
      </c>
      <c r="O3402" t="n">
        <v>55</v>
      </c>
      <c r="P3402" t="n">
        <v>0.002968</v>
      </c>
      <c r="Q3402" t="n">
        <v>-100</v>
      </c>
      <c r="R3402" t="n">
        <v>0.02673</v>
      </c>
      <c r="S3402">
        <f>IMAGE("https://mitra.stanford.edu/kundaje/oak/projects/neuro-variants/variant_position/credible/roussos_2024/variant_figures/roussos_2024.childhood.GABA/rs34535102_count_position.png",4,220,900)</f>
        <v/>
      </c>
      <c r="T3402">
        <f>IMAGE("https://mitra.stanford.edu/kundaje/oak/projects/neuro-variants/variant_position/credible/roussos_2024/variant_figures/roussos_2024.childhood.GABA/rs34535102_profile_position.png",4,220,900)</f>
        <v/>
      </c>
    </row>
    <row r="3403">
      <c r="A3403" t="inlineStr">
        <is>
          <t>chr5</t>
        </is>
      </c>
      <c r="B3403" t="n">
        <v>141123949</v>
      </c>
      <c r="C3403" t="inlineStr">
        <is>
          <t>C</t>
        </is>
      </c>
      <c r="D3403" t="inlineStr">
        <is>
          <t>T</t>
        </is>
      </c>
      <c r="E3403" t="inlineStr">
        <is>
          <t>rs17844417</t>
        </is>
      </c>
      <c r="F3403" t="n">
        <v>-0.0433077756</v>
      </c>
      <c r="G3403" t="n">
        <v>0.1824986790449183</v>
      </c>
      <c r="H3403" t="n">
        <v>0.0161609831725681</v>
      </c>
      <c r="I3403" t="n">
        <v>0.1765781794492684</v>
      </c>
      <c r="J3403" t="n">
        <v>0.6397530941760381</v>
      </c>
      <c r="K3403" t="n">
        <v>0.0221301706782948</v>
      </c>
      <c r="L3403" t="b">
        <v>0</v>
      </c>
      <c r="M3403" t="b">
        <v>0</v>
      </c>
      <c r="N3403" t="inlineStr">
        <is>
          <t>ref</t>
        </is>
      </c>
      <c r="O3403" t="n">
        <v>25</v>
      </c>
      <c r="P3403" t="n">
        <v>0.004623</v>
      </c>
      <c r="Q3403" t="n">
        <v>-40</v>
      </c>
      <c r="R3403" t="n">
        <v>0.03284</v>
      </c>
      <c r="S3403">
        <f>IMAGE("https://mitra.stanford.edu/kundaje/oak/projects/neuro-variants/variant_position/credible/roussos_2024/variant_figures/roussos_2024.childhood.GABA/rs17844417_count_position.png",4,220,900)</f>
        <v/>
      </c>
      <c r="T3403">
        <f>IMAGE("https://mitra.stanford.edu/kundaje/oak/projects/neuro-variants/variant_position/credible/roussos_2024/variant_figures/roussos_2024.childhood.GABA/rs17844417_profile_position.png",4,220,900)</f>
        <v/>
      </c>
    </row>
    <row r="3404">
      <c r="A3404" t="inlineStr">
        <is>
          <t>chr5</t>
        </is>
      </c>
      <c r="B3404" t="n">
        <v>141128290</v>
      </c>
      <c r="C3404" t="inlineStr">
        <is>
          <t>A</t>
        </is>
      </c>
      <c r="D3404" t="inlineStr">
        <is>
          <t>G</t>
        </is>
      </c>
      <c r="E3404" t="inlineStr">
        <is>
          <t>rs74601574</t>
        </is>
      </c>
      <c r="F3404" t="n">
        <v>0.00220959534</v>
      </c>
      <c r="G3404" t="n">
        <v>0.7207778610488699</v>
      </c>
      <c r="H3404" t="n">
        <v>0.0182105237581007</v>
      </c>
      <c r="I3404" t="n">
        <v>0.1103531584479098</v>
      </c>
      <c r="J3404" t="n">
        <v>0.0002931875772234</v>
      </c>
      <c r="K3404" t="n">
        <v>0.9585562247514948</v>
      </c>
      <c r="L3404" t="b">
        <v>0</v>
      </c>
      <c r="M3404" t="b">
        <v>0</v>
      </c>
      <c r="N3404" t="inlineStr">
        <is>
          <t>alt</t>
        </is>
      </c>
      <c r="O3404" t="n">
        <v>-100</v>
      </c>
      <c r="P3404" t="n">
        <v>0.001738</v>
      </c>
      <c r="Q3404" t="n">
        <v>80</v>
      </c>
      <c r="R3404" t="n">
        <v>0.06213</v>
      </c>
      <c r="S3404">
        <f>IMAGE("https://mitra.stanford.edu/kundaje/oak/projects/neuro-variants/variant_position/credible/roussos_2024/variant_figures/roussos_2024.childhood.GABA/rs74601574_count_position.png",4,220,900)</f>
        <v/>
      </c>
      <c r="T3404">
        <f>IMAGE("https://mitra.stanford.edu/kundaje/oak/projects/neuro-variants/variant_position/credible/roussos_2024/variant_figures/roussos_2024.childhood.GABA/rs74601574_profile_position.png",4,220,900)</f>
        <v/>
      </c>
    </row>
    <row r="3405">
      <c r="A3405" t="inlineStr">
        <is>
          <t>chr5</t>
        </is>
      </c>
      <c r="B3405" t="n">
        <v>141129143</v>
      </c>
      <c r="C3405" t="inlineStr">
        <is>
          <t>A</t>
        </is>
      </c>
      <c r="D3405" t="inlineStr">
        <is>
          <t>C</t>
        </is>
      </c>
      <c r="E3405" t="inlineStr">
        <is>
          <t>rs35737105</t>
        </is>
      </c>
      <c r="F3405" t="n">
        <v>0.0599485598</v>
      </c>
      <c r="G3405" t="n">
        <v>0.0953111909416387</v>
      </c>
      <c r="H3405" t="n">
        <v>0.0159854769845329</v>
      </c>
      <c r="I3405" t="n">
        <v>0.1772322218265503</v>
      </c>
      <c r="J3405" t="n">
        <v>0.0005340202299427</v>
      </c>
      <c r="K3405" t="n">
        <v>0.9362612694814488</v>
      </c>
      <c r="L3405" t="b">
        <v>0</v>
      </c>
      <c r="M3405" t="b">
        <v>0</v>
      </c>
      <c r="N3405" t="inlineStr">
        <is>
          <t>alt</t>
        </is>
      </c>
      <c r="O3405" t="n">
        <v>100</v>
      </c>
      <c r="P3405" t="n">
        <v>0.006382</v>
      </c>
      <c r="Q3405" t="n">
        <v>-100</v>
      </c>
      <c r="R3405" t="n">
        <v>0.0829</v>
      </c>
      <c r="S3405">
        <f>IMAGE("https://mitra.stanford.edu/kundaje/oak/projects/neuro-variants/variant_position/credible/roussos_2024/variant_figures/roussos_2024.childhood.GABA/rs35737105_count_position.png",4,220,900)</f>
        <v/>
      </c>
      <c r="T3405">
        <f>IMAGE("https://mitra.stanford.edu/kundaje/oak/projects/neuro-variants/variant_position/credible/roussos_2024/variant_figures/roussos_2024.childhood.GABA/rs35737105_profile_position.png",4,220,900)</f>
        <v/>
      </c>
    </row>
    <row r="3406">
      <c r="A3406" t="inlineStr">
        <is>
          <t>chr5</t>
        </is>
      </c>
      <c r="B3406" t="n">
        <v>152478563</v>
      </c>
      <c r="C3406" t="inlineStr">
        <is>
          <t>A</t>
        </is>
      </c>
      <c r="D3406" t="inlineStr">
        <is>
          <t>G</t>
        </is>
      </c>
      <c r="E3406" t="inlineStr">
        <is>
          <t>rs3864272</t>
        </is>
      </c>
      <c r="F3406" t="n">
        <v>0.070417835</v>
      </c>
      <c r="G3406" t="n">
        <v>0.0722380371989544</v>
      </c>
      <c r="H3406" t="n">
        <v>0.0146343726204408</v>
      </c>
      <c r="I3406" t="n">
        <v>0.2439314798374845</v>
      </c>
      <c r="J3406" t="n">
        <v>0.009164205985214899</v>
      </c>
      <c r="K3406" t="n">
        <v>0.7544675098128784</v>
      </c>
      <c r="L3406" t="b">
        <v>0</v>
      </c>
      <c r="M3406" t="b">
        <v>0</v>
      </c>
      <c r="N3406" t="inlineStr">
        <is>
          <t>alt</t>
        </is>
      </c>
      <c r="O3406" t="n">
        <v>85</v>
      </c>
      <c r="P3406" t="n">
        <v>0.0127</v>
      </c>
      <c r="Q3406" t="n">
        <v>-100</v>
      </c>
      <c r="R3406" t="n">
        <v>0.098</v>
      </c>
      <c r="S3406">
        <f>IMAGE("https://mitra.stanford.edu/kundaje/oak/projects/neuro-variants/variant_position/credible/roussos_2024/variant_figures/roussos_2024.childhood.GABA/rs3864272_count_position.png",4,220,900)</f>
        <v/>
      </c>
      <c r="T3406">
        <f>IMAGE("https://mitra.stanford.edu/kundaje/oak/projects/neuro-variants/variant_position/credible/roussos_2024/variant_figures/roussos_2024.childhood.GABA/rs3864272_profile_position.png",4,220,900)</f>
        <v/>
      </c>
    </row>
    <row r="3407">
      <c r="A3407" t="inlineStr">
        <is>
          <t>chr5</t>
        </is>
      </c>
      <c r="B3407" t="n">
        <v>152593173</v>
      </c>
      <c r="C3407" t="inlineStr">
        <is>
          <t>T</t>
        </is>
      </c>
      <c r="D3407" t="inlineStr">
        <is>
          <t>C</t>
        </is>
      </c>
      <c r="E3407" t="inlineStr">
        <is>
          <t>rs12657267</t>
        </is>
      </c>
      <c r="F3407" t="n">
        <v>0.299498362</v>
      </c>
      <c r="G3407" t="n">
        <v>0.0013747652569353</v>
      </c>
      <c r="H3407" t="n">
        <v>0.0575752788629569</v>
      </c>
      <c r="I3407" t="n">
        <v>0.0012626493080277</v>
      </c>
      <c r="J3407" t="n">
        <v>0.3543129986806558</v>
      </c>
      <c r="K3407" t="n">
        <v>0.1055195248456219</v>
      </c>
      <c r="L3407" t="b">
        <v>1</v>
      </c>
      <c r="M3407" t="b">
        <v>1</v>
      </c>
      <c r="N3407" t="inlineStr">
        <is>
          <t>alt</t>
        </is>
      </c>
      <c r="O3407" t="n">
        <v>100</v>
      </c>
      <c r="P3407" t="n">
        <v>0.00861</v>
      </c>
      <c r="Q3407" t="n">
        <v>80</v>
      </c>
      <c r="R3407" t="n">
        <v>0.05298</v>
      </c>
      <c r="S3407">
        <f>IMAGE("https://mitra.stanford.edu/kundaje/oak/projects/neuro-variants/variant_position/credible/roussos_2024/variant_figures/roussos_2024.childhood.GABA/rs12657267_count_position.png",4,220,900)</f>
        <v/>
      </c>
      <c r="T3407">
        <f>IMAGE("https://mitra.stanford.edu/kundaje/oak/projects/neuro-variants/variant_position/credible/roussos_2024/variant_figures/roussos_2024.childhood.GABA/rs12657267_profile_position.png",4,220,900)</f>
        <v/>
      </c>
    </row>
    <row r="3408">
      <c r="A3408" t="inlineStr">
        <is>
          <t>chr5</t>
        </is>
      </c>
      <c r="B3408" t="n">
        <v>152642535</v>
      </c>
      <c r="C3408" t="inlineStr">
        <is>
          <t>G</t>
        </is>
      </c>
      <c r="D3408" t="inlineStr">
        <is>
          <t>A</t>
        </is>
      </c>
      <c r="E3408" t="inlineStr">
        <is>
          <t>rs17454953</t>
        </is>
      </c>
      <c r="F3408" t="n">
        <v>0.098838598</v>
      </c>
      <c r="G3408" t="n">
        <v>0.030397726300504</v>
      </c>
      <c r="H3408" t="n">
        <v>0.0262114484077854</v>
      </c>
      <c r="I3408" t="n">
        <v>0.0262237953008482</v>
      </c>
      <c r="J3408" t="n">
        <v>0.3636751062804967</v>
      </c>
      <c r="K3408" t="n">
        <v>0.101459522483482</v>
      </c>
      <c r="L3408" t="b">
        <v>0</v>
      </c>
      <c r="M3408" t="b">
        <v>0</v>
      </c>
      <c r="N3408" t="inlineStr">
        <is>
          <t>alt</t>
        </is>
      </c>
      <c r="O3408" t="n">
        <v>100</v>
      </c>
      <c r="P3408" t="n">
        <v>0.03302</v>
      </c>
      <c r="Q3408" t="n">
        <v>-100</v>
      </c>
      <c r="R3408" t="n">
        <v>0.177</v>
      </c>
      <c r="S3408">
        <f>IMAGE("https://mitra.stanford.edu/kundaje/oak/projects/neuro-variants/variant_position/credible/roussos_2024/variant_figures/roussos_2024.childhood.GABA/rs17454953_count_position.png",4,220,900)</f>
        <v/>
      </c>
      <c r="T3408">
        <f>IMAGE("https://mitra.stanford.edu/kundaje/oak/projects/neuro-variants/variant_position/credible/roussos_2024/variant_figures/roussos_2024.childhood.GABA/rs17454953_profile_position.png",4,220,900)</f>
        <v/>
      </c>
    </row>
    <row r="3409">
      <c r="A3409" t="inlineStr">
        <is>
          <t>chr5</t>
        </is>
      </c>
      <c r="B3409" t="n">
        <v>152676834</v>
      </c>
      <c r="C3409" t="inlineStr">
        <is>
          <t>T</t>
        </is>
      </c>
      <c r="D3409" t="inlineStr">
        <is>
          <t>C</t>
        </is>
      </c>
      <c r="E3409" t="inlineStr">
        <is>
          <t>rs17455625</t>
        </is>
      </c>
      <c r="F3409" t="n">
        <v>-0.0200491564</v>
      </c>
      <c r="G3409" t="n">
        <v>0.4364270495634261</v>
      </c>
      <c r="H3409" t="n">
        <v>0.0252797638595343</v>
      </c>
      <c r="I3409" t="n">
        <v>0.0269513517796689</v>
      </c>
      <c r="J3409" t="n">
        <v>0.1448964419593306</v>
      </c>
      <c r="K3409" t="n">
        <v>0.2798249144534424</v>
      </c>
      <c r="L3409" t="b">
        <v>0</v>
      </c>
      <c r="M3409" t="b">
        <v>0</v>
      </c>
      <c r="N3409" t="inlineStr">
        <is>
          <t>ref</t>
        </is>
      </c>
      <c r="O3409" t="n">
        <v>-95</v>
      </c>
      <c r="P3409" t="n">
        <v>0.00594</v>
      </c>
      <c r="Q3409" t="n">
        <v>70</v>
      </c>
      <c r="R3409" t="n">
        <v>0.04813</v>
      </c>
      <c r="S3409">
        <f>IMAGE("https://mitra.stanford.edu/kundaje/oak/projects/neuro-variants/variant_position/credible/roussos_2024/variant_figures/roussos_2024.childhood.GABA/rs17455625_count_position.png",4,220,900)</f>
        <v/>
      </c>
      <c r="T3409">
        <f>IMAGE("https://mitra.stanford.edu/kundaje/oak/projects/neuro-variants/variant_position/credible/roussos_2024/variant_figures/roussos_2024.childhood.GABA/rs17455625_profile_position.png",4,220,900)</f>
        <v/>
      </c>
    </row>
    <row r="3410">
      <c r="A3410" t="inlineStr">
        <is>
          <t>chr5</t>
        </is>
      </c>
      <c r="B3410" t="n">
        <v>152678555</v>
      </c>
      <c r="C3410" t="inlineStr">
        <is>
          <t>C</t>
        </is>
      </c>
      <c r="D3410" t="inlineStr">
        <is>
          <t>G</t>
        </is>
      </c>
      <c r="E3410" t="inlineStr">
        <is>
          <t>rs12657990</t>
        </is>
      </c>
      <c r="F3410" t="n">
        <v>-0.0025982175</v>
      </c>
      <c r="G3410" t="n">
        <v>0.5214200726309559</v>
      </c>
      <c r="H3410" t="n">
        <v>0.0106328565827528</v>
      </c>
      <c r="I3410" t="n">
        <v>0.5728993933391651</v>
      </c>
      <c r="J3410" t="n">
        <v>0.0222592197022051</v>
      </c>
      <c r="K3410" t="n">
        <v>0.6411863825684392</v>
      </c>
      <c r="L3410" t="b">
        <v>0</v>
      </c>
      <c r="M3410" t="b">
        <v>0</v>
      </c>
      <c r="N3410" t="inlineStr">
        <is>
          <t>ref</t>
        </is>
      </c>
      <c r="O3410" t="n">
        <v>90</v>
      </c>
      <c r="P3410" t="n">
        <v>0.013214</v>
      </c>
      <c r="Q3410" t="n">
        <v>75</v>
      </c>
      <c r="R3410" t="n">
        <v>0.013794</v>
      </c>
      <c r="S3410">
        <f>IMAGE("https://mitra.stanford.edu/kundaje/oak/projects/neuro-variants/variant_position/credible/roussos_2024/variant_figures/roussos_2024.childhood.GABA/rs12657990_count_position.png",4,220,900)</f>
        <v/>
      </c>
      <c r="T3410">
        <f>IMAGE("https://mitra.stanford.edu/kundaje/oak/projects/neuro-variants/variant_position/credible/roussos_2024/variant_figures/roussos_2024.childhood.GABA/rs12657990_profile_position.png",4,220,900)</f>
        <v/>
      </c>
    </row>
    <row r="3411">
      <c r="A3411" t="inlineStr">
        <is>
          <t>chr5</t>
        </is>
      </c>
      <c r="B3411" t="n">
        <v>152699630</v>
      </c>
      <c r="C3411" t="inlineStr">
        <is>
          <t>G</t>
        </is>
      </c>
      <c r="D3411" t="inlineStr">
        <is>
          <t>C</t>
        </is>
      </c>
      <c r="E3411" t="inlineStr">
        <is>
          <t>rs77257050</t>
        </is>
      </c>
      <c r="F3411" t="n">
        <v>0.130124824</v>
      </c>
      <c r="G3411" t="n">
        <v>0.0158400072026247</v>
      </c>
      <c r="H3411" t="n">
        <v>0.0196961738889524</v>
      </c>
      <c r="I3411" t="n">
        <v>0.08215828307102251</v>
      </c>
      <c r="J3411" t="n">
        <v>0.0350285857887792</v>
      </c>
      <c r="K3411" t="n">
        <v>0.5611158767222872</v>
      </c>
      <c r="L3411" t="b">
        <v>1</v>
      </c>
      <c r="M3411" t="b">
        <v>0</v>
      </c>
      <c r="N3411" t="inlineStr">
        <is>
          <t>alt</t>
        </is>
      </c>
      <c r="O3411" t="n">
        <v>-45</v>
      </c>
      <c r="P3411" t="n">
        <v>0.006165</v>
      </c>
      <c r="Q3411" t="n">
        <v>95</v>
      </c>
      <c r="R3411" t="n">
        <v>0.1008</v>
      </c>
      <c r="S3411">
        <f>IMAGE("https://mitra.stanford.edu/kundaje/oak/projects/neuro-variants/variant_position/credible/roussos_2024/variant_figures/roussos_2024.childhood.GABA/rs77257050_count_position.png",4,220,900)</f>
        <v/>
      </c>
      <c r="T3411">
        <f>IMAGE("https://mitra.stanford.edu/kundaje/oak/projects/neuro-variants/variant_position/credible/roussos_2024/variant_figures/roussos_2024.childhood.GABA/rs77257050_profile_position.png",4,220,900)</f>
        <v/>
      </c>
    </row>
    <row r="3412">
      <c r="A3412" t="inlineStr">
        <is>
          <t>chr5</t>
        </is>
      </c>
      <c r="B3412" t="n">
        <v>152706014</v>
      </c>
      <c r="C3412" t="inlineStr">
        <is>
          <t>A</t>
        </is>
      </c>
      <c r="D3412" t="inlineStr">
        <is>
          <t>C</t>
        </is>
      </c>
      <c r="E3412" t="inlineStr">
        <is>
          <t>rs4133347</t>
        </is>
      </c>
      <c r="F3412" t="n">
        <v>-0.0069414128768</v>
      </c>
      <c r="G3412" t="n">
        <v>0.7202001984386562</v>
      </c>
      <c r="H3412" t="n">
        <v>0.0195078795609077</v>
      </c>
      <c r="I3412" t="n">
        <v>0.08294561540365609</v>
      </c>
      <c r="J3412" t="n">
        <v>0.0027999413624845</v>
      </c>
      <c r="K3412" t="n">
        <v>0.8555108324650962</v>
      </c>
      <c r="L3412" t="b">
        <v>0</v>
      </c>
      <c r="M3412" t="b">
        <v>0</v>
      </c>
      <c r="N3412" t="inlineStr">
        <is>
          <t>ref</t>
        </is>
      </c>
      <c r="O3412" t="n">
        <v>15</v>
      </c>
      <c r="P3412" t="n">
        <v>0.002903</v>
      </c>
      <c r="Q3412" t="n">
        <v>-100</v>
      </c>
      <c r="R3412" t="n">
        <v>0.0737</v>
      </c>
      <c r="S3412">
        <f>IMAGE("https://mitra.stanford.edu/kundaje/oak/projects/neuro-variants/variant_position/credible/roussos_2024/variant_figures/roussos_2024.childhood.GABA/rs4133347_count_position.png",4,220,900)</f>
        <v/>
      </c>
      <c r="T3412">
        <f>IMAGE("https://mitra.stanford.edu/kundaje/oak/projects/neuro-variants/variant_position/credible/roussos_2024/variant_figures/roussos_2024.childhood.GABA/rs4133347_profile_position.png",4,220,900)</f>
        <v/>
      </c>
    </row>
    <row r="3413">
      <c r="A3413" t="inlineStr">
        <is>
          <t>chr5</t>
        </is>
      </c>
      <c r="B3413" t="n">
        <v>152718002</v>
      </c>
      <c r="C3413" t="inlineStr">
        <is>
          <t>T</t>
        </is>
      </c>
      <c r="D3413" t="inlineStr">
        <is>
          <t>C</t>
        </is>
      </c>
      <c r="E3413" t="inlineStr">
        <is>
          <t>rs55737372</t>
        </is>
      </c>
      <c r="F3413" t="n">
        <v>0.0280314194</v>
      </c>
      <c r="G3413" t="n">
        <v>0.309965130751254</v>
      </c>
      <c r="H3413" t="n">
        <v>0.0158154245138162</v>
      </c>
      <c r="I3413" t="n">
        <v>0.1899465425379616</v>
      </c>
      <c r="J3413" t="n">
        <v>0.0538522753450188</v>
      </c>
      <c r="K3413" t="n">
        <v>0.4818741290530491</v>
      </c>
      <c r="L3413" t="b">
        <v>0</v>
      </c>
      <c r="M3413" t="b">
        <v>0</v>
      </c>
      <c r="N3413" t="inlineStr">
        <is>
          <t>alt</t>
        </is>
      </c>
      <c r="O3413" t="n">
        <v>100</v>
      </c>
      <c r="P3413" t="n">
        <v>0.0157</v>
      </c>
      <c r="Q3413" t="n">
        <v>100</v>
      </c>
      <c r="R3413" t="n">
        <v>0.1255</v>
      </c>
      <c r="S3413">
        <f>IMAGE("https://mitra.stanford.edu/kundaje/oak/projects/neuro-variants/variant_position/credible/roussos_2024/variant_figures/roussos_2024.childhood.GABA/rs55737372_count_position.png",4,220,900)</f>
        <v/>
      </c>
      <c r="T3413">
        <f>IMAGE("https://mitra.stanford.edu/kundaje/oak/projects/neuro-variants/variant_position/credible/roussos_2024/variant_figures/roussos_2024.childhood.GABA/rs55737372_profile_position.png",4,220,900)</f>
        <v/>
      </c>
    </row>
    <row r="3414">
      <c r="A3414" t="inlineStr">
        <is>
          <t>chr5</t>
        </is>
      </c>
      <c r="B3414" t="n">
        <v>152719145</v>
      </c>
      <c r="C3414" t="inlineStr">
        <is>
          <t>C</t>
        </is>
      </c>
      <c r="D3414" t="inlineStr">
        <is>
          <t>G</t>
        </is>
      </c>
      <c r="E3414" t="inlineStr">
        <is>
          <t>rs11167589</t>
        </is>
      </c>
      <c r="F3414" t="n">
        <v>-0.0294893907999999</v>
      </c>
      <c r="G3414" t="n">
        <v>0.3090727825157807</v>
      </c>
      <c r="H3414" t="n">
        <v>0.0127300993031096</v>
      </c>
      <c r="I3414" t="n">
        <v>0.3733118801589294</v>
      </c>
      <c r="J3414" t="n">
        <v>0.0258769449854452</v>
      </c>
      <c r="K3414" t="n">
        <v>0.6067893352431418</v>
      </c>
      <c r="L3414" t="b">
        <v>0</v>
      </c>
      <c r="M3414" t="b">
        <v>0</v>
      </c>
      <c r="N3414" t="inlineStr">
        <is>
          <t>ref</t>
        </is>
      </c>
      <c r="O3414" t="n">
        <v>5</v>
      </c>
      <c r="P3414" t="n">
        <v>6.104e-05</v>
      </c>
      <c r="Q3414" t="n">
        <v>10</v>
      </c>
      <c r="R3414" t="n">
        <v>0.00586</v>
      </c>
      <c r="S3414">
        <f>IMAGE("https://mitra.stanford.edu/kundaje/oak/projects/neuro-variants/variant_position/credible/roussos_2024/variant_figures/roussos_2024.childhood.GABA/rs11167589_count_position.png",4,220,900)</f>
        <v/>
      </c>
      <c r="T3414">
        <f>IMAGE("https://mitra.stanford.edu/kundaje/oak/projects/neuro-variants/variant_position/credible/roussos_2024/variant_figures/roussos_2024.childhood.GABA/rs11167589_profile_position.png",4,220,900)</f>
        <v/>
      </c>
    </row>
    <row r="3415">
      <c r="A3415" t="inlineStr">
        <is>
          <t>chr5</t>
        </is>
      </c>
      <c r="B3415" t="n">
        <v>152721189</v>
      </c>
      <c r="C3415" t="inlineStr">
        <is>
          <t>A</t>
        </is>
      </c>
      <c r="D3415" t="inlineStr">
        <is>
          <t>G</t>
        </is>
      </c>
      <c r="E3415" t="inlineStr">
        <is>
          <t>rs72799143</t>
        </is>
      </c>
      <c r="F3415" t="n">
        <v>0.08774287140000001</v>
      </c>
      <c r="G3415" t="n">
        <v>0.0411819592066801</v>
      </c>
      <c r="H3415" t="n">
        <v>0.0170305506985183</v>
      </c>
      <c r="I3415" t="n">
        <v>0.1429080047191445</v>
      </c>
      <c r="J3415" t="n">
        <v>0.0199807333877824</v>
      </c>
      <c r="K3415" t="n">
        <v>0.6732255322082827</v>
      </c>
      <c r="L3415" t="b">
        <v>0</v>
      </c>
      <c r="M3415" t="b">
        <v>0</v>
      </c>
      <c r="N3415" t="inlineStr">
        <is>
          <t>alt</t>
        </is>
      </c>
      <c r="O3415" t="n">
        <v>-100</v>
      </c>
      <c r="P3415" t="n">
        <v>0.009429999999999999</v>
      </c>
      <c r="Q3415" t="n">
        <v>100</v>
      </c>
      <c r="R3415" t="n">
        <v>0.0563</v>
      </c>
      <c r="S3415">
        <f>IMAGE("https://mitra.stanford.edu/kundaje/oak/projects/neuro-variants/variant_position/credible/roussos_2024/variant_figures/roussos_2024.childhood.GABA/rs72799143_count_position.png",4,220,900)</f>
        <v/>
      </c>
      <c r="T3415">
        <f>IMAGE("https://mitra.stanford.edu/kundaje/oak/projects/neuro-variants/variant_position/credible/roussos_2024/variant_figures/roussos_2024.childhood.GABA/rs72799143_profile_position.png",4,220,900)</f>
        <v/>
      </c>
    </row>
    <row r="3416">
      <c r="A3416" t="inlineStr">
        <is>
          <t>chr5</t>
        </is>
      </c>
      <c r="B3416" t="n">
        <v>152731277</v>
      </c>
      <c r="C3416" t="inlineStr">
        <is>
          <t>C</t>
        </is>
      </c>
      <c r="D3416" t="inlineStr">
        <is>
          <t>A</t>
        </is>
      </c>
      <c r="E3416" t="inlineStr">
        <is>
          <t>rs72799151</t>
        </is>
      </c>
      <c r="F3416" t="n">
        <v>0.00280647506</v>
      </c>
      <c r="G3416" t="n">
        <v>0.575267059722126</v>
      </c>
      <c r="H3416" t="n">
        <v>0.009264400827861599</v>
      </c>
      <c r="I3416" t="n">
        <v>0.7182096698622163</v>
      </c>
      <c r="J3416" t="n">
        <v>0.0004188393960335</v>
      </c>
      <c r="K3416" t="n">
        <v>0.9448600685869268</v>
      </c>
      <c r="L3416" t="b">
        <v>0</v>
      </c>
      <c r="M3416" t="b">
        <v>0</v>
      </c>
      <c r="N3416" t="inlineStr">
        <is>
          <t>alt</t>
        </is>
      </c>
      <c r="O3416" t="n">
        <v>100</v>
      </c>
      <c r="P3416" t="n">
        <v>0.00011444</v>
      </c>
      <c r="Q3416" t="n">
        <v>-65</v>
      </c>
      <c r="R3416" t="n">
        <v>0.0475</v>
      </c>
      <c r="S3416">
        <f>IMAGE("https://mitra.stanford.edu/kundaje/oak/projects/neuro-variants/variant_position/credible/roussos_2024/variant_figures/roussos_2024.childhood.GABA/rs72799151_count_position.png",4,220,900)</f>
        <v/>
      </c>
      <c r="T3416">
        <f>IMAGE("https://mitra.stanford.edu/kundaje/oak/projects/neuro-variants/variant_position/credible/roussos_2024/variant_figures/roussos_2024.childhood.GABA/rs72799151_profile_position.png",4,220,900)</f>
        <v/>
      </c>
    </row>
    <row r="3417">
      <c r="A3417" t="inlineStr">
        <is>
          <t>chr5</t>
        </is>
      </c>
      <c r="B3417" t="n">
        <v>152749963</v>
      </c>
      <c r="C3417" t="inlineStr">
        <is>
          <t>C</t>
        </is>
      </c>
      <c r="D3417" t="inlineStr">
        <is>
          <t>T</t>
        </is>
      </c>
      <c r="E3417" t="inlineStr">
        <is>
          <t>rs72799160</t>
        </is>
      </c>
      <c r="F3417" t="n">
        <v>0.00899824034</v>
      </c>
      <c r="G3417" t="n">
        <v>0.6478219369046276</v>
      </c>
      <c r="H3417" t="n">
        <v>0.0201151904805238</v>
      </c>
      <c r="I3417" t="n">
        <v>0.0737843696746979</v>
      </c>
      <c r="J3417" t="n">
        <v>0.0002303616678184</v>
      </c>
      <c r="K3417" t="n">
        <v>0.9625281976934807</v>
      </c>
      <c r="L3417" t="b">
        <v>0</v>
      </c>
      <c r="M3417" t="b">
        <v>0</v>
      </c>
      <c r="N3417" t="inlineStr">
        <is>
          <t>alt</t>
        </is>
      </c>
      <c r="O3417" t="n">
        <v>80</v>
      </c>
      <c r="P3417" t="n">
        <v>0.012115</v>
      </c>
      <c r="Q3417" t="n">
        <v>100</v>
      </c>
      <c r="R3417" t="n">
        <v>0.010315</v>
      </c>
      <c r="S3417">
        <f>IMAGE("https://mitra.stanford.edu/kundaje/oak/projects/neuro-variants/variant_position/credible/roussos_2024/variant_figures/roussos_2024.childhood.GABA/rs72799160_count_position.png",4,220,900)</f>
        <v/>
      </c>
      <c r="T3417">
        <f>IMAGE("https://mitra.stanford.edu/kundaje/oak/projects/neuro-variants/variant_position/credible/roussos_2024/variant_figures/roussos_2024.childhood.GABA/rs72799160_profile_position.png",4,220,900)</f>
        <v/>
      </c>
    </row>
    <row r="3418">
      <c r="A3418" t="inlineStr">
        <is>
          <t>chr5</t>
        </is>
      </c>
      <c r="B3418" t="n">
        <v>152759038</v>
      </c>
      <c r="C3418" t="inlineStr">
        <is>
          <t>A</t>
        </is>
      </c>
      <c r="D3418" t="inlineStr">
        <is>
          <t>G</t>
        </is>
      </c>
      <c r="E3418" t="inlineStr">
        <is>
          <t>rs56208248</t>
        </is>
      </c>
      <c r="F3418" t="n">
        <v>-0.0037284489999999</v>
      </c>
      <c r="G3418" t="n">
        <v>0.8180374806570759</v>
      </c>
      <c r="H3418" t="n">
        <v>0.018775194174975</v>
      </c>
      <c r="I3418" t="n">
        <v>0.097088542272012</v>
      </c>
      <c r="J3418" t="n">
        <v>0.0007518167158802</v>
      </c>
      <c r="K3418" t="n">
        <v>0.9257223653248176</v>
      </c>
      <c r="L3418" t="b">
        <v>0</v>
      </c>
      <c r="M3418" t="b">
        <v>0</v>
      </c>
      <c r="N3418" t="inlineStr">
        <is>
          <t>ref</t>
        </is>
      </c>
      <c r="O3418" t="n">
        <v>10</v>
      </c>
      <c r="P3418" t="n">
        <v>0.001026</v>
      </c>
      <c r="Q3418" t="n">
        <v>-30</v>
      </c>
      <c r="R3418" t="n">
        <v>0.010925</v>
      </c>
      <c r="S3418">
        <f>IMAGE("https://mitra.stanford.edu/kundaje/oak/projects/neuro-variants/variant_position/credible/roussos_2024/variant_figures/roussos_2024.childhood.GABA/rs56208248_count_position.png",4,220,900)</f>
        <v/>
      </c>
      <c r="T3418">
        <f>IMAGE("https://mitra.stanford.edu/kundaje/oak/projects/neuro-variants/variant_position/credible/roussos_2024/variant_figures/roussos_2024.childhood.GABA/rs56208248_profile_position.png",4,220,900)</f>
        <v/>
      </c>
    </row>
    <row r="3419">
      <c r="A3419" t="inlineStr">
        <is>
          <t>chr5</t>
        </is>
      </c>
      <c r="B3419" t="n">
        <v>152770806</v>
      </c>
      <c r="C3419" t="inlineStr">
        <is>
          <t>G</t>
        </is>
      </c>
      <c r="D3419" t="inlineStr">
        <is>
          <t>A</t>
        </is>
      </c>
      <c r="E3419" t="inlineStr">
        <is>
          <t>rs56286804</t>
        </is>
      </c>
      <c r="F3419" t="n">
        <v>0.0169584096</v>
      </c>
      <c r="G3419" t="n">
        <v>0.4708806900049293</v>
      </c>
      <c r="H3419" t="n">
        <v>0.0069067879494394</v>
      </c>
      <c r="I3419" t="n">
        <v>0.9387568806429754</v>
      </c>
      <c r="J3419" t="n">
        <v>0.0558752696278611</v>
      </c>
      <c r="K3419" t="n">
        <v>0.4692750986771041</v>
      </c>
      <c r="L3419" t="b">
        <v>0</v>
      </c>
      <c r="M3419" t="b">
        <v>0</v>
      </c>
      <c r="N3419" t="inlineStr">
        <is>
          <t>alt</t>
        </is>
      </c>
      <c r="O3419" t="n">
        <v>-100</v>
      </c>
      <c r="P3419" t="n">
        <v>0.02332</v>
      </c>
      <c r="Q3419" t="n">
        <v>35</v>
      </c>
      <c r="R3419" t="n">
        <v>0.04272</v>
      </c>
      <c r="S3419">
        <f>IMAGE("https://mitra.stanford.edu/kundaje/oak/projects/neuro-variants/variant_position/credible/roussos_2024/variant_figures/roussos_2024.childhood.GABA/rs56286804_count_position.png",4,220,900)</f>
        <v/>
      </c>
      <c r="T3419">
        <f>IMAGE("https://mitra.stanford.edu/kundaje/oak/projects/neuro-variants/variant_position/credible/roussos_2024/variant_figures/roussos_2024.childhood.GABA/rs56286804_profile_position.png",4,220,900)</f>
        <v/>
      </c>
    </row>
    <row r="3420">
      <c r="A3420" t="inlineStr">
        <is>
          <t>chr5</t>
        </is>
      </c>
      <c r="B3420" t="n">
        <v>152777929</v>
      </c>
      <c r="C3420" t="inlineStr">
        <is>
          <t>A</t>
        </is>
      </c>
      <c r="D3420" t="inlineStr">
        <is>
          <t>G</t>
        </is>
      </c>
      <c r="E3420" t="inlineStr">
        <is>
          <t>rs72799178</t>
        </is>
      </c>
      <c r="F3420" t="n">
        <v>0.0809377422</v>
      </c>
      <c r="G3420" t="n">
        <v>0.0485008492480639</v>
      </c>
      <c r="H3420" t="n">
        <v>0.015948423883183</v>
      </c>
      <c r="I3420" t="n">
        <v>0.1831122334492588</v>
      </c>
      <c r="J3420" t="n">
        <v>0.0016366149400012</v>
      </c>
      <c r="K3420" t="n">
        <v>0.8966784504072161</v>
      </c>
      <c r="L3420" t="b">
        <v>0</v>
      </c>
      <c r="M3420" t="b">
        <v>0</v>
      </c>
      <c r="N3420" t="inlineStr">
        <is>
          <t>alt</t>
        </is>
      </c>
      <c r="O3420" t="n">
        <v>-40</v>
      </c>
      <c r="P3420" t="n">
        <v>0.0002422</v>
      </c>
      <c r="Q3420" t="n">
        <v>90</v>
      </c>
      <c r="R3420" t="n">
        <v>0.1212</v>
      </c>
      <c r="S3420">
        <f>IMAGE("https://mitra.stanford.edu/kundaje/oak/projects/neuro-variants/variant_position/credible/roussos_2024/variant_figures/roussos_2024.childhood.GABA/rs72799178_count_position.png",4,220,900)</f>
        <v/>
      </c>
      <c r="T3420">
        <f>IMAGE("https://mitra.stanford.edu/kundaje/oak/projects/neuro-variants/variant_position/credible/roussos_2024/variant_figures/roussos_2024.childhood.GABA/rs72799178_profile_position.png",4,220,900)</f>
        <v/>
      </c>
    </row>
    <row r="3421">
      <c r="A3421" t="inlineStr">
        <is>
          <t>chr5</t>
        </is>
      </c>
      <c r="B3421" t="n">
        <v>152797561</v>
      </c>
      <c r="C3421" t="inlineStr">
        <is>
          <t>A</t>
        </is>
      </c>
      <c r="D3421" t="inlineStr">
        <is>
          <t>G</t>
        </is>
      </c>
      <c r="E3421" t="inlineStr">
        <is>
          <t>rs111294930</t>
        </is>
      </c>
      <c r="F3421" t="n">
        <v>-0.003863192252</v>
      </c>
      <c r="G3421" t="n">
        <v>0.7886310880730488</v>
      </c>
      <c r="H3421" t="n">
        <v>0.020042544977005</v>
      </c>
      <c r="I3421" t="n">
        <v>0.073843849312014</v>
      </c>
      <c r="J3421" t="n">
        <v>0.0448597935121777</v>
      </c>
      <c r="K3421" t="n">
        <v>0.5259622228355444</v>
      </c>
      <c r="L3421" t="b">
        <v>0</v>
      </c>
      <c r="M3421" t="b">
        <v>0</v>
      </c>
      <c r="N3421" t="inlineStr">
        <is>
          <t>ref</t>
        </is>
      </c>
      <c r="O3421" t="n">
        <v>-45</v>
      </c>
      <c r="P3421" t="n">
        <v>0.001923</v>
      </c>
      <c r="Q3421" t="n">
        <v>100</v>
      </c>
      <c r="R3421" t="n">
        <v>0.078</v>
      </c>
      <c r="S3421">
        <f>IMAGE("https://mitra.stanford.edu/kundaje/oak/projects/neuro-variants/variant_position/credible/roussos_2024/variant_figures/roussos_2024.childhood.GABA/rs111294930_count_position.png",4,220,900)</f>
        <v/>
      </c>
      <c r="T3421">
        <f>IMAGE("https://mitra.stanford.edu/kundaje/oak/projects/neuro-variants/variant_position/credible/roussos_2024/variant_figures/roussos_2024.childhood.GABA/rs111294930_profile_position.png",4,220,900)</f>
        <v/>
      </c>
    </row>
    <row r="3422">
      <c r="A3422" t="inlineStr">
        <is>
          <t>chr5</t>
        </is>
      </c>
      <c r="B3422" t="n">
        <v>152808222</v>
      </c>
      <c r="C3422" t="inlineStr">
        <is>
          <t>C</t>
        </is>
      </c>
      <c r="D3422" t="inlineStr">
        <is>
          <t>T</t>
        </is>
      </c>
      <c r="E3422" t="inlineStr">
        <is>
          <t>rs55918828</t>
        </is>
      </c>
      <c r="F3422" t="n">
        <v>-0.0372365778</v>
      </c>
      <c r="G3422" t="n">
        <v>0.2386326141127752</v>
      </c>
      <c r="H3422" t="n">
        <v>0.0147684437614268</v>
      </c>
      <c r="I3422" t="n">
        <v>0.2406082113667673</v>
      </c>
      <c r="J3422" t="n">
        <v>0.0346526774308391</v>
      </c>
      <c r="K3422" t="n">
        <v>0.5673445198650316</v>
      </c>
      <c r="L3422" t="b">
        <v>0</v>
      </c>
      <c r="M3422" t="b">
        <v>0</v>
      </c>
      <c r="N3422" t="inlineStr">
        <is>
          <t>ref</t>
        </is>
      </c>
      <c r="O3422" t="n">
        <v>-55</v>
      </c>
      <c r="P3422" t="n">
        <v>0.004547</v>
      </c>
      <c r="Q3422" t="n">
        <v>5</v>
      </c>
      <c r="R3422" t="n">
        <v>0.003418</v>
      </c>
      <c r="S3422">
        <f>IMAGE("https://mitra.stanford.edu/kundaje/oak/projects/neuro-variants/variant_position/credible/roussos_2024/variant_figures/roussos_2024.childhood.GABA/rs55918828_count_position.png",4,220,900)</f>
        <v/>
      </c>
      <c r="T3422">
        <f>IMAGE("https://mitra.stanford.edu/kundaje/oak/projects/neuro-variants/variant_position/credible/roussos_2024/variant_figures/roussos_2024.childhood.GABA/rs55918828_profile_position.png",4,220,900)</f>
        <v/>
      </c>
    </row>
    <row r="3423">
      <c r="A3423" t="inlineStr">
        <is>
          <t>chr5</t>
        </is>
      </c>
      <c r="B3423" t="n">
        <v>152808566</v>
      </c>
      <c r="C3423" t="inlineStr">
        <is>
          <t>C</t>
        </is>
      </c>
      <c r="D3423" t="inlineStr">
        <is>
          <t>T</t>
        </is>
      </c>
      <c r="E3423" t="inlineStr">
        <is>
          <t>rs55830548</t>
        </is>
      </c>
      <c r="F3423" t="n">
        <v>-0.044580153</v>
      </c>
      <c r="G3423" t="n">
        <v>0.1762771738972463</v>
      </c>
      <c r="H3423" t="n">
        <v>0.0137071169365895</v>
      </c>
      <c r="I3423" t="n">
        <v>0.3031153415640144</v>
      </c>
      <c r="J3423" t="n">
        <v>0.0545852442880776</v>
      </c>
      <c r="K3423" t="n">
        <v>0.4756864530861038</v>
      </c>
      <c r="L3423" t="b">
        <v>0</v>
      </c>
      <c r="M3423" t="b">
        <v>0</v>
      </c>
      <c r="N3423" t="inlineStr">
        <is>
          <t>ref</t>
        </is>
      </c>
      <c r="O3423" t="n">
        <v>40</v>
      </c>
      <c r="P3423" t="n">
        <v>0.01107</v>
      </c>
      <c r="Q3423" t="n">
        <v>-85</v>
      </c>
      <c r="R3423" t="n">
        <v>0.04895</v>
      </c>
      <c r="S3423">
        <f>IMAGE("https://mitra.stanford.edu/kundaje/oak/projects/neuro-variants/variant_position/credible/roussos_2024/variant_figures/roussos_2024.childhood.GABA/rs55830548_count_position.png",4,220,900)</f>
        <v/>
      </c>
      <c r="T3423">
        <f>IMAGE("https://mitra.stanford.edu/kundaje/oak/projects/neuro-variants/variant_position/credible/roussos_2024/variant_figures/roussos_2024.childhood.GABA/rs55830548_profile_position.png",4,220,900)</f>
        <v/>
      </c>
    </row>
    <row r="3424">
      <c r="A3424" t="inlineStr">
        <is>
          <t>chr5</t>
        </is>
      </c>
      <c r="B3424" t="n">
        <v>152810407</v>
      </c>
      <c r="C3424" t="inlineStr">
        <is>
          <t>T</t>
        </is>
      </c>
      <c r="D3424" t="inlineStr">
        <is>
          <t>G</t>
        </is>
      </c>
      <c r="E3424" t="inlineStr">
        <is>
          <t>rs55829928</t>
        </is>
      </c>
      <c r="F3424" t="n">
        <v>0.01363607232</v>
      </c>
      <c r="G3424" t="n">
        <v>0.5415395112655931</v>
      </c>
      <c r="H3424" t="n">
        <v>0.0235091548949317</v>
      </c>
      <c r="I3424" t="n">
        <v>0.0368898466675068</v>
      </c>
      <c r="J3424" t="n">
        <v>0.1821344055621871</v>
      </c>
      <c r="K3424" t="n">
        <v>0.2341990459145896</v>
      </c>
      <c r="L3424" t="b">
        <v>0</v>
      </c>
      <c r="M3424" t="b">
        <v>0</v>
      </c>
      <c r="N3424" t="inlineStr">
        <is>
          <t>alt</t>
        </is>
      </c>
      <c r="O3424" t="n">
        <v>60</v>
      </c>
      <c r="P3424" t="n">
        <v>0.00235</v>
      </c>
      <c r="Q3424" t="n">
        <v>100</v>
      </c>
      <c r="R3424" t="n">
        <v>0.1868</v>
      </c>
      <c r="S3424">
        <f>IMAGE("https://mitra.stanford.edu/kundaje/oak/projects/neuro-variants/variant_position/credible/roussos_2024/variant_figures/roussos_2024.childhood.GABA/rs55829928_count_position.png",4,220,900)</f>
        <v/>
      </c>
      <c r="T3424">
        <f>IMAGE("https://mitra.stanford.edu/kundaje/oak/projects/neuro-variants/variant_position/credible/roussos_2024/variant_figures/roussos_2024.childhood.GABA/rs55829928_profile_position.png",4,220,900)</f>
        <v/>
      </c>
    </row>
    <row r="3425">
      <c r="A3425" t="inlineStr">
        <is>
          <t>chr5</t>
        </is>
      </c>
      <c r="B3425" t="n">
        <v>152811145</v>
      </c>
      <c r="C3425" t="inlineStr">
        <is>
          <t>A</t>
        </is>
      </c>
      <c r="D3425" t="inlineStr">
        <is>
          <t>G</t>
        </is>
      </c>
      <c r="E3425" t="inlineStr">
        <is>
          <t>rs72799198</t>
        </is>
      </c>
      <c r="F3425" t="n">
        <v>0.0208404383199999</v>
      </c>
      <c r="G3425" t="n">
        <v>0.4008960095414544</v>
      </c>
      <c r="H3425" t="n">
        <v>0.0097341994063422</v>
      </c>
      <c r="I3425" t="n">
        <v>0.6670764758071496</v>
      </c>
      <c r="J3425" t="n">
        <v>0.0318265586061024</v>
      </c>
      <c r="K3425" t="n">
        <v>0.573464610073281</v>
      </c>
      <c r="L3425" t="b">
        <v>0</v>
      </c>
      <c r="M3425" t="b">
        <v>0</v>
      </c>
      <c r="N3425" t="inlineStr">
        <is>
          <t>alt</t>
        </is>
      </c>
      <c r="O3425" t="n">
        <v>65</v>
      </c>
      <c r="P3425" t="n">
        <v>0.0041</v>
      </c>
      <c r="Q3425" t="n">
        <v>-100</v>
      </c>
      <c r="R3425" t="n">
        <v>0.03586</v>
      </c>
      <c r="S3425">
        <f>IMAGE("https://mitra.stanford.edu/kundaje/oak/projects/neuro-variants/variant_position/credible/roussos_2024/variant_figures/roussos_2024.childhood.GABA/rs72799198_count_position.png",4,220,900)</f>
        <v/>
      </c>
      <c r="T3425">
        <f>IMAGE("https://mitra.stanford.edu/kundaje/oak/projects/neuro-variants/variant_position/credible/roussos_2024/variant_figures/roussos_2024.childhood.GABA/rs72799198_profile_position.png",4,220,900)</f>
        <v/>
      </c>
    </row>
    <row r="3426">
      <c r="A3426" t="inlineStr">
        <is>
          <t>chr5</t>
        </is>
      </c>
      <c r="B3426" t="n">
        <v>152812435</v>
      </c>
      <c r="C3426" t="inlineStr">
        <is>
          <t>C</t>
        </is>
      </c>
      <c r="D3426" t="inlineStr">
        <is>
          <t>T</t>
        </is>
      </c>
      <c r="E3426" t="inlineStr">
        <is>
          <t>rs72799201</t>
        </is>
      </c>
      <c r="F3426" t="n">
        <v>-0.0224505617999999</v>
      </c>
      <c r="G3426" t="n">
        <v>0.4012985878088873</v>
      </c>
      <c r="H3426" t="n">
        <v>0.0129181890669744</v>
      </c>
      <c r="I3426" t="n">
        <v>0.3647085717825021</v>
      </c>
      <c r="J3426" t="n">
        <v>0.0167661410232245</v>
      </c>
      <c r="K3426" t="n">
        <v>0.6795705041038114</v>
      </c>
      <c r="L3426" t="b">
        <v>0</v>
      </c>
      <c r="M3426" t="b">
        <v>0</v>
      </c>
      <c r="N3426" t="inlineStr">
        <is>
          <t>ref</t>
        </is>
      </c>
      <c r="O3426" t="n">
        <v>30</v>
      </c>
      <c r="P3426" t="n">
        <v>0.004883</v>
      </c>
      <c r="Q3426" t="n">
        <v>-90</v>
      </c>
      <c r="R3426" t="n">
        <v>0.1152</v>
      </c>
      <c r="S3426">
        <f>IMAGE("https://mitra.stanford.edu/kundaje/oak/projects/neuro-variants/variant_position/credible/roussos_2024/variant_figures/roussos_2024.childhood.GABA/rs72799201_count_position.png",4,220,900)</f>
        <v/>
      </c>
      <c r="T3426">
        <f>IMAGE("https://mitra.stanford.edu/kundaje/oak/projects/neuro-variants/variant_position/credible/roussos_2024/variant_figures/roussos_2024.childhood.GABA/rs72799201_profile_position.png",4,220,900)</f>
        <v/>
      </c>
    </row>
    <row r="3427">
      <c r="A3427" t="inlineStr">
        <is>
          <t>chr5</t>
        </is>
      </c>
      <c r="B3427" t="n">
        <v>152840904</v>
      </c>
      <c r="C3427" t="inlineStr">
        <is>
          <t>T</t>
        </is>
      </c>
      <c r="D3427" t="inlineStr">
        <is>
          <t>G</t>
        </is>
      </c>
      <c r="E3427" t="inlineStr">
        <is>
          <t>rs115283145</t>
        </is>
      </c>
      <c r="F3427" t="n">
        <v>0.0148192492999999</v>
      </c>
      <c r="G3427" t="n">
        <v>0.4903921592588596</v>
      </c>
      <c r="H3427" t="n">
        <v>0.0168926728025776</v>
      </c>
      <c r="I3427" t="n">
        <v>0.1453521690840665</v>
      </c>
      <c r="J3427" t="n">
        <v>0.1518680237063097</v>
      </c>
      <c r="K3427" t="n">
        <v>0.2644290361460222</v>
      </c>
      <c r="L3427" t="b">
        <v>0</v>
      </c>
      <c r="M3427" t="b">
        <v>0</v>
      </c>
      <c r="N3427" t="inlineStr">
        <is>
          <t>alt</t>
        </is>
      </c>
      <c r="O3427" t="n">
        <v>70</v>
      </c>
      <c r="P3427" t="n">
        <v>0.00136</v>
      </c>
      <c r="Q3427" t="n">
        <v>-40</v>
      </c>
      <c r="R3427" t="n">
        <v>0.036</v>
      </c>
      <c r="S3427">
        <f>IMAGE("https://mitra.stanford.edu/kundaje/oak/projects/neuro-variants/variant_position/credible/roussos_2024/variant_figures/roussos_2024.childhood.GABA/rs115283145_count_position.png",4,220,900)</f>
        <v/>
      </c>
      <c r="T3427">
        <f>IMAGE("https://mitra.stanford.edu/kundaje/oak/projects/neuro-variants/variant_position/credible/roussos_2024/variant_figures/roussos_2024.childhood.GABA/rs115283145_profile_position.png",4,220,900)</f>
        <v/>
      </c>
    </row>
    <row r="3428">
      <c r="A3428" t="inlineStr">
        <is>
          <t>chr5</t>
        </is>
      </c>
      <c r="B3428" t="n">
        <v>152867047</v>
      </c>
      <c r="C3428" t="inlineStr">
        <is>
          <t>A</t>
        </is>
      </c>
      <c r="D3428" t="inlineStr">
        <is>
          <t>C</t>
        </is>
      </c>
      <c r="E3428" t="inlineStr">
        <is>
          <t>rs72802883</t>
        </is>
      </c>
      <c r="F3428" t="n">
        <v>0.174276312</v>
      </c>
      <c r="G3428" t="n">
        <v>0.0067858179138692</v>
      </c>
      <c r="H3428" t="n">
        <v>0.0303770435947535</v>
      </c>
      <c r="I3428" t="n">
        <v>0.0147839606038248</v>
      </c>
      <c r="J3428" t="n">
        <v>0.0054093107997737</v>
      </c>
      <c r="K3428" t="n">
        <v>0.801920322688837</v>
      </c>
      <c r="L3428" t="b">
        <v>1</v>
      </c>
      <c r="M3428" t="b">
        <v>1</v>
      </c>
      <c r="N3428" t="inlineStr">
        <is>
          <t>alt</t>
        </is>
      </c>
      <c r="O3428" t="n">
        <v>100</v>
      </c>
      <c r="P3428" t="n">
        <v>0.01189</v>
      </c>
      <c r="Q3428" t="n">
        <v>-20</v>
      </c>
      <c r="R3428" t="n">
        <v>0.01709</v>
      </c>
      <c r="S3428">
        <f>IMAGE("https://mitra.stanford.edu/kundaje/oak/projects/neuro-variants/variant_position/credible/roussos_2024/variant_figures/roussos_2024.childhood.GABA/rs72802883_count_position.png",4,220,900)</f>
        <v/>
      </c>
      <c r="T3428">
        <f>IMAGE("https://mitra.stanford.edu/kundaje/oak/projects/neuro-variants/variant_position/credible/roussos_2024/variant_figures/roussos_2024.childhood.GABA/rs72802883_profile_position.png",4,220,900)</f>
        <v/>
      </c>
    </row>
    <row r="3429">
      <c r="A3429" t="inlineStr">
        <is>
          <t>chr5</t>
        </is>
      </c>
      <c r="B3429" t="n">
        <v>152868292</v>
      </c>
      <c r="C3429" t="inlineStr">
        <is>
          <t>C</t>
        </is>
      </c>
      <c r="D3429" t="inlineStr">
        <is>
          <t>A</t>
        </is>
      </c>
      <c r="E3429" t="inlineStr">
        <is>
          <t>rs12153071</t>
        </is>
      </c>
      <c r="F3429" t="n">
        <v>-0.079645409</v>
      </c>
      <c r="G3429" t="n">
        <v>0.0560474769029418</v>
      </c>
      <c r="H3429" t="n">
        <v>0.0137480440251632</v>
      </c>
      <c r="I3429" t="n">
        <v>0.2999631548000305</v>
      </c>
      <c r="J3429" t="n">
        <v>0.0724812045821029</v>
      </c>
      <c r="K3429" t="n">
        <v>0.4147827591841077</v>
      </c>
      <c r="L3429" t="b">
        <v>0</v>
      </c>
      <c r="M3429" t="b">
        <v>0</v>
      </c>
      <c r="N3429" t="inlineStr">
        <is>
          <t>ref</t>
        </is>
      </c>
      <c r="O3429" t="n">
        <v>-100</v>
      </c>
      <c r="P3429" t="n">
        <v>0.008895999999999999</v>
      </c>
      <c r="Q3429" t="n">
        <v>-40</v>
      </c>
      <c r="R3429" t="n">
        <v>0.057</v>
      </c>
      <c r="S3429">
        <f>IMAGE("https://mitra.stanford.edu/kundaje/oak/projects/neuro-variants/variant_position/credible/roussos_2024/variant_figures/roussos_2024.childhood.GABA/rs12153071_count_position.png",4,220,900)</f>
        <v/>
      </c>
      <c r="T3429">
        <f>IMAGE("https://mitra.stanford.edu/kundaje/oak/projects/neuro-variants/variant_position/credible/roussos_2024/variant_figures/roussos_2024.childhood.GABA/rs12153071_profile_position.png",4,220,900)</f>
        <v/>
      </c>
    </row>
    <row r="3430">
      <c r="A3430" t="inlineStr">
        <is>
          <t>chr5</t>
        </is>
      </c>
      <c r="B3430" t="n">
        <v>152871641</v>
      </c>
      <c r="C3430" t="inlineStr">
        <is>
          <t>T</t>
        </is>
      </c>
      <c r="D3430" t="inlineStr">
        <is>
          <t>C</t>
        </is>
      </c>
      <c r="E3430" t="inlineStr">
        <is>
          <t>rs4958587</t>
        </is>
      </c>
      <c r="F3430" t="n">
        <v>0.0258663965999999</v>
      </c>
      <c r="G3430" t="n">
        <v>0.3379627100377493</v>
      </c>
      <c r="H3430" t="n">
        <v>0.0149285221527488</v>
      </c>
      <c r="I3430" t="n">
        <v>0.2297626785554586</v>
      </c>
      <c r="J3430" t="n">
        <v>7.434399279593546e-05</v>
      </c>
      <c r="K3430" t="n">
        <v>0.9840325608827656</v>
      </c>
      <c r="L3430" t="b">
        <v>0</v>
      </c>
      <c r="M3430" t="b">
        <v>0</v>
      </c>
      <c r="N3430" t="inlineStr">
        <is>
          <t>alt</t>
        </is>
      </c>
      <c r="O3430" t="n">
        <v>-75</v>
      </c>
      <c r="P3430" t="n">
        <v>0.0138</v>
      </c>
      <c r="Q3430" t="n">
        <v>-40</v>
      </c>
      <c r="R3430" t="n">
        <v>0.004795</v>
      </c>
      <c r="S3430">
        <f>IMAGE("https://mitra.stanford.edu/kundaje/oak/projects/neuro-variants/variant_position/credible/roussos_2024/variant_figures/roussos_2024.childhood.GABA/rs4958587_count_position.png",4,220,900)</f>
        <v/>
      </c>
      <c r="T3430">
        <f>IMAGE("https://mitra.stanford.edu/kundaje/oak/projects/neuro-variants/variant_position/credible/roussos_2024/variant_figures/roussos_2024.childhood.GABA/rs4958587_profile_position.png",4,220,900)</f>
        <v/>
      </c>
    </row>
    <row r="3431">
      <c r="A3431" t="inlineStr">
        <is>
          <t>chr5</t>
        </is>
      </c>
      <c r="B3431" t="n">
        <v>152875585</v>
      </c>
      <c r="C3431" t="inlineStr">
        <is>
          <t>G</t>
        </is>
      </c>
      <c r="D3431" t="inlineStr">
        <is>
          <t>T</t>
        </is>
      </c>
      <c r="E3431" t="inlineStr">
        <is>
          <t>rs72802890</t>
        </is>
      </c>
      <c r="F3431" t="n">
        <v>-0.0144931042799999</v>
      </c>
      <c r="G3431" t="n">
        <v>0.5356611414567799</v>
      </c>
      <c r="H3431" t="n">
        <v>0.022482606509592</v>
      </c>
      <c r="I3431" t="n">
        <v>0.0461873796023995</v>
      </c>
      <c r="J3431" t="n">
        <v>0.0218016376620384</v>
      </c>
      <c r="K3431" t="n">
        <v>0.6298152066441582</v>
      </c>
      <c r="L3431" t="b">
        <v>0</v>
      </c>
      <c r="M3431" t="b">
        <v>0</v>
      </c>
      <c r="N3431" t="inlineStr">
        <is>
          <t>ref</t>
        </is>
      </c>
      <c r="O3431" t="n">
        <v>85</v>
      </c>
      <c r="P3431" t="n">
        <v>0.009299999999999999</v>
      </c>
      <c r="Q3431" t="n">
        <v>50</v>
      </c>
      <c r="R3431" t="n">
        <v>0.00232</v>
      </c>
      <c r="S3431">
        <f>IMAGE("https://mitra.stanford.edu/kundaje/oak/projects/neuro-variants/variant_position/credible/roussos_2024/variant_figures/roussos_2024.childhood.GABA/rs72802890_count_position.png",4,220,900)</f>
        <v/>
      </c>
      <c r="T3431">
        <f>IMAGE("https://mitra.stanford.edu/kundaje/oak/projects/neuro-variants/variant_position/credible/roussos_2024/variant_figures/roussos_2024.childhood.GABA/rs72802890_profile_position.png",4,220,900)</f>
        <v/>
      </c>
    </row>
    <row r="3432">
      <c r="A3432" t="inlineStr">
        <is>
          <t>chr5</t>
        </is>
      </c>
      <c r="B3432" t="n">
        <v>152876625</v>
      </c>
      <c r="C3432" t="inlineStr">
        <is>
          <t>A</t>
        </is>
      </c>
      <c r="D3432" t="inlineStr">
        <is>
          <t>G</t>
        </is>
      </c>
      <c r="E3432" t="inlineStr">
        <is>
          <t>rs72802893</t>
        </is>
      </c>
      <c r="F3432" t="n">
        <v>0.0470271648</v>
      </c>
      <c r="G3432" t="n">
        <v>0.1572548376954145</v>
      </c>
      <c r="H3432" t="n">
        <v>0.0086621933814053</v>
      </c>
      <c r="I3432" t="n">
        <v>0.7743884468475248</v>
      </c>
      <c r="J3432" t="n">
        <v>0.0157640677682142</v>
      </c>
      <c r="K3432" t="n">
        <v>0.6874158656601695</v>
      </c>
      <c r="L3432" t="b">
        <v>0</v>
      </c>
      <c r="M3432" t="b">
        <v>0</v>
      </c>
      <c r="N3432" t="inlineStr">
        <is>
          <t>alt</t>
        </is>
      </c>
      <c r="O3432" t="n">
        <v>0</v>
      </c>
      <c r="P3432" t="n">
        <v>0</v>
      </c>
      <c r="Q3432" t="n">
        <v>95</v>
      </c>
      <c r="R3432" t="n">
        <v>0.153</v>
      </c>
      <c r="S3432">
        <f>IMAGE("https://mitra.stanford.edu/kundaje/oak/projects/neuro-variants/variant_position/credible/roussos_2024/variant_figures/roussos_2024.childhood.GABA/rs72802893_count_position.png",4,220,900)</f>
        <v/>
      </c>
      <c r="T3432">
        <f>IMAGE("https://mitra.stanford.edu/kundaje/oak/projects/neuro-variants/variant_position/credible/roussos_2024/variant_figures/roussos_2024.childhood.GABA/rs72802893_profile_position.png",4,220,900)</f>
        <v/>
      </c>
    </row>
    <row r="3433">
      <c r="A3433" t="inlineStr">
        <is>
          <t>chr5</t>
        </is>
      </c>
      <c r="B3433" t="n">
        <v>152900050</v>
      </c>
      <c r="C3433" t="inlineStr">
        <is>
          <t>C</t>
        </is>
      </c>
      <c r="D3433" t="inlineStr">
        <is>
          <t>G</t>
        </is>
      </c>
      <c r="E3433" t="inlineStr">
        <is>
          <t>rs9324737</t>
        </is>
      </c>
      <c r="F3433" t="n">
        <v>0.0025619540939999</v>
      </c>
      <c r="G3433" t="n">
        <v>0.7709431779219091</v>
      </c>
      <c r="H3433" t="n">
        <v>0.007889527895343</v>
      </c>
      <c r="I3433" t="n">
        <v>0.8601313367222304</v>
      </c>
      <c r="J3433" t="n">
        <v>0.008695105861657299</v>
      </c>
      <c r="K3433" t="n">
        <v>0.7568869515829457</v>
      </c>
      <c r="L3433" t="b">
        <v>0</v>
      </c>
      <c r="M3433" t="b">
        <v>0</v>
      </c>
      <c r="N3433" t="inlineStr">
        <is>
          <t>alt</t>
        </is>
      </c>
      <c r="O3433" t="n">
        <v>-15</v>
      </c>
      <c r="P3433" t="n">
        <v>0.002422</v>
      </c>
      <c r="Q3433" t="n">
        <v>40</v>
      </c>
      <c r="R3433" t="n">
        <v>0.0429</v>
      </c>
      <c r="S3433">
        <f>IMAGE("https://mitra.stanford.edu/kundaje/oak/projects/neuro-variants/variant_position/credible/roussos_2024/variant_figures/roussos_2024.childhood.GABA/rs9324737_count_position.png",4,220,900)</f>
        <v/>
      </c>
      <c r="T3433">
        <f>IMAGE("https://mitra.stanford.edu/kundaje/oak/projects/neuro-variants/variant_position/credible/roussos_2024/variant_figures/roussos_2024.childhood.GABA/rs9324737_profile_position.png",4,220,900)</f>
        <v/>
      </c>
    </row>
    <row r="3434">
      <c r="A3434" t="inlineStr">
        <is>
          <t>chr5</t>
        </is>
      </c>
      <c r="B3434" t="n">
        <v>152902870</v>
      </c>
      <c r="C3434" t="inlineStr">
        <is>
          <t>A</t>
        </is>
      </c>
      <c r="D3434" t="inlineStr">
        <is>
          <t>C</t>
        </is>
      </c>
      <c r="E3434" t="inlineStr">
        <is>
          <t>rs11167604</t>
        </is>
      </c>
      <c r="F3434" t="n">
        <v>0.08463656039999989</v>
      </c>
      <c r="G3434" t="n">
        <v>0.0532766686922049</v>
      </c>
      <c r="H3434" t="n">
        <v>0.0240234289281784</v>
      </c>
      <c r="I3434" t="n">
        <v>0.0336552978838153</v>
      </c>
      <c r="J3434" t="n">
        <v>0.0007884651630331</v>
      </c>
      <c r="K3434" t="n">
        <v>0.9353002987082344</v>
      </c>
      <c r="L3434" t="b">
        <v>0</v>
      </c>
      <c r="M3434" t="b">
        <v>0</v>
      </c>
      <c r="N3434" t="inlineStr">
        <is>
          <t>alt</t>
        </is>
      </c>
      <c r="O3434" t="n">
        <v>100</v>
      </c>
      <c r="P3434" t="n">
        <v>0.00933</v>
      </c>
      <c r="Q3434" t="n">
        <v>-80</v>
      </c>
      <c r="R3434" t="n">
        <v>0.0418</v>
      </c>
      <c r="S3434">
        <f>IMAGE("https://mitra.stanford.edu/kundaje/oak/projects/neuro-variants/variant_position/credible/roussos_2024/variant_figures/roussos_2024.childhood.GABA/rs11167604_count_position.png",4,220,900)</f>
        <v/>
      </c>
      <c r="T3434">
        <f>IMAGE("https://mitra.stanford.edu/kundaje/oak/projects/neuro-variants/variant_position/credible/roussos_2024/variant_figures/roussos_2024.childhood.GABA/rs11167604_profile_position.png",4,220,900)</f>
        <v/>
      </c>
    </row>
    <row r="3435">
      <c r="A3435" t="inlineStr">
        <is>
          <t>chr5</t>
        </is>
      </c>
      <c r="B3435" t="n">
        <v>152908997</v>
      </c>
      <c r="C3435" t="inlineStr">
        <is>
          <t>G</t>
        </is>
      </c>
      <c r="D3435" t="inlineStr">
        <is>
          <t>T</t>
        </is>
      </c>
      <c r="E3435" t="inlineStr">
        <is>
          <t>rs4463219</t>
        </is>
      </c>
      <c r="F3435" t="n">
        <v>-0.0605004842</v>
      </c>
      <c r="G3435" t="n">
        <v>0.0976233741483719</v>
      </c>
      <c r="H3435" t="n">
        <v>0.0258509989893328</v>
      </c>
      <c r="I3435" t="n">
        <v>0.0246511881776611</v>
      </c>
      <c r="J3435" t="n">
        <v>0.1119264518020564</v>
      </c>
      <c r="K3435" t="n">
        <v>0.336042522176579</v>
      </c>
      <c r="L3435" t="b">
        <v>0</v>
      </c>
      <c r="M3435" t="b">
        <v>0</v>
      </c>
      <c r="N3435" t="inlineStr">
        <is>
          <t>ref</t>
        </is>
      </c>
      <c r="O3435" t="n">
        <v>-5</v>
      </c>
      <c r="P3435" t="n">
        <v>0.0002136</v>
      </c>
      <c r="Q3435" t="n">
        <v>-25</v>
      </c>
      <c r="R3435" t="n">
        <v>0.02676</v>
      </c>
      <c r="S3435">
        <f>IMAGE("https://mitra.stanford.edu/kundaje/oak/projects/neuro-variants/variant_position/credible/roussos_2024/variant_figures/roussos_2024.childhood.GABA/rs4463219_count_position.png",4,220,900)</f>
        <v/>
      </c>
      <c r="T3435">
        <f>IMAGE("https://mitra.stanford.edu/kundaje/oak/projects/neuro-variants/variant_position/credible/roussos_2024/variant_figures/roussos_2024.childhood.GABA/rs4463219_profile_position.png",4,220,900)</f>
        <v/>
      </c>
    </row>
    <row r="3436">
      <c r="A3436" t="inlineStr">
        <is>
          <t>chr5</t>
        </is>
      </c>
      <c r="B3436" t="n">
        <v>152930047</v>
      </c>
      <c r="C3436" t="inlineStr">
        <is>
          <t>G</t>
        </is>
      </c>
      <c r="D3436" t="inlineStr">
        <is>
          <t>A</t>
        </is>
      </c>
      <c r="E3436" t="inlineStr">
        <is>
          <t>rs72804778</t>
        </is>
      </c>
      <c r="F3436" t="n">
        <v>-0.158858862</v>
      </c>
      <c r="G3436" t="n">
        <v>0.0092376291584432</v>
      </c>
      <c r="H3436" t="n">
        <v>0.0231115213875411</v>
      </c>
      <c r="I3436" t="n">
        <v>0.0431440975810945</v>
      </c>
      <c r="J3436" t="n">
        <v>0.1285114447864966</v>
      </c>
      <c r="K3436" t="n">
        <v>0.3020600194502969</v>
      </c>
      <c r="L3436" t="b">
        <v>1</v>
      </c>
      <c r="M3436" t="b">
        <v>1</v>
      </c>
      <c r="N3436" t="inlineStr">
        <is>
          <t>ref</t>
        </is>
      </c>
      <c r="O3436" t="n">
        <v>-85</v>
      </c>
      <c r="P3436" t="n">
        <v>0.00827</v>
      </c>
      <c r="Q3436" t="n">
        <v>-65</v>
      </c>
      <c r="R3436" t="n">
        <v>0.08935999999999999</v>
      </c>
      <c r="S3436">
        <f>IMAGE("https://mitra.stanford.edu/kundaje/oak/projects/neuro-variants/variant_position/credible/roussos_2024/variant_figures/roussos_2024.childhood.GABA/rs72804778_count_position.png",4,220,900)</f>
        <v/>
      </c>
      <c r="T3436">
        <f>IMAGE("https://mitra.stanford.edu/kundaje/oak/projects/neuro-variants/variant_position/credible/roussos_2024/variant_figures/roussos_2024.childhood.GABA/rs72804778_profile_position.png",4,220,900)</f>
        <v/>
      </c>
    </row>
    <row r="3437">
      <c r="A3437" t="inlineStr">
        <is>
          <t>chr5</t>
        </is>
      </c>
      <c r="B3437" t="n">
        <v>152934890</v>
      </c>
      <c r="C3437" t="inlineStr">
        <is>
          <t>T</t>
        </is>
      </c>
      <c r="D3437" t="inlineStr">
        <is>
          <t>C</t>
        </is>
      </c>
      <c r="E3437" t="inlineStr">
        <is>
          <t>rs72804781</t>
        </is>
      </c>
      <c r="F3437" t="n">
        <v>0.00292325314</v>
      </c>
      <c r="G3437" t="n">
        <v>0.6246505864944857</v>
      </c>
      <c r="H3437" t="n">
        <v>0.0213584107885103</v>
      </c>
      <c r="I3437" t="n">
        <v>0.0570831612526011</v>
      </c>
      <c r="J3437" t="n">
        <v>0.0413928504115096</v>
      </c>
      <c r="K3437" t="n">
        <v>0.5201931464272471</v>
      </c>
      <c r="L3437" t="b">
        <v>0</v>
      </c>
      <c r="M3437" t="b">
        <v>0</v>
      </c>
      <c r="N3437" t="inlineStr">
        <is>
          <t>alt</t>
        </is>
      </c>
      <c r="O3437" t="n">
        <v>-20</v>
      </c>
      <c r="P3437" t="n">
        <v>0.002518</v>
      </c>
      <c r="Q3437" t="n">
        <v>-20</v>
      </c>
      <c r="R3437" t="n">
        <v>0.04785</v>
      </c>
      <c r="S3437">
        <f>IMAGE("https://mitra.stanford.edu/kundaje/oak/projects/neuro-variants/variant_position/credible/roussos_2024/variant_figures/roussos_2024.childhood.GABA/rs72804781_count_position.png",4,220,900)</f>
        <v/>
      </c>
      <c r="T3437">
        <f>IMAGE("https://mitra.stanford.edu/kundaje/oak/projects/neuro-variants/variant_position/credible/roussos_2024/variant_figures/roussos_2024.childhood.GABA/rs72804781_profile_position.png",4,220,900)</f>
        <v/>
      </c>
    </row>
    <row r="3438">
      <c r="A3438" t="inlineStr">
        <is>
          <t>chr5</t>
        </is>
      </c>
      <c r="B3438" t="n">
        <v>152937432</v>
      </c>
      <c r="C3438" t="inlineStr">
        <is>
          <t>T</t>
        </is>
      </c>
      <c r="D3438" t="inlineStr">
        <is>
          <t>A</t>
        </is>
      </c>
      <c r="E3438" t="inlineStr">
        <is>
          <t>rs116618941</t>
        </is>
      </c>
      <c r="F3438" t="n">
        <v>0.00424235206</v>
      </c>
      <c r="G3438" t="n">
        <v>0.7832550854578209</v>
      </c>
      <c r="H3438" t="n">
        <v>0.007870712547519899</v>
      </c>
      <c r="I3438" t="n">
        <v>0.8663441753075168</v>
      </c>
      <c r="J3438" t="n">
        <v>0.0116206990429519</v>
      </c>
      <c r="K3438" t="n">
        <v>0.7242133147468127</v>
      </c>
      <c r="L3438" t="b">
        <v>0</v>
      </c>
      <c r="M3438" t="b">
        <v>0</v>
      </c>
      <c r="N3438" t="inlineStr">
        <is>
          <t>alt</t>
        </is>
      </c>
      <c r="O3438" t="n">
        <v>100</v>
      </c>
      <c r="P3438" t="n">
        <v>0.002918</v>
      </c>
      <c r="Q3438" t="n">
        <v>60</v>
      </c>
      <c r="R3438" t="n">
        <v>0.0881</v>
      </c>
      <c r="S3438">
        <f>IMAGE("https://mitra.stanford.edu/kundaje/oak/projects/neuro-variants/variant_position/credible/roussos_2024/variant_figures/roussos_2024.childhood.GABA/rs116618941_count_position.png",4,220,900)</f>
        <v/>
      </c>
      <c r="T3438">
        <f>IMAGE("https://mitra.stanford.edu/kundaje/oak/projects/neuro-variants/variant_position/credible/roussos_2024/variant_figures/roussos_2024.childhood.GABA/rs116618941_profile_position.png",4,220,900)</f>
        <v/>
      </c>
    </row>
    <row r="3439">
      <c r="A3439" t="inlineStr">
        <is>
          <t>chr5</t>
        </is>
      </c>
      <c r="B3439" t="n">
        <v>152943061</v>
      </c>
      <c r="C3439" t="inlineStr">
        <is>
          <t>C</t>
        </is>
      </c>
      <c r="D3439" t="inlineStr">
        <is>
          <t>T</t>
        </is>
      </c>
      <c r="E3439" t="inlineStr">
        <is>
          <t>rs72804789</t>
        </is>
      </c>
      <c r="F3439" t="n">
        <v>-0.0801444622</v>
      </c>
      <c r="G3439" t="n">
        <v>0.0569988675843938</v>
      </c>
      <c r="H3439" t="n">
        <v>0.0165630731770548</v>
      </c>
      <c r="I3439" t="n">
        <v>0.1573975030554615</v>
      </c>
      <c r="J3439" t="n">
        <v>0.2801512010219681</v>
      </c>
      <c r="K3439" t="n">
        <v>0.1489114063873215</v>
      </c>
      <c r="L3439" t="b">
        <v>0</v>
      </c>
      <c r="M3439" t="b">
        <v>0</v>
      </c>
      <c r="N3439" t="inlineStr">
        <is>
          <t>ref</t>
        </is>
      </c>
      <c r="O3439" t="n">
        <v>-10</v>
      </c>
      <c r="P3439" t="n">
        <v>0.0001869</v>
      </c>
      <c r="Q3439" t="n">
        <v>-25</v>
      </c>
      <c r="R3439" t="n">
        <v>0.02368</v>
      </c>
      <c r="S3439">
        <f>IMAGE("https://mitra.stanford.edu/kundaje/oak/projects/neuro-variants/variant_position/credible/roussos_2024/variant_figures/roussos_2024.childhood.GABA/rs72804789_count_position.png",4,220,900)</f>
        <v/>
      </c>
      <c r="T3439">
        <f>IMAGE("https://mitra.stanford.edu/kundaje/oak/projects/neuro-variants/variant_position/credible/roussos_2024/variant_figures/roussos_2024.childhood.GABA/rs72804789_profile_position.png",4,220,900)</f>
        <v/>
      </c>
    </row>
    <row r="3440">
      <c r="A3440" t="inlineStr">
        <is>
          <t>chr5</t>
        </is>
      </c>
      <c r="B3440" t="n">
        <v>153036592</v>
      </c>
      <c r="C3440" t="inlineStr">
        <is>
          <t>G</t>
        </is>
      </c>
      <c r="D3440" t="inlineStr">
        <is>
          <t>A</t>
        </is>
      </c>
      <c r="E3440" t="inlineStr">
        <is>
          <t>rs184754715</t>
        </is>
      </c>
      <c r="F3440" t="n">
        <v>-0.0177339444</v>
      </c>
      <c r="G3440" t="n">
        <v>0.4724721471217618</v>
      </c>
      <c r="H3440" t="n">
        <v>0.0268685272140031</v>
      </c>
      <c r="I3440" t="n">
        <v>0.0206643471315997</v>
      </c>
      <c r="J3440" t="n">
        <v>0.4259774664404934</v>
      </c>
      <c r="K3440" t="n">
        <v>0.0758219552654537</v>
      </c>
      <c r="L3440" t="b">
        <v>0</v>
      </c>
      <c r="M3440" t="b">
        <v>0</v>
      </c>
      <c r="N3440" t="inlineStr">
        <is>
          <t>ref</t>
        </is>
      </c>
      <c r="O3440" t="n">
        <v>85</v>
      </c>
      <c r="P3440" t="n">
        <v>0.04053</v>
      </c>
      <c r="Q3440" t="n">
        <v>50</v>
      </c>
      <c r="R3440" t="n">
        <v>0.0432</v>
      </c>
      <c r="S3440">
        <f>IMAGE("https://mitra.stanford.edu/kundaje/oak/projects/neuro-variants/variant_position/credible/roussos_2024/variant_figures/roussos_2024.childhood.GABA/rs184754715_count_position.png",4,220,900)</f>
        <v/>
      </c>
      <c r="T3440">
        <f>IMAGE("https://mitra.stanford.edu/kundaje/oak/projects/neuro-variants/variant_position/credible/roussos_2024/variant_figures/roussos_2024.childhood.GABA/rs184754715_profile_position.png",4,220,900)</f>
        <v/>
      </c>
    </row>
    <row r="3441">
      <c r="A3441" t="inlineStr">
        <is>
          <t>chr5</t>
        </is>
      </c>
      <c r="B3441" t="n">
        <v>153078038</v>
      </c>
      <c r="C3441" t="inlineStr">
        <is>
          <t>A</t>
        </is>
      </c>
      <c r="D3441" t="inlineStr">
        <is>
          <t>G</t>
        </is>
      </c>
      <c r="E3441" t="inlineStr">
        <is>
          <t>rs75040818</t>
        </is>
      </c>
      <c r="F3441" t="n">
        <v>-0.0038938308799999</v>
      </c>
      <c r="G3441" t="n">
        <v>0.567984686865316</v>
      </c>
      <c r="H3441" t="n">
        <v>0.0149894030472386</v>
      </c>
      <c r="I3441" t="n">
        <v>0.2267781628963295</v>
      </c>
      <c r="J3441" t="n">
        <v>0.0140018010094029</v>
      </c>
      <c r="K3441" t="n">
        <v>0.7031171127213449</v>
      </c>
      <c r="L3441" t="b">
        <v>0</v>
      </c>
      <c r="M3441" t="b">
        <v>0</v>
      </c>
      <c r="N3441" t="inlineStr">
        <is>
          <t>ref</t>
        </is>
      </c>
      <c r="O3441" t="n">
        <v>-65</v>
      </c>
      <c r="P3441" t="n">
        <v>0.008619999999999999</v>
      </c>
      <c r="Q3441" t="n">
        <v>85</v>
      </c>
      <c r="R3441" t="n">
        <v>0.06274</v>
      </c>
      <c r="S3441">
        <f>IMAGE("https://mitra.stanford.edu/kundaje/oak/projects/neuro-variants/variant_position/credible/roussos_2024/variant_figures/roussos_2024.childhood.GABA/rs75040818_count_position.png",4,220,900)</f>
        <v/>
      </c>
      <c r="T3441">
        <f>IMAGE("https://mitra.stanford.edu/kundaje/oak/projects/neuro-variants/variant_position/credible/roussos_2024/variant_figures/roussos_2024.childhood.GABA/rs75040818_profile_position.png",4,220,900)</f>
        <v/>
      </c>
    </row>
    <row r="3442">
      <c r="A3442" t="inlineStr">
        <is>
          <t>chr5</t>
        </is>
      </c>
      <c r="B3442" t="n">
        <v>153081063</v>
      </c>
      <c r="C3442" t="inlineStr">
        <is>
          <t>G</t>
        </is>
      </c>
      <c r="D3442" t="inlineStr">
        <is>
          <t>A</t>
        </is>
      </c>
      <c r="E3442" t="inlineStr">
        <is>
          <t>rs73802032</t>
        </is>
      </c>
      <c r="F3442" t="n">
        <v>-0.143646824</v>
      </c>
      <c r="G3442" t="n">
        <v>0.011371694859052</v>
      </c>
      <c r="H3442" t="n">
        <v>0.0144648227438841</v>
      </c>
      <c r="I3442" t="n">
        <v>0.2479503627504884</v>
      </c>
      <c r="J3442" t="n">
        <v>0.3588961487717534</v>
      </c>
      <c r="K3442" t="n">
        <v>0.1041394698281957</v>
      </c>
      <c r="L3442" t="b">
        <v>1</v>
      </c>
      <c r="M3442" t="b">
        <v>0</v>
      </c>
      <c r="N3442" t="inlineStr">
        <is>
          <t>ref</t>
        </is>
      </c>
      <c r="O3442" t="n">
        <v>100</v>
      </c>
      <c r="P3442" t="n">
        <v>0.00592</v>
      </c>
      <c r="Q3442" t="n">
        <v>75</v>
      </c>
      <c r="R3442" t="n">
        <v>0.01611</v>
      </c>
      <c r="S3442">
        <f>IMAGE("https://mitra.stanford.edu/kundaje/oak/projects/neuro-variants/variant_position/credible/roussos_2024/variant_figures/roussos_2024.childhood.GABA/rs73802032_count_position.png",4,220,900)</f>
        <v/>
      </c>
      <c r="T3442">
        <f>IMAGE("https://mitra.stanford.edu/kundaje/oak/projects/neuro-variants/variant_position/credible/roussos_2024/variant_figures/roussos_2024.childhood.GABA/rs73802032_profile_position.png",4,220,900)</f>
        <v/>
      </c>
    </row>
    <row r="3443">
      <c r="A3443" t="inlineStr">
        <is>
          <t>chr5</t>
        </is>
      </c>
      <c r="B3443" t="n">
        <v>153115323</v>
      </c>
      <c r="C3443" t="inlineStr">
        <is>
          <t>A</t>
        </is>
      </c>
      <c r="D3443" t="inlineStr">
        <is>
          <t>C</t>
        </is>
      </c>
      <c r="E3443" t="inlineStr">
        <is>
          <t>rs6868545</t>
        </is>
      </c>
      <c r="F3443" t="n">
        <v>0.01469220733</v>
      </c>
      <c r="G3443" t="n">
        <v>0.4251896230720671</v>
      </c>
      <c r="H3443" t="n">
        <v>0.0225134183927211</v>
      </c>
      <c r="I3443" t="n">
        <v>0.0449814549553719</v>
      </c>
      <c r="J3443" t="n">
        <v>0.0858589348914158</v>
      </c>
      <c r="K3443" t="n">
        <v>0.3839433551604093</v>
      </c>
      <c r="L3443" t="b">
        <v>0</v>
      </c>
      <c r="M3443" t="b">
        <v>0</v>
      </c>
      <c r="N3443" t="inlineStr">
        <is>
          <t>alt</t>
        </is>
      </c>
      <c r="O3443" t="n">
        <v>-100</v>
      </c>
      <c r="P3443" t="n">
        <v>0.006134</v>
      </c>
      <c r="Q3443" t="n">
        <v>90</v>
      </c>
      <c r="R3443" t="n">
        <v>0.1383</v>
      </c>
      <c r="S3443">
        <f>IMAGE("https://mitra.stanford.edu/kundaje/oak/projects/neuro-variants/variant_position/credible/roussos_2024/variant_figures/roussos_2024.childhood.GABA/rs6868545_count_position.png",4,220,900)</f>
        <v/>
      </c>
      <c r="T3443">
        <f>IMAGE("https://mitra.stanford.edu/kundaje/oak/projects/neuro-variants/variant_position/credible/roussos_2024/variant_figures/roussos_2024.childhood.GABA/rs6868545_profile_position.png",4,220,900)</f>
        <v/>
      </c>
    </row>
    <row r="3444">
      <c r="A3444" t="inlineStr">
        <is>
          <t>chr5</t>
        </is>
      </c>
      <c r="B3444" t="n">
        <v>153130559</v>
      </c>
      <c r="C3444" t="inlineStr">
        <is>
          <t>G</t>
        </is>
      </c>
      <c r="D3444" t="inlineStr">
        <is>
          <t>A</t>
        </is>
      </c>
      <c r="E3444" t="inlineStr">
        <is>
          <t>rs2118792</t>
        </is>
      </c>
      <c r="F3444" t="n">
        <v>-0.01934181554</v>
      </c>
      <c r="G3444" t="n">
        <v>0.4466907443863238</v>
      </c>
      <c r="H3444" t="n">
        <v>0.009849242065777201</v>
      </c>
      <c r="I3444" t="n">
        <v>0.6519204957822428</v>
      </c>
      <c r="J3444" t="n">
        <v>0.2289177190006492</v>
      </c>
      <c r="K3444" t="n">
        <v>0.1920543422476838</v>
      </c>
      <c r="L3444" t="b">
        <v>0</v>
      </c>
      <c r="M3444" t="b">
        <v>0</v>
      </c>
      <c r="N3444" t="inlineStr">
        <is>
          <t>ref</t>
        </is>
      </c>
      <c r="O3444" t="n">
        <v>5</v>
      </c>
      <c r="P3444" t="n">
        <v>0.0003815</v>
      </c>
      <c r="Q3444" t="n">
        <v>100</v>
      </c>
      <c r="R3444" t="n">
        <v>0.05396</v>
      </c>
      <c r="S3444">
        <f>IMAGE("https://mitra.stanford.edu/kundaje/oak/projects/neuro-variants/variant_position/credible/roussos_2024/variant_figures/roussos_2024.childhood.GABA/rs2118792_count_position.png",4,220,900)</f>
        <v/>
      </c>
      <c r="T3444">
        <f>IMAGE("https://mitra.stanford.edu/kundaje/oak/projects/neuro-variants/variant_position/credible/roussos_2024/variant_figures/roussos_2024.childhood.GABA/rs2118792_profile_position.png",4,220,900)</f>
        <v/>
      </c>
    </row>
    <row r="3445">
      <c r="A3445" t="inlineStr">
        <is>
          <t>chr5</t>
        </is>
      </c>
      <c r="B3445" t="n">
        <v>153148011</v>
      </c>
      <c r="C3445" t="inlineStr">
        <is>
          <t>A</t>
        </is>
      </c>
      <c r="D3445" t="inlineStr">
        <is>
          <t>G</t>
        </is>
      </c>
      <c r="E3445" t="inlineStr">
        <is>
          <t>rs2962809</t>
        </is>
      </c>
      <c r="F3445" t="n">
        <v>0.222327992</v>
      </c>
      <c r="G3445" t="n">
        <v>0.0033422757099329</v>
      </c>
      <c r="H3445" t="n">
        <v>0.0446407281412673</v>
      </c>
      <c r="I3445" t="n">
        <v>0.00277164806337</v>
      </c>
      <c r="J3445" t="n">
        <v>0.3079747021004795</v>
      </c>
      <c r="K3445" t="n">
        <v>0.1330340567525366</v>
      </c>
      <c r="L3445" t="b">
        <v>1</v>
      </c>
      <c r="M3445" t="b">
        <v>1</v>
      </c>
      <c r="N3445" t="inlineStr">
        <is>
          <t>alt</t>
        </is>
      </c>
      <c r="O3445" t="n">
        <v>-15</v>
      </c>
      <c r="P3445" t="n">
        <v>0.001208</v>
      </c>
      <c r="Q3445" t="n">
        <v>95</v>
      </c>
      <c r="R3445" t="n">
        <v>0.0973</v>
      </c>
      <c r="S3445">
        <f>IMAGE("https://mitra.stanford.edu/kundaje/oak/projects/neuro-variants/variant_position/credible/roussos_2024/variant_figures/roussos_2024.childhood.GABA/rs2962809_count_position.png",4,220,900)</f>
        <v/>
      </c>
      <c r="T3445">
        <f>IMAGE("https://mitra.stanford.edu/kundaje/oak/projects/neuro-variants/variant_position/credible/roussos_2024/variant_figures/roussos_2024.childhood.GABA/rs2962809_profile_position.png",4,220,900)</f>
        <v/>
      </c>
    </row>
    <row r="3446">
      <c r="A3446" t="inlineStr">
        <is>
          <t>chr5</t>
        </is>
      </c>
      <c r="B3446" t="n">
        <v>153152663</v>
      </c>
      <c r="C3446" t="inlineStr">
        <is>
          <t>G</t>
        </is>
      </c>
      <c r="D3446" t="inlineStr">
        <is>
          <t>A</t>
        </is>
      </c>
      <c r="E3446" t="inlineStr">
        <is>
          <t>rs2973157</t>
        </is>
      </c>
      <c r="F3446" t="n">
        <v>-0.0158609744</v>
      </c>
      <c r="G3446" t="n">
        <v>0.5030743807667707</v>
      </c>
      <c r="H3446" t="n">
        <v>0.0067701350272725</v>
      </c>
      <c r="I3446" t="n">
        <v>0.9534831112558068</v>
      </c>
      <c r="J3446" t="n">
        <v>0.0002649159179912</v>
      </c>
      <c r="K3446" t="n">
        <v>0.9551698383871344</v>
      </c>
      <c r="L3446" t="b">
        <v>0</v>
      </c>
      <c r="M3446" t="b">
        <v>0</v>
      </c>
      <c r="N3446" t="inlineStr">
        <is>
          <t>ref</t>
        </is>
      </c>
      <c r="O3446" t="n">
        <v>-100</v>
      </c>
      <c r="P3446" t="n">
        <v>0.005695</v>
      </c>
      <c r="Q3446" t="n">
        <v>-50</v>
      </c>
      <c r="R3446" t="n">
        <v>0.03363</v>
      </c>
      <c r="S3446">
        <f>IMAGE("https://mitra.stanford.edu/kundaje/oak/projects/neuro-variants/variant_position/credible/roussos_2024/variant_figures/roussos_2024.childhood.GABA/rs2973157_count_position.png",4,220,900)</f>
        <v/>
      </c>
      <c r="T3446">
        <f>IMAGE("https://mitra.stanford.edu/kundaje/oak/projects/neuro-variants/variant_position/credible/roussos_2024/variant_figures/roussos_2024.childhood.GABA/rs2973157_profile_position.png",4,220,900)</f>
        <v/>
      </c>
    </row>
    <row r="3447">
      <c r="A3447" t="inlineStr">
        <is>
          <t>chr5</t>
        </is>
      </c>
      <c r="B3447" t="n">
        <v>153156462</v>
      </c>
      <c r="C3447" t="inlineStr">
        <is>
          <t>A</t>
        </is>
      </c>
      <c r="D3447" t="inlineStr">
        <is>
          <t>G</t>
        </is>
      </c>
      <c r="E3447" t="inlineStr">
        <is>
          <t>rs2910030</t>
        </is>
      </c>
      <c r="F3447" t="n">
        <v>0.0216562682</v>
      </c>
      <c r="G3447" t="n">
        <v>0.3779367685165769</v>
      </c>
      <c r="H3447" t="n">
        <v>0.0132971976473008</v>
      </c>
      <c r="I3447" t="n">
        <v>0.3370800361435607</v>
      </c>
      <c r="J3447" t="n">
        <v>0.0218016376620384</v>
      </c>
      <c r="K3447" t="n">
        <v>0.6484918497063982</v>
      </c>
      <c r="L3447" t="b">
        <v>0</v>
      </c>
      <c r="M3447" t="b">
        <v>0</v>
      </c>
      <c r="N3447" t="inlineStr">
        <is>
          <t>alt</t>
        </is>
      </c>
      <c r="O3447" t="n">
        <v>100</v>
      </c>
      <c r="P3447" t="n">
        <v>0.00659</v>
      </c>
      <c r="Q3447" t="n">
        <v>65</v>
      </c>
      <c r="R3447" t="n">
        <v>0.07630000000000001</v>
      </c>
      <c r="S3447">
        <f>IMAGE("https://mitra.stanford.edu/kundaje/oak/projects/neuro-variants/variant_position/credible/roussos_2024/variant_figures/roussos_2024.childhood.GABA/rs2910030_count_position.png",4,220,900)</f>
        <v/>
      </c>
      <c r="T3447">
        <f>IMAGE("https://mitra.stanford.edu/kundaje/oak/projects/neuro-variants/variant_position/credible/roussos_2024/variant_figures/roussos_2024.childhood.GABA/rs2910030_profile_position.png",4,220,900)</f>
        <v/>
      </c>
    </row>
    <row r="3448">
      <c r="A3448" t="inlineStr">
        <is>
          <t>chr5</t>
        </is>
      </c>
      <c r="B3448" t="n">
        <v>153160794</v>
      </c>
      <c r="C3448" t="inlineStr">
        <is>
          <t>C</t>
        </is>
      </c>
      <c r="D3448" t="inlineStr">
        <is>
          <t>T</t>
        </is>
      </c>
      <c r="E3448" t="inlineStr">
        <is>
          <t>rs2910032</t>
        </is>
      </c>
      <c r="F3448" t="n">
        <v>-0.077074252</v>
      </c>
      <c r="G3448" t="n">
        <v>0.0562748416169965</v>
      </c>
      <c r="H3448" t="n">
        <v>0.0132615474207982</v>
      </c>
      <c r="I3448" t="n">
        <v>0.3278930681949869</v>
      </c>
      <c r="J3448" t="n">
        <v>0.0300349730895687</v>
      </c>
      <c r="K3448" t="n">
        <v>0.5842971562201877</v>
      </c>
      <c r="L3448" t="b">
        <v>0</v>
      </c>
      <c r="M3448" t="b">
        <v>0</v>
      </c>
      <c r="N3448" t="inlineStr">
        <is>
          <t>ref</t>
        </is>
      </c>
      <c r="O3448" t="n">
        <v>75</v>
      </c>
      <c r="P3448" t="n">
        <v>0.0126</v>
      </c>
      <c r="Q3448" t="n">
        <v>70</v>
      </c>
      <c r="R3448" t="n">
        <v>0.00903</v>
      </c>
      <c r="S3448">
        <f>IMAGE("https://mitra.stanford.edu/kundaje/oak/projects/neuro-variants/variant_position/credible/roussos_2024/variant_figures/roussos_2024.childhood.GABA/rs2910032_count_position.png",4,220,900)</f>
        <v/>
      </c>
      <c r="T3448">
        <f>IMAGE("https://mitra.stanford.edu/kundaje/oak/projects/neuro-variants/variant_position/credible/roussos_2024/variant_figures/roussos_2024.childhood.GABA/rs2910032_profile_position.png",4,220,900)</f>
        <v/>
      </c>
    </row>
    <row r="3449">
      <c r="A3449" t="inlineStr">
        <is>
          <t>chr5</t>
        </is>
      </c>
      <c r="B3449" t="n">
        <v>153171303</v>
      </c>
      <c r="C3449" t="inlineStr">
        <is>
          <t>T</t>
        </is>
      </c>
      <c r="D3449" t="inlineStr">
        <is>
          <t>C</t>
        </is>
      </c>
      <c r="E3449" t="inlineStr">
        <is>
          <t>rs2973138</t>
        </is>
      </c>
      <c r="F3449" t="n">
        <v>0.047134957</v>
      </c>
      <c r="G3449" t="n">
        <v>0.1539579336160084</v>
      </c>
      <c r="H3449" t="n">
        <v>0.0153668666202097</v>
      </c>
      <c r="I3449" t="n">
        <v>0.2092579082321958</v>
      </c>
      <c r="J3449" t="n">
        <v>0.0161494000125651</v>
      </c>
      <c r="K3449" t="n">
        <v>0.6806651254249777</v>
      </c>
      <c r="L3449" t="b">
        <v>0</v>
      </c>
      <c r="M3449" t="b">
        <v>0</v>
      </c>
      <c r="N3449" t="inlineStr">
        <is>
          <t>alt</t>
        </is>
      </c>
      <c r="O3449" t="n">
        <v>-85</v>
      </c>
      <c r="P3449" t="n">
        <v>0.001233</v>
      </c>
      <c r="Q3449" t="n">
        <v>-90</v>
      </c>
      <c r="R3449" t="n">
        <v>0.00757</v>
      </c>
      <c r="S3449">
        <f>IMAGE("https://mitra.stanford.edu/kundaje/oak/projects/neuro-variants/variant_position/credible/roussos_2024/variant_figures/roussos_2024.childhood.GABA/rs2973138_count_position.png",4,220,900)</f>
        <v/>
      </c>
      <c r="T3449">
        <f>IMAGE("https://mitra.stanford.edu/kundaje/oak/projects/neuro-variants/variant_position/credible/roussos_2024/variant_figures/roussos_2024.childhood.GABA/rs2973138_profile_position.png",4,220,900)</f>
        <v/>
      </c>
    </row>
    <row r="3450">
      <c r="A3450" t="inlineStr">
        <is>
          <t>chr5</t>
        </is>
      </c>
      <c r="B3450" t="n">
        <v>153171563</v>
      </c>
      <c r="C3450" t="inlineStr">
        <is>
          <t>A</t>
        </is>
      </c>
      <c r="D3450" t="inlineStr">
        <is>
          <t>C</t>
        </is>
      </c>
      <c r="E3450" t="inlineStr">
        <is>
          <t>rs2962826</t>
        </is>
      </c>
      <c r="F3450" t="n">
        <v>0.12866788</v>
      </c>
      <c r="G3450" t="n">
        <v>0.014441464673416</v>
      </c>
      <c r="H3450" t="n">
        <v>0.0248653434698969</v>
      </c>
      <c r="I3450" t="n">
        <v>0.0314000752101974</v>
      </c>
      <c r="J3450" t="n">
        <v>0.0132876798391656</v>
      </c>
      <c r="K3450" t="n">
        <v>0.7077170042064972</v>
      </c>
      <c r="L3450" t="b">
        <v>1</v>
      </c>
      <c r="M3450" t="b">
        <v>0</v>
      </c>
      <c r="N3450" t="inlineStr">
        <is>
          <t>alt</t>
        </is>
      </c>
      <c r="O3450" t="n">
        <v>50</v>
      </c>
      <c r="P3450" t="n">
        <v>0.0016985</v>
      </c>
      <c r="Q3450" t="n">
        <v>-100</v>
      </c>
      <c r="R3450" t="n">
        <v>0.0561</v>
      </c>
      <c r="S3450">
        <f>IMAGE("https://mitra.stanford.edu/kundaje/oak/projects/neuro-variants/variant_position/credible/roussos_2024/variant_figures/roussos_2024.childhood.GABA/rs2962826_count_position.png",4,220,900)</f>
        <v/>
      </c>
      <c r="T3450">
        <f>IMAGE("https://mitra.stanford.edu/kundaje/oak/projects/neuro-variants/variant_position/credible/roussos_2024/variant_figures/roussos_2024.childhood.GABA/rs2962826_profile_position.png",4,220,900)</f>
        <v/>
      </c>
    </row>
    <row r="3451">
      <c r="A3451" t="inlineStr">
        <is>
          <t>chr5</t>
        </is>
      </c>
      <c r="B3451" t="n">
        <v>153176386</v>
      </c>
      <c r="C3451" t="inlineStr">
        <is>
          <t>C</t>
        </is>
      </c>
      <c r="D3451" t="inlineStr">
        <is>
          <t>T</t>
        </is>
      </c>
      <c r="E3451" t="inlineStr">
        <is>
          <t>rs55827458</t>
        </is>
      </c>
      <c r="F3451" t="n">
        <v>0.0123890499</v>
      </c>
      <c r="G3451" t="n">
        <v>0.5464059310282947</v>
      </c>
      <c r="H3451" t="n">
        <v>0.0319513869489404</v>
      </c>
      <c r="I3451" t="n">
        <v>0.009577266196072</v>
      </c>
      <c r="J3451" t="n">
        <v>2.198906829176352e-05</v>
      </c>
      <c r="K3451" t="n">
        <v>0.9964012823547174</v>
      </c>
      <c r="L3451" t="b">
        <v>0</v>
      </c>
      <c r="M3451" t="b">
        <v>0</v>
      </c>
      <c r="N3451" t="inlineStr">
        <is>
          <t>alt</t>
        </is>
      </c>
      <c r="O3451" t="n">
        <v>75</v>
      </c>
      <c r="P3451" t="n">
        <v>0.004253</v>
      </c>
      <c r="Q3451" t="n">
        <v>100</v>
      </c>
      <c r="R3451" t="n">
        <v>0.06714000000000001</v>
      </c>
      <c r="S3451">
        <f>IMAGE("https://mitra.stanford.edu/kundaje/oak/projects/neuro-variants/variant_position/credible/roussos_2024/variant_figures/roussos_2024.childhood.GABA/rs55827458_count_position.png",4,220,900)</f>
        <v/>
      </c>
      <c r="T3451">
        <f>IMAGE("https://mitra.stanford.edu/kundaje/oak/projects/neuro-variants/variant_position/credible/roussos_2024/variant_figures/roussos_2024.childhood.GABA/rs55827458_profile_position.png",4,220,900)</f>
        <v/>
      </c>
    </row>
    <row r="3452">
      <c r="A3452" t="inlineStr">
        <is>
          <t>chr5</t>
        </is>
      </c>
      <c r="B3452" t="n">
        <v>153179839</v>
      </c>
      <c r="C3452" t="inlineStr">
        <is>
          <t>C</t>
        </is>
      </c>
      <c r="D3452" t="inlineStr">
        <is>
          <t>A</t>
        </is>
      </c>
      <c r="E3452" t="inlineStr">
        <is>
          <t>rs7717923</t>
        </is>
      </c>
      <c r="F3452" t="n">
        <v>-0.01764786204</v>
      </c>
      <c r="G3452" t="n">
        <v>0.4944106174412243</v>
      </c>
      <c r="H3452" t="n">
        <v>0.0184531850105746</v>
      </c>
      <c r="I3452" t="n">
        <v>0.1026283279590476</v>
      </c>
      <c r="J3452" t="n">
        <v>2.513036376201545e-05</v>
      </c>
      <c r="K3452" t="n">
        <v>0.9972047633061274</v>
      </c>
      <c r="L3452" t="b">
        <v>0</v>
      </c>
      <c r="M3452" t="b">
        <v>0</v>
      </c>
      <c r="N3452" t="inlineStr">
        <is>
          <t>ref</t>
        </is>
      </c>
      <c r="O3452" t="n">
        <v>100</v>
      </c>
      <c r="P3452" t="n">
        <v>0.006348</v>
      </c>
      <c r="Q3452" t="n">
        <v>60</v>
      </c>
      <c r="R3452" t="n">
        <v>0.03046</v>
      </c>
      <c r="S3452">
        <f>IMAGE("https://mitra.stanford.edu/kundaje/oak/projects/neuro-variants/variant_position/credible/roussos_2024/variant_figures/roussos_2024.childhood.GABA/rs7717923_count_position.png",4,220,900)</f>
        <v/>
      </c>
      <c r="T3452">
        <f>IMAGE("https://mitra.stanford.edu/kundaje/oak/projects/neuro-variants/variant_position/credible/roussos_2024/variant_figures/roussos_2024.childhood.GABA/rs7717923_profile_position.png",4,220,900)</f>
        <v/>
      </c>
    </row>
    <row r="3453">
      <c r="A3453" t="inlineStr">
        <is>
          <t>chr5</t>
        </is>
      </c>
      <c r="B3453" t="n">
        <v>153185089</v>
      </c>
      <c r="C3453" t="inlineStr">
        <is>
          <t>T</t>
        </is>
      </c>
      <c r="D3453" t="inlineStr">
        <is>
          <t>G</t>
        </is>
      </c>
      <c r="E3453" t="inlineStr">
        <is>
          <t>rs1870861</t>
        </is>
      </c>
      <c r="F3453" t="n">
        <v>0.00585759506</v>
      </c>
      <c r="G3453" t="n">
        <v>0.6148011086901858</v>
      </c>
      <c r="H3453" t="n">
        <v>0.0142731734541607</v>
      </c>
      <c r="I3453" t="n">
        <v>0.2663237159869122</v>
      </c>
      <c r="J3453" t="n">
        <v>0.0140363552595756</v>
      </c>
      <c r="K3453" t="n">
        <v>0.7216533532933238</v>
      </c>
      <c r="L3453" t="b">
        <v>0</v>
      </c>
      <c r="M3453" t="b">
        <v>0</v>
      </c>
      <c r="N3453" t="inlineStr">
        <is>
          <t>alt</t>
        </is>
      </c>
      <c r="O3453" t="n">
        <v>-15</v>
      </c>
      <c r="P3453" t="n">
        <v>0.004776</v>
      </c>
      <c r="Q3453" t="n">
        <v>20</v>
      </c>
      <c r="R3453" t="n">
        <v>0.007248</v>
      </c>
      <c r="S3453">
        <f>IMAGE("https://mitra.stanford.edu/kundaje/oak/projects/neuro-variants/variant_position/credible/roussos_2024/variant_figures/roussos_2024.childhood.GABA/rs1870861_count_position.png",4,220,900)</f>
        <v/>
      </c>
      <c r="T3453">
        <f>IMAGE("https://mitra.stanford.edu/kundaje/oak/projects/neuro-variants/variant_position/credible/roussos_2024/variant_figures/roussos_2024.childhood.GABA/rs1870861_profile_position.png",4,220,900)</f>
        <v/>
      </c>
    </row>
    <row r="3454">
      <c r="A3454" t="inlineStr">
        <is>
          <t>chr5</t>
        </is>
      </c>
      <c r="B3454" t="n">
        <v>153209119</v>
      </c>
      <c r="C3454" t="inlineStr">
        <is>
          <t>C</t>
        </is>
      </c>
      <c r="D3454" t="inlineStr">
        <is>
          <t>T</t>
        </is>
      </c>
      <c r="E3454" t="inlineStr">
        <is>
          <t>rs1462120</t>
        </is>
      </c>
      <c r="F3454" t="n">
        <v>-0.02486316014</v>
      </c>
      <c r="G3454" t="n">
        <v>0.3431203290050148</v>
      </c>
      <c r="H3454" t="n">
        <v>0.0100972178831633</v>
      </c>
      <c r="I3454" t="n">
        <v>0.5984953334094881</v>
      </c>
      <c r="J3454" t="n">
        <v>0.1157797742455654</v>
      </c>
      <c r="K3454" t="n">
        <v>0.3168353248204146</v>
      </c>
      <c r="L3454" t="b">
        <v>0</v>
      </c>
      <c r="M3454" t="b">
        <v>0</v>
      </c>
      <c r="N3454" t="inlineStr">
        <is>
          <t>ref</t>
        </is>
      </c>
      <c r="O3454" t="n">
        <v>-75</v>
      </c>
      <c r="P3454" t="n">
        <v>0.003544</v>
      </c>
      <c r="Q3454" t="n">
        <v>25</v>
      </c>
      <c r="R3454" t="n">
        <v>0.003174</v>
      </c>
      <c r="S3454">
        <f>IMAGE("https://mitra.stanford.edu/kundaje/oak/projects/neuro-variants/variant_position/credible/roussos_2024/variant_figures/roussos_2024.childhood.GABA/rs1462120_count_position.png",4,220,900)</f>
        <v/>
      </c>
      <c r="T3454">
        <f>IMAGE("https://mitra.stanford.edu/kundaje/oak/projects/neuro-variants/variant_position/credible/roussos_2024/variant_figures/roussos_2024.childhood.GABA/rs1462120_profile_position.png",4,220,900)</f>
        <v/>
      </c>
    </row>
    <row r="3455">
      <c r="A3455" t="inlineStr">
        <is>
          <t>chr5</t>
        </is>
      </c>
      <c r="B3455" t="n">
        <v>153227010</v>
      </c>
      <c r="C3455" t="inlineStr">
        <is>
          <t>A</t>
        </is>
      </c>
      <c r="D3455" t="inlineStr">
        <is>
          <t>G</t>
        </is>
      </c>
      <c r="E3455" t="inlineStr">
        <is>
          <t>rs3112532</t>
        </is>
      </c>
      <c r="F3455" t="n">
        <v>-0.0094518687599999</v>
      </c>
      <c r="G3455" t="n">
        <v>0.6364654276074885</v>
      </c>
      <c r="H3455" t="n">
        <v>0.0099484364902647</v>
      </c>
      <c r="I3455" t="n">
        <v>0.6275736012936279</v>
      </c>
      <c r="J3455" t="n">
        <v>0.0003151766455152</v>
      </c>
      <c r="K3455" t="n">
        <v>0.9508563560423924</v>
      </c>
      <c r="L3455" t="b">
        <v>0</v>
      </c>
      <c r="M3455" t="b">
        <v>0</v>
      </c>
      <c r="N3455" t="inlineStr">
        <is>
          <t>ref</t>
        </is>
      </c>
      <c r="O3455" t="n">
        <v>100</v>
      </c>
      <c r="P3455" t="n">
        <v>0.011696</v>
      </c>
      <c r="Q3455" t="n">
        <v>-100</v>
      </c>
      <c r="R3455" t="n">
        <v>0.09533999999999999</v>
      </c>
      <c r="S3455">
        <f>IMAGE("https://mitra.stanford.edu/kundaje/oak/projects/neuro-variants/variant_position/credible/roussos_2024/variant_figures/roussos_2024.childhood.GABA/rs3112532_count_position.png",4,220,900)</f>
        <v/>
      </c>
      <c r="T3455">
        <f>IMAGE("https://mitra.stanford.edu/kundaje/oak/projects/neuro-variants/variant_position/credible/roussos_2024/variant_figures/roussos_2024.childhood.GABA/rs3112532_profile_position.png",4,220,900)</f>
        <v/>
      </c>
    </row>
    <row r="3456">
      <c r="A3456" t="inlineStr">
        <is>
          <t>chr5</t>
        </is>
      </c>
      <c r="B3456" t="n">
        <v>153235946</v>
      </c>
      <c r="C3456" t="inlineStr">
        <is>
          <t>G</t>
        </is>
      </c>
      <c r="D3456" t="inlineStr">
        <is>
          <t>A</t>
        </is>
      </c>
      <c r="E3456" t="inlineStr">
        <is>
          <t>rs296175</t>
        </is>
      </c>
      <c r="F3456" t="n">
        <v>-0.155878156</v>
      </c>
      <c r="G3456" t="n">
        <v>0.009293294188306</v>
      </c>
      <c r="H3456" t="n">
        <v>0.0203513754441347</v>
      </c>
      <c r="I3456" t="n">
        <v>0.0703514558332009</v>
      </c>
      <c r="J3456" t="n">
        <v>0.0326485309208183</v>
      </c>
      <c r="K3456" t="n">
        <v>0.5773864857906735</v>
      </c>
      <c r="L3456" t="b">
        <v>1</v>
      </c>
      <c r="M3456" t="b">
        <v>1</v>
      </c>
      <c r="N3456" t="inlineStr">
        <is>
          <t>ref</t>
        </is>
      </c>
      <c r="O3456" t="n">
        <v>100</v>
      </c>
      <c r="P3456" t="n">
        <v>0.00937</v>
      </c>
      <c r="Q3456" t="n">
        <v>30</v>
      </c>
      <c r="R3456" t="n">
        <v>0.00891</v>
      </c>
      <c r="S3456">
        <f>IMAGE("https://mitra.stanford.edu/kundaje/oak/projects/neuro-variants/variant_position/credible/roussos_2024/variant_figures/roussos_2024.childhood.GABA/rs296175_count_position.png",4,220,900)</f>
        <v/>
      </c>
      <c r="T3456">
        <f>IMAGE("https://mitra.stanford.edu/kundaje/oak/projects/neuro-variants/variant_position/credible/roussos_2024/variant_figures/roussos_2024.childhood.GABA/rs296175_profile_position.png",4,220,900)</f>
        <v/>
      </c>
    </row>
    <row r="3457">
      <c r="A3457" t="inlineStr">
        <is>
          <t>chr5</t>
        </is>
      </c>
      <c r="B3457" t="n">
        <v>153239904</v>
      </c>
      <c r="C3457" t="inlineStr">
        <is>
          <t>T</t>
        </is>
      </c>
      <c r="D3457" t="inlineStr">
        <is>
          <t>G</t>
        </is>
      </c>
      <c r="E3457" t="inlineStr">
        <is>
          <t>rs2546328</t>
        </is>
      </c>
      <c r="F3457" t="n">
        <v>0.007873277019999901</v>
      </c>
      <c r="G3457" t="n">
        <v>0.4127417234713914</v>
      </c>
      <c r="H3457" t="n">
        <v>0.010700672773004</v>
      </c>
      <c r="I3457" t="n">
        <v>0.5658824269589119</v>
      </c>
      <c r="J3457" t="n">
        <v>0.021597453456472</v>
      </c>
      <c r="K3457" t="n">
        <v>0.6439838199774949</v>
      </c>
      <c r="L3457" t="b">
        <v>0</v>
      </c>
      <c r="M3457" t="b">
        <v>0</v>
      </c>
      <c r="N3457" t="inlineStr">
        <is>
          <t>alt</t>
        </is>
      </c>
      <c r="O3457" t="n">
        <v>70</v>
      </c>
      <c r="P3457" t="n">
        <v>0.009990000000000001</v>
      </c>
      <c r="Q3457" t="n">
        <v>25</v>
      </c>
      <c r="R3457" t="n">
        <v>0.009155</v>
      </c>
      <c r="S3457">
        <f>IMAGE("https://mitra.stanford.edu/kundaje/oak/projects/neuro-variants/variant_position/credible/roussos_2024/variant_figures/roussos_2024.childhood.GABA/rs2546328_count_position.png",4,220,900)</f>
        <v/>
      </c>
      <c r="T3457">
        <f>IMAGE("https://mitra.stanford.edu/kundaje/oak/projects/neuro-variants/variant_position/credible/roussos_2024/variant_figures/roussos_2024.childhood.GABA/rs2546328_profile_position.png",4,220,900)</f>
        <v/>
      </c>
    </row>
    <row r="3458">
      <c r="A3458" t="inlineStr">
        <is>
          <t>chr5</t>
        </is>
      </c>
      <c r="B3458" t="n">
        <v>153258478</v>
      </c>
      <c r="C3458" t="inlineStr">
        <is>
          <t>C</t>
        </is>
      </c>
      <c r="D3458" t="inlineStr">
        <is>
          <t>A</t>
        </is>
      </c>
      <c r="E3458" t="inlineStr">
        <is>
          <t>rs2349576</t>
        </is>
      </c>
      <c r="F3458" t="n">
        <v>0.0280526574</v>
      </c>
      <c r="G3458" t="n">
        <v>0.3360183248279607</v>
      </c>
      <c r="H3458" t="n">
        <v>0.0104648260701383</v>
      </c>
      <c r="I3458" t="n">
        <v>0.5797389389353554</v>
      </c>
      <c r="J3458" t="n">
        <v>0.0167703294171849</v>
      </c>
      <c r="K3458" t="n">
        <v>0.6760099819353911</v>
      </c>
      <c r="L3458" t="b">
        <v>0</v>
      </c>
      <c r="M3458" t="b">
        <v>0</v>
      </c>
      <c r="N3458" t="inlineStr">
        <is>
          <t>alt</t>
        </is>
      </c>
      <c r="O3458" t="n">
        <v>-45</v>
      </c>
      <c r="P3458" t="n">
        <v>0.0007744</v>
      </c>
      <c r="Q3458" t="n">
        <v>50</v>
      </c>
      <c r="R3458" t="n">
        <v>0.03076</v>
      </c>
      <c r="S3458">
        <f>IMAGE("https://mitra.stanford.edu/kundaje/oak/projects/neuro-variants/variant_position/credible/roussos_2024/variant_figures/roussos_2024.childhood.GABA/rs2349576_count_position.png",4,220,900)</f>
        <v/>
      </c>
      <c r="T3458">
        <f>IMAGE("https://mitra.stanford.edu/kundaje/oak/projects/neuro-variants/variant_position/credible/roussos_2024/variant_figures/roussos_2024.childhood.GABA/rs2349576_profile_position.png",4,220,900)</f>
        <v/>
      </c>
    </row>
    <row r="3459">
      <c r="A3459" t="inlineStr">
        <is>
          <t>chr5</t>
        </is>
      </c>
      <c r="B3459" t="n">
        <v>153264409</v>
      </c>
      <c r="C3459" t="inlineStr">
        <is>
          <t>G</t>
        </is>
      </c>
      <c r="D3459" t="inlineStr">
        <is>
          <t>T</t>
        </is>
      </c>
      <c r="E3459" t="inlineStr">
        <is>
          <t>rs2926288</t>
        </is>
      </c>
      <c r="F3459" t="n">
        <v>0.0026120612999999</v>
      </c>
      <c r="G3459" t="n">
        <v>0.4368052850670905</v>
      </c>
      <c r="H3459" t="n">
        <v>0.0155609078340499</v>
      </c>
      <c r="I3459" t="n">
        <v>0.1986009009033851</v>
      </c>
      <c r="J3459" t="n">
        <v>0.1401206257460576</v>
      </c>
      <c r="K3459" t="n">
        <v>0.2926632373969894</v>
      </c>
      <c r="L3459" t="b">
        <v>0</v>
      </c>
      <c r="M3459" t="b">
        <v>0</v>
      </c>
      <c r="N3459" t="inlineStr">
        <is>
          <t>alt</t>
        </is>
      </c>
      <c r="O3459" t="n">
        <v>-80</v>
      </c>
      <c r="P3459" t="n">
        <v>0.03687</v>
      </c>
      <c r="Q3459" t="n">
        <v>-75</v>
      </c>
      <c r="R3459" t="n">
        <v>0.3271</v>
      </c>
      <c r="S3459">
        <f>IMAGE("https://mitra.stanford.edu/kundaje/oak/projects/neuro-variants/variant_position/credible/roussos_2024/variant_figures/roussos_2024.childhood.GABA/rs2926288_count_position.png",4,220,900)</f>
        <v/>
      </c>
      <c r="T3459">
        <f>IMAGE("https://mitra.stanford.edu/kundaje/oak/projects/neuro-variants/variant_position/credible/roussos_2024/variant_figures/roussos_2024.childhood.GABA/rs2926288_profile_position.png",4,220,900)</f>
        <v/>
      </c>
    </row>
    <row r="3460">
      <c r="A3460" t="inlineStr">
        <is>
          <t>chr5</t>
        </is>
      </c>
      <c r="B3460" t="n">
        <v>153266205</v>
      </c>
      <c r="C3460" t="inlineStr">
        <is>
          <t>C</t>
        </is>
      </c>
      <c r="D3460" t="inlineStr">
        <is>
          <t>T</t>
        </is>
      </c>
      <c r="E3460" t="inlineStr">
        <is>
          <t>rs2964817</t>
        </is>
      </c>
      <c r="F3460" t="n">
        <v>-0.0431210182</v>
      </c>
      <c r="G3460" t="n">
        <v>0.1818844962176723</v>
      </c>
      <c r="H3460" t="n">
        <v>0.0129135869134905</v>
      </c>
      <c r="I3460" t="n">
        <v>0.3569581619174686</v>
      </c>
      <c r="J3460" t="n">
        <v>0.0298171766036312</v>
      </c>
      <c r="K3460" t="n">
        <v>0.5885412187578969</v>
      </c>
      <c r="L3460" t="b">
        <v>0</v>
      </c>
      <c r="M3460" t="b">
        <v>0</v>
      </c>
      <c r="N3460" t="inlineStr">
        <is>
          <t>ref</t>
        </is>
      </c>
      <c r="O3460" t="n">
        <v>-70</v>
      </c>
      <c r="P3460" t="n">
        <v>0.003323</v>
      </c>
      <c r="Q3460" t="n">
        <v>40</v>
      </c>
      <c r="R3460" t="n">
        <v>0.03314</v>
      </c>
      <c r="S3460">
        <f>IMAGE("https://mitra.stanford.edu/kundaje/oak/projects/neuro-variants/variant_position/credible/roussos_2024/variant_figures/roussos_2024.childhood.GABA/rs2964817_count_position.png",4,220,900)</f>
        <v/>
      </c>
      <c r="T3460">
        <f>IMAGE("https://mitra.stanford.edu/kundaje/oak/projects/neuro-variants/variant_position/credible/roussos_2024/variant_figures/roussos_2024.childhood.GABA/rs2964817_profile_position.png",4,220,900)</f>
        <v/>
      </c>
    </row>
    <row r="3461">
      <c r="A3461" t="inlineStr">
        <is>
          <t>chr5</t>
        </is>
      </c>
      <c r="B3461" t="n">
        <v>153272205</v>
      </c>
      <c r="C3461" t="inlineStr">
        <is>
          <t>A</t>
        </is>
      </c>
      <c r="D3461" t="inlineStr">
        <is>
          <t>G</t>
        </is>
      </c>
      <c r="E3461" t="inlineStr">
        <is>
          <t>rs2199123</t>
        </is>
      </c>
      <c r="F3461" t="n">
        <v>0.0971395228</v>
      </c>
      <c r="G3461" t="n">
        <v>0.0316203222570485</v>
      </c>
      <c r="H3461" t="n">
        <v>0.0146693899787826</v>
      </c>
      <c r="I3461" t="n">
        <v>0.2440820637164956</v>
      </c>
      <c r="J3461" t="n">
        <v>0.06876714623777511</v>
      </c>
      <c r="K3461" t="n">
        <v>0.4222989770058343</v>
      </c>
      <c r="L3461" t="b">
        <v>0</v>
      </c>
      <c r="M3461" t="b">
        <v>0</v>
      </c>
      <c r="N3461" t="inlineStr">
        <is>
          <t>alt</t>
        </is>
      </c>
      <c r="O3461" t="n">
        <v>100</v>
      </c>
      <c r="P3461" t="n">
        <v>0.00617</v>
      </c>
      <c r="Q3461" t="n">
        <v>50</v>
      </c>
      <c r="R3461" t="n">
        <v>0.02759</v>
      </c>
      <c r="S3461">
        <f>IMAGE("https://mitra.stanford.edu/kundaje/oak/projects/neuro-variants/variant_position/credible/roussos_2024/variant_figures/roussos_2024.childhood.GABA/rs2199123_count_position.png",4,220,900)</f>
        <v/>
      </c>
      <c r="T3461">
        <f>IMAGE("https://mitra.stanford.edu/kundaje/oak/projects/neuro-variants/variant_position/credible/roussos_2024/variant_figures/roussos_2024.childhood.GABA/rs2199123_profile_position.png",4,220,900)</f>
        <v/>
      </c>
    </row>
    <row r="3462">
      <c r="A3462" t="inlineStr">
        <is>
          <t>chr5</t>
        </is>
      </c>
      <c r="B3462" t="n">
        <v>153274919</v>
      </c>
      <c r="C3462" t="inlineStr">
        <is>
          <t>C</t>
        </is>
      </c>
      <c r="D3462" t="inlineStr">
        <is>
          <t>T</t>
        </is>
      </c>
      <c r="E3462" t="inlineStr">
        <is>
          <t>rs17504622</t>
        </is>
      </c>
      <c r="F3462" t="n">
        <v>-0.04206735754</v>
      </c>
      <c r="G3462" t="n">
        <v>0.1979609345875509</v>
      </c>
      <c r="H3462" t="n">
        <v>0.0135935560877504</v>
      </c>
      <c r="I3462" t="n">
        <v>0.3018412147909844</v>
      </c>
      <c r="J3462" t="n">
        <v>0.06445310045862911</v>
      </c>
      <c r="K3462" t="n">
        <v>0.4377095746676616</v>
      </c>
      <c r="L3462" t="b">
        <v>0</v>
      </c>
      <c r="M3462" t="b">
        <v>0</v>
      </c>
      <c r="N3462" t="inlineStr">
        <is>
          <t>ref</t>
        </is>
      </c>
      <c r="O3462" t="n">
        <v>-95</v>
      </c>
      <c r="P3462" t="n">
        <v>0.003937</v>
      </c>
      <c r="Q3462" t="n">
        <v>-75</v>
      </c>
      <c r="R3462" t="n">
        <v>0.03503</v>
      </c>
      <c r="S3462">
        <f>IMAGE("https://mitra.stanford.edu/kundaje/oak/projects/neuro-variants/variant_position/credible/roussos_2024/variant_figures/roussos_2024.childhood.GABA/rs17504622_count_position.png",4,220,900)</f>
        <v/>
      </c>
      <c r="T3462">
        <f>IMAGE("https://mitra.stanford.edu/kundaje/oak/projects/neuro-variants/variant_position/credible/roussos_2024/variant_figures/roussos_2024.childhood.GABA/rs17504622_profile_position.png",4,220,900)</f>
        <v/>
      </c>
    </row>
    <row r="3463">
      <c r="A3463" t="inlineStr">
        <is>
          <t>chr5</t>
        </is>
      </c>
      <c r="B3463" t="n">
        <v>153305895</v>
      </c>
      <c r="C3463" t="inlineStr">
        <is>
          <t>C</t>
        </is>
      </c>
      <c r="D3463" t="inlineStr">
        <is>
          <t>T</t>
        </is>
      </c>
      <c r="E3463" t="inlineStr">
        <is>
          <t>rs308267</t>
        </is>
      </c>
      <c r="F3463" t="n">
        <v>0.0206666543759999</v>
      </c>
      <c r="G3463" t="n">
        <v>0.421963987846723</v>
      </c>
      <c r="H3463" t="n">
        <v>0.0140502136308304</v>
      </c>
      <c r="I3463" t="n">
        <v>0.2780433904769313</v>
      </c>
      <c r="J3463" t="n">
        <v>0.206883625473812</v>
      </c>
      <c r="K3463" t="n">
        <v>0.2141947594176804</v>
      </c>
      <c r="L3463" t="b">
        <v>0</v>
      </c>
      <c r="M3463" t="b">
        <v>0</v>
      </c>
      <c r="N3463" t="inlineStr">
        <is>
          <t>alt</t>
        </is>
      </c>
      <c r="O3463" t="n">
        <v>-60</v>
      </c>
      <c r="P3463" t="n">
        <v>0.01085</v>
      </c>
      <c r="Q3463" t="n">
        <v>-50</v>
      </c>
      <c r="R3463" t="n">
        <v>0.1065</v>
      </c>
      <c r="S3463">
        <f>IMAGE("https://mitra.stanford.edu/kundaje/oak/projects/neuro-variants/variant_position/credible/roussos_2024/variant_figures/roussos_2024.childhood.GABA/rs308267_count_position.png",4,220,900)</f>
        <v/>
      </c>
      <c r="T3463">
        <f>IMAGE("https://mitra.stanford.edu/kundaje/oak/projects/neuro-variants/variant_position/credible/roussos_2024/variant_figures/roussos_2024.childhood.GABA/rs308267_profile_position.png",4,220,900)</f>
        <v/>
      </c>
    </row>
    <row r="3464">
      <c r="A3464" t="inlineStr">
        <is>
          <t>chr5</t>
        </is>
      </c>
      <c r="B3464" t="n">
        <v>153320574</v>
      </c>
      <c r="C3464" t="inlineStr">
        <is>
          <t>A</t>
        </is>
      </c>
      <c r="D3464" t="inlineStr">
        <is>
          <t>G</t>
        </is>
      </c>
      <c r="E3464" t="inlineStr">
        <is>
          <t>rs2609671</t>
        </is>
      </c>
      <c r="F3464" t="n">
        <v>0.0438361119999999</v>
      </c>
      <c r="G3464" t="n">
        <v>0.1741538258121</v>
      </c>
      <c r="H3464" t="n">
        <v>0.0158383083038401</v>
      </c>
      <c r="I3464" t="n">
        <v>0.1869487861892016</v>
      </c>
      <c r="J3464" t="n">
        <v>0.0436514418546208</v>
      </c>
      <c r="K3464" t="n">
        <v>0.5184523171193876</v>
      </c>
      <c r="L3464" t="b">
        <v>0</v>
      </c>
      <c r="M3464" t="b">
        <v>0</v>
      </c>
      <c r="N3464" t="inlineStr">
        <is>
          <t>alt</t>
        </is>
      </c>
      <c r="O3464" t="n">
        <v>0</v>
      </c>
      <c r="P3464" t="n">
        <v>0</v>
      </c>
      <c r="Q3464" t="n">
        <v>-35</v>
      </c>
      <c r="R3464" t="n">
        <v>0.03067</v>
      </c>
      <c r="S3464">
        <f>IMAGE("https://mitra.stanford.edu/kundaje/oak/projects/neuro-variants/variant_position/credible/roussos_2024/variant_figures/roussos_2024.childhood.GABA/rs2609671_count_position.png",4,220,900)</f>
        <v/>
      </c>
      <c r="T3464">
        <f>IMAGE("https://mitra.stanford.edu/kundaje/oak/projects/neuro-variants/variant_position/credible/roussos_2024/variant_figures/roussos_2024.childhood.GABA/rs2609671_profile_position.png",4,220,900)</f>
        <v/>
      </c>
    </row>
    <row r="3465">
      <c r="A3465" t="inlineStr">
        <is>
          <t>chr5</t>
        </is>
      </c>
      <c r="B3465" t="n">
        <v>153325578</v>
      </c>
      <c r="C3465" t="inlineStr">
        <is>
          <t>T</t>
        </is>
      </c>
      <c r="D3465" t="inlineStr">
        <is>
          <t>C</t>
        </is>
      </c>
      <c r="E3465" t="inlineStr">
        <is>
          <t>rs300325</t>
        </is>
      </c>
      <c r="F3465" t="n">
        <v>0.0351506888</v>
      </c>
      <c r="G3465" t="n">
        <v>0.2397010831658622</v>
      </c>
      <c r="H3465" t="n">
        <v>0.0094168301516009</v>
      </c>
      <c r="I3465" t="n">
        <v>0.6926659646532281</v>
      </c>
      <c r="J3465" t="n">
        <v>0.3061642688111243</v>
      </c>
      <c r="K3465" t="n">
        <v>0.1337947580008732</v>
      </c>
      <c r="L3465" t="b">
        <v>0</v>
      </c>
      <c r="M3465" t="b">
        <v>0</v>
      </c>
      <c r="N3465" t="inlineStr">
        <is>
          <t>alt</t>
        </is>
      </c>
      <c r="O3465" t="n">
        <v>-100</v>
      </c>
      <c r="P3465" t="n">
        <v>0.003296</v>
      </c>
      <c r="Q3465" t="n">
        <v>50</v>
      </c>
      <c r="R3465" t="n">
        <v>0.1089</v>
      </c>
      <c r="S3465">
        <f>IMAGE("https://mitra.stanford.edu/kundaje/oak/projects/neuro-variants/variant_position/credible/roussos_2024/variant_figures/roussos_2024.childhood.GABA/rs300325_count_position.png",4,220,900)</f>
        <v/>
      </c>
      <c r="T3465">
        <f>IMAGE("https://mitra.stanford.edu/kundaje/oak/projects/neuro-variants/variant_position/credible/roussos_2024/variant_figures/roussos_2024.childhood.GABA/rs300325_profile_position.png",4,220,900)</f>
        <v/>
      </c>
    </row>
    <row r="3466">
      <c r="A3466" t="inlineStr">
        <is>
          <t>chr5</t>
        </is>
      </c>
      <c r="B3466" t="n">
        <v>153335525</v>
      </c>
      <c r="C3466" t="inlineStr">
        <is>
          <t>C</t>
        </is>
      </c>
      <c r="D3466" t="inlineStr">
        <is>
          <t>T</t>
        </is>
      </c>
      <c r="E3466" t="inlineStr">
        <is>
          <t>rs2617267</t>
        </is>
      </c>
      <c r="F3466" t="n">
        <v>-0.0397149191999999</v>
      </c>
      <c r="G3466" t="n">
        <v>0.2184953163979231</v>
      </c>
      <c r="H3466" t="n">
        <v>0.0107298031910614</v>
      </c>
      <c r="I3466" t="n">
        <v>0.5653698101062052</v>
      </c>
      <c r="J3466" t="n">
        <v>0.08056480492555119</v>
      </c>
      <c r="K3466" t="n">
        <v>0.3978739523778573</v>
      </c>
      <c r="L3466" t="b">
        <v>0</v>
      </c>
      <c r="M3466" t="b">
        <v>0</v>
      </c>
      <c r="N3466" t="inlineStr">
        <is>
          <t>ref</t>
        </is>
      </c>
      <c r="O3466" t="n">
        <v>50</v>
      </c>
      <c r="P3466" t="n">
        <v>0.004192</v>
      </c>
      <c r="Q3466" t="n">
        <v>100</v>
      </c>
      <c r="R3466" t="n">
        <v>0.0859</v>
      </c>
      <c r="S3466">
        <f>IMAGE("https://mitra.stanford.edu/kundaje/oak/projects/neuro-variants/variant_position/credible/roussos_2024/variant_figures/roussos_2024.childhood.GABA/rs2617267_count_position.png",4,220,900)</f>
        <v/>
      </c>
      <c r="T3466">
        <f>IMAGE("https://mitra.stanford.edu/kundaje/oak/projects/neuro-variants/variant_position/credible/roussos_2024/variant_figures/roussos_2024.childhood.GABA/rs2617267_profile_position.png",4,220,900)</f>
        <v/>
      </c>
    </row>
    <row r="3467">
      <c r="A3467" t="inlineStr">
        <is>
          <t>chr5</t>
        </is>
      </c>
      <c r="B3467" t="n">
        <v>153335769</v>
      </c>
      <c r="C3467" t="inlineStr">
        <is>
          <t>T</t>
        </is>
      </c>
      <c r="D3467" t="inlineStr">
        <is>
          <t>C</t>
        </is>
      </c>
      <c r="E3467" t="inlineStr">
        <is>
          <t>rs2964819</t>
        </is>
      </c>
      <c r="F3467" t="n">
        <v>0.113026816</v>
      </c>
      <c r="G3467" t="n">
        <v>0.0302752990556826</v>
      </c>
      <c r="H3467" t="n">
        <v>0.0174821391079358</v>
      </c>
      <c r="I3467" t="n">
        <v>0.1318357319960972</v>
      </c>
      <c r="J3467" t="n">
        <v>0.1270329417184979</v>
      </c>
      <c r="K3467" t="n">
        <v>0.3056499524906018</v>
      </c>
      <c r="L3467" t="b">
        <v>0</v>
      </c>
      <c r="M3467" t="b">
        <v>0</v>
      </c>
      <c r="N3467" t="inlineStr">
        <is>
          <t>alt</t>
        </is>
      </c>
      <c r="O3467" t="n">
        <v>-20</v>
      </c>
      <c r="P3467" t="n">
        <v>0.003696</v>
      </c>
      <c r="Q3467" t="n">
        <v>-85</v>
      </c>
      <c r="R3467" t="n">
        <v>0.02344</v>
      </c>
      <c r="S3467">
        <f>IMAGE("https://mitra.stanford.edu/kundaje/oak/projects/neuro-variants/variant_position/credible/roussos_2024/variant_figures/roussos_2024.childhood.GABA/rs2964819_count_position.png",4,220,900)</f>
        <v/>
      </c>
      <c r="T3467">
        <f>IMAGE("https://mitra.stanford.edu/kundaje/oak/projects/neuro-variants/variant_position/credible/roussos_2024/variant_figures/roussos_2024.childhood.GABA/rs2964819_profile_position.png",4,220,900)</f>
        <v/>
      </c>
    </row>
    <row r="3468">
      <c r="A3468" t="inlineStr">
        <is>
          <t>chr5</t>
        </is>
      </c>
      <c r="B3468" t="n">
        <v>153335978</v>
      </c>
      <c r="C3468" t="inlineStr">
        <is>
          <t>A</t>
        </is>
      </c>
      <c r="D3468" t="inlineStr">
        <is>
          <t>C</t>
        </is>
      </c>
      <c r="E3468" t="inlineStr">
        <is>
          <t>rs2560245</t>
        </is>
      </c>
      <c r="F3468" t="n">
        <v>0.06756429999999999</v>
      </c>
      <c r="G3468" t="n">
        <v>0.08632228955170509</v>
      </c>
      <c r="H3468" t="n">
        <v>0.0217281467147576</v>
      </c>
      <c r="I3468" t="n">
        <v>0.0555110685152628</v>
      </c>
      <c r="J3468" t="n">
        <v>0.1062176708341186</v>
      </c>
      <c r="K3468" t="n">
        <v>0.336216197582169</v>
      </c>
      <c r="L3468" t="b">
        <v>0</v>
      </c>
      <c r="M3468" t="b">
        <v>0</v>
      </c>
      <c r="N3468" t="inlineStr">
        <is>
          <t>alt</t>
        </is>
      </c>
      <c r="O3468" t="n">
        <v>-95</v>
      </c>
      <c r="P3468" t="n">
        <v>0.004295</v>
      </c>
      <c r="Q3468" t="n">
        <v>-35</v>
      </c>
      <c r="R3468" t="n">
        <v>0.04114</v>
      </c>
      <c r="S3468">
        <f>IMAGE("https://mitra.stanford.edu/kundaje/oak/projects/neuro-variants/variant_position/credible/roussos_2024/variant_figures/roussos_2024.childhood.GABA/rs2560245_count_position.png",4,220,900)</f>
        <v/>
      </c>
      <c r="T3468">
        <f>IMAGE("https://mitra.stanford.edu/kundaje/oak/projects/neuro-variants/variant_position/credible/roussos_2024/variant_figures/roussos_2024.childhood.GABA/rs2560245_profile_position.png",4,220,900)</f>
        <v/>
      </c>
    </row>
    <row r="3469">
      <c r="A3469" t="inlineStr">
        <is>
          <t>chr5</t>
        </is>
      </c>
      <c r="B3469" t="n">
        <v>153336647</v>
      </c>
      <c r="C3469" t="inlineStr">
        <is>
          <t>T</t>
        </is>
      </c>
      <c r="D3469" t="inlineStr">
        <is>
          <t>G</t>
        </is>
      </c>
      <c r="E3469" t="inlineStr">
        <is>
          <t>rs2446429</t>
        </is>
      </c>
      <c r="F3469" t="n">
        <v>0.0488010038</v>
      </c>
      <c r="G3469" t="n">
        <v>0.1468838142179997</v>
      </c>
      <c r="H3469" t="n">
        <v>0.0119777218498085</v>
      </c>
      <c r="I3469" t="n">
        <v>0.435732604236185</v>
      </c>
      <c r="J3469" t="n">
        <v>0.0556333898766517</v>
      </c>
      <c r="K3469" t="n">
        <v>0.4677991371395091</v>
      </c>
      <c r="L3469" t="b">
        <v>0</v>
      </c>
      <c r="M3469" t="b">
        <v>0</v>
      </c>
      <c r="N3469" t="inlineStr">
        <is>
          <t>alt</t>
        </is>
      </c>
      <c r="O3469" t="n">
        <v>-15</v>
      </c>
      <c r="P3469" t="n">
        <v>0.00269</v>
      </c>
      <c r="Q3469" t="n">
        <v>-80</v>
      </c>
      <c r="R3469" t="n">
        <v>0.0514</v>
      </c>
      <c r="S3469">
        <f>IMAGE("https://mitra.stanford.edu/kundaje/oak/projects/neuro-variants/variant_position/credible/roussos_2024/variant_figures/roussos_2024.childhood.GABA/rs2446429_count_position.png",4,220,900)</f>
        <v/>
      </c>
      <c r="T3469">
        <f>IMAGE("https://mitra.stanford.edu/kundaje/oak/projects/neuro-variants/variant_position/credible/roussos_2024/variant_figures/roussos_2024.childhood.GABA/rs2446429_profile_position.png",4,220,900)</f>
        <v/>
      </c>
    </row>
    <row r="3470">
      <c r="A3470" t="inlineStr">
        <is>
          <t>chr5</t>
        </is>
      </c>
      <c r="B3470" t="n">
        <v>153336750</v>
      </c>
      <c r="C3470" t="inlineStr">
        <is>
          <t>T</t>
        </is>
      </c>
      <c r="D3470" t="inlineStr">
        <is>
          <t>A</t>
        </is>
      </c>
      <c r="E3470" t="inlineStr">
        <is>
          <t>rs2560247</t>
        </is>
      </c>
      <c r="F3470" t="n">
        <v>-0.00350910412</v>
      </c>
      <c r="G3470" t="n">
        <v>0.5470414085008465</v>
      </c>
      <c r="H3470" t="n">
        <v>0.0105857430290974</v>
      </c>
      <c r="I3470" t="n">
        <v>0.5581430118334317</v>
      </c>
      <c r="J3470" t="n">
        <v>0.0438503905677367</v>
      </c>
      <c r="K3470" t="n">
        <v>0.5131913037675861</v>
      </c>
      <c r="L3470" t="b">
        <v>0</v>
      </c>
      <c r="M3470" t="b">
        <v>0</v>
      </c>
      <c r="N3470" t="inlineStr">
        <is>
          <t>ref</t>
        </is>
      </c>
      <c r="O3470" t="n">
        <v>-100</v>
      </c>
      <c r="P3470" t="n">
        <v>0.00936</v>
      </c>
      <c r="Q3470" t="n">
        <v>35</v>
      </c>
      <c r="R3470" t="n">
        <v>0.04755</v>
      </c>
      <c r="S3470">
        <f>IMAGE("https://mitra.stanford.edu/kundaje/oak/projects/neuro-variants/variant_position/credible/roussos_2024/variant_figures/roussos_2024.childhood.GABA/rs2560247_count_position.png",4,220,900)</f>
        <v/>
      </c>
      <c r="T3470">
        <f>IMAGE("https://mitra.stanford.edu/kundaje/oak/projects/neuro-variants/variant_position/credible/roussos_2024/variant_figures/roussos_2024.childhood.GABA/rs2560247_profile_position.png",4,220,900)</f>
        <v/>
      </c>
    </row>
    <row r="3471">
      <c r="A3471" t="inlineStr">
        <is>
          <t>chr5</t>
        </is>
      </c>
      <c r="B3471" t="n">
        <v>153337784</v>
      </c>
      <c r="C3471" t="inlineStr">
        <is>
          <t>T</t>
        </is>
      </c>
      <c r="D3471" t="inlineStr">
        <is>
          <t>C</t>
        </is>
      </c>
      <c r="E3471" t="inlineStr">
        <is>
          <t>rs170027</t>
        </is>
      </c>
      <c r="F3471" t="n">
        <v>-0.0352799493999999</v>
      </c>
      <c r="G3471" t="n">
        <v>0.2615393923543949</v>
      </c>
      <c r="H3471" t="n">
        <v>0.0193584656958083</v>
      </c>
      <c r="I3471" t="n">
        <v>0.0849287332773636</v>
      </c>
      <c r="J3471" t="n">
        <v>0.0016868756675252</v>
      </c>
      <c r="K3471" t="n">
        <v>0.8890420183882143</v>
      </c>
      <c r="L3471" t="b">
        <v>0</v>
      </c>
      <c r="M3471" t="b">
        <v>0</v>
      </c>
      <c r="N3471" t="inlineStr">
        <is>
          <t>ref</t>
        </is>
      </c>
      <c r="O3471" t="n">
        <v>-50</v>
      </c>
      <c r="P3471" t="n">
        <v>0.003626</v>
      </c>
      <c r="Q3471" t="n">
        <v>-55</v>
      </c>
      <c r="R3471" t="n">
        <v>0.1087</v>
      </c>
      <c r="S3471">
        <f>IMAGE("https://mitra.stanford.edu/kundaje/oak/projects/neuro-variants/variant_position/credible/roussos_2024/variant_figures/roussos_2024.childhood.GABA/rs170027_count_position.png",4,220,900)</f>
        <v/>
      </c>
      <c r="T3471">
        <f>IMAGE("https://mitra.stanford.edu/kundaje/oak/projects/neuro-variants/variant_position/credible/roussos_2024/variant_figures/roussos_2024.childhood.GABA/rs170027_profile_position.png",4,220,900)</f>
        <v/>
      </c>
    </row>
    <row r="3472">
      <c r="A3472" t="inlineStr">
        <is>
          <t>chr5</t>
        </is>
      </c>
      <c r="B3472" t="n">
        <v>153338784</v>
      </c>
      <c r="C3472" t="inlineStr">
        <is>
          <t>A</t>
        </is>
      </c>
      <c r="D3472" t="inlineStr">
        <is>
          <t>G</t>
        </is>
      </c>
      <c r="E3472" t="inlineStr">
        <is>
          <t>rs304859</t>
        </is>
      </c>
      <c r="F3472" t="n">
        <v>-0.8785224119999999</v>
      </c>
      <c r="G3472" t="n">
        <v>2.34208412667155e-05</v>
      </c>
      <c r="H3472" t="n">
        <v>0.1935420897117474</v>
      </c>
      <c r="I3472" t="n">
        <v>2.309028589974417e-05</v>
      </c>
      <c r="J3472" t="n">
        <v>0.2269973403698351</v>
      </c>
      <c r="K3472" t="n">
        <v>0.1915982313150444</v>
      </c>
      <c r="L3472" t="b">
        <v>1</v>
      </c>
      <c r="M3472" t="b">
        <v>1</v>
      </c>
      <c r="N3472" t="inlineStr">
        <is>
          <t>ref</t>
        </is>
      </c>
      <c r="O3472" t="n">
        <v>100</v>
      </c>
      <c r="P3472" t="n">
        <v>0.00928</v>
      </c>
      <c r="Q3472" t="n">
        <v>100</v>
      </c>
      <c r="R3472" t="n">
        <v>0.1821</v>
      </c>
      <c r="S3472">
        <f>IMAGE("https://mitra.stanford.edu/kundaje/oak/projects/neuro-variants/variant_position/credible/roussos_2024/variant_figures/roussos_2024.childhood.GABA/rs304859_count_position.png",4,220,900)</f>
        <v/>
      </c>
      <c r="T3472">
        <f>IMAGE("https://mitra.stanford.edu/kundaje/oak/projects/neuro-variants/variant_position/credible/roussos_2024/variant_figures/roussos_2024.childhood.GABA/rs304859_profile_position.png",4,220,900)</f>
        <v/>
      </c>
    </row>
    <row r="3473">
      <c r="A3473" t="inlineStr">
        <is>
          <t>chr5</t>
        </is>
      </c>
      <c r="B3473" t="n">
        <v>153340362</v>
      </c>
      <c r="C3473" t="inlineStr">
        <is>
          <t>C</t>
        </is>
      </c>
      <c r="D3473" t="inlineStr">
        <is>
          <t>T</t>
        </is>
      </c>
      <c r="E3473" t="inlineStr">
        <is>
          <t>rs35407853</t>
        </is>
      </c>
      <c r="F3473" t="n">
        <v>-0.0924227661999999</v>
      </c>
      <c r="G3473" t="n">
        <v>0.0372965815596099</v>
      </c>
      <c r="H3473" t="n">
        <v>0.0138854719978648</v>
      </c>
      <c r="I3473" t="n">
        <v>0.289973991886244</v>
      </c>
      <c r="J3473" t="n">
        <v>0.2307648007371573</v>
      </c>
      <c r="K3473" t="n">
        <v>0.1809352306083261</v>
      </c>
      <c r="L3473" t="b">
        <v>0</v>
      </c>
      <c r="M3473" t="b">
        <v>0</v>
      </c>
      <c r="N3473" t="inlineStr">
        <is>
          <t>ref</t>
        </is>
      </c>
      <c r="O3473" t="n">
        <v>-5</v>
      </c>
      <c r="P3473" t="n">
        <v>0.00029</v>
      </c>
      <c r="Q3473" t="n">
        <v>60</v>
      </c>
      <c r="R3473" t="n">
        <v>0.0703</v>
      </c>
      <c r="S3473">
        <f>IMAGE("https://mitra.stanford.edu/kundaje/oak/projects/neuro-variants/variant_position/credible/roussos_2024/variant_figures/roussos_2024.childhood.GABA/rs35407853_count_position.png",4,220,900)</f>
        <v/>
      </c>
      <c r="T3473">
        <f>IMAGE("https://mitra.stanford.edu/kundaje/oak/projects/neuro-variants/variant_position/credible/roussos_2024/variant_figures/roussos_2024.childhood.GABA/rs35407853_profile_position.png",4,220,900)</f>
        <v/>
      </c>
    </row>
    <row r="3474">
      <c r="A3474" t="inlineStr">
        <is>
          <t>chr5</t>
        </is>
      </c>
      <c r="B3474" t="n">
        <v>153340428</v>
      </c>
      <c r="C3474" t="inlineStr">
        <is>
          <t>T</t>
        </is>
      </c>
      <c r="D3474" t="inlineStr">
        <is>
          <t>C</t>
        </is>
      </c>
      <c r="E3474" t="inlineStr">
        <is>
          <t>rs304863</t>
        </is>
      </c>
      <c r="F3474" t="n">
        <v>0.07266574719999989</v>
      </c>
      <c r="G3474" t="n">
        <v>0.0643400887942982</v>
      </c>
      <c r="H3474" t="n">
        <v>0.0113742641342535</v>
      </c>
      <c r="I3474" t="n">
        <v>0.4866726790771055</v>
      </c>
      <c r="J3474" t="n">
        <v>0.2492670310569412</v>
      </c>
      <c r="K3474" t="n">
        <v>0.1663630823585042</v>
      </c>
      <c r="L3474" t="b">
        <v>0</v>
      </c>
      <c r="M3474" t="b">
        <v>0</v>
      </c>
      <c r="N3474" t="inlineStr">
        <is>
          <t>alt</t>
        </is>
      </c>
      <c r="O3474" t="n">
        <v>-95</v>
      </c>
      <c r="P3474" t="n">
        <v>0.00479</v>
      </c>
      <c r="Q3474" t="n">
        <v>-10</v>
      </c>
      <c r="R3474" t="n">
        <v>0.01416</v>
      </c>
      <c r="S3474">
        <f>IMAGE("https://mitra.stanford.edu/kundaje/oak/projects/neuro-variants/variant_position/credible/roussos_2024/variant_figures/roussos_2024.childhood.GABA/rs304863_count_position.png",4,220,900)</f>
        <v/>
      </c>
      <c r="T3474">
        <f>IMAGE("https://mitra.stanford.edu/kundaje/oak/projects/neuro-variants/variant_position/credible/roussos_2024/variant_figures/roussos_2024.childhood.GABA/rs304863_profile_position.png",4,220,900)</f>
        <v/>
      </c>
    </row>
    <row r="3475">
      <c r="A3475" t="inlineStr">
        <is>
          <t>chr5</t>
        </is>
      </c>
      <c r="B3475" t="n">
        <v>153341302</v>
      </c>
      <c r="C3475" t="inlineStr">
        <is>
          <t>T</t>
        </is>
      </c>
      <c r="D3475" t="inlineStr">
        <is>
          <t>C</t>
        </is>
      </c>
      <c r="E3475" t="inlineStr">
        <is>
          <t>rs304864</t>
        </is>
      </c>
      <c r="F3475" t="n">
        <v>0.00170825616</v>
      </c>
      <c r="G3475" t="n">
        <v>0.5692367958299787</v>
      </c>
      <c r="H3475" t="n">
        <v>0.0127825810816865</v>
      </c>
      <c r="I3475" t="n">
        <v>0.3667099410882409</v>
      </c>
      <c r="J3475" t="n">
        <v>0.0094469225775375</v>
      </c>
      <c r="K3475" t="n">
        <v>0.7526017878663019</v>
      </c>
      <c r="L3475" t="b">
        <v>0</v>
      </c>
      <c r="M3475" t="b">
        <v>0</v>
      </c>
      <c r="N3475" t="inlineStr">
        <is>
          <t>alt</t>
        </is>
      </c>
      <c r="O3475" t="n">
        <v>-90</v>
      </c>
      <c r="P3475" t="n">
        <v>0.03023</v>
      </c>
      <c r="Q3475" t="n">
        <v>85</v>
      </c>
      <c r="R3475" t="n">
        <v>0.06018</v>
      </c>
      <c r="S3475">
        <f>IMAGE("https://mitra.stanford.edu/kundaje/oak/projects/neuro-variants/variant_position/credible/roussos_2024/variant_figures/roussos_2024.childhood.GABA/rs304864_count_position.png",4,220,900)</f>
        <v/>
      </c>
      <c r="T3475">
        <f>IMAGE("https://mitra.stanford.edu/kundaje/oak/projects/neuro-variants/variant_position/credible/roussos_2024/variant_figures/roussos_2024.childhood.GABA/rs304864_profile_position.png",4,220,900)</f>
        <v/>
      </c>
    </row>
    <row r="3476">
      <c r="A3476" t="inlineStr">
        <is>
          <t>chr5</t>
        </is>
      </c>
      <c r="B3476" t="n">
        <v>153344984</v>
      </c>
      <c r="C3476" t="inlineStr">
        <is>
          <t>A</t>
        </is>
      </c>
      <c r="D3476" t="inlineStr">
        <is>
          <t>G</t>
        </is>
      </c>
      <c r="E3476" t="inlineStr">
        <is>
          <t>rs159759</t>
        </is>
      </c>
      <c r="F3476" t="n">
        <v>0.0625974404</v>
      </c>
      <c r="G3476" t="n">
        <v>0.0882281204601832</v>
      </c>
      <c r="H3476" t="n">
        <v>0.0210965679688382</v>
      </c>
      <c r="I3476" t="n">
        <v>0.0596093471931531</v>
      </c>
      <c r="J3476" t="n">
        <v>0.0103756989382421</v>
      </c>
      <c r="K3476" t="n">
        <v>0.742899440579994</v>
      </c>
      <c r="L3476" t="b">
        <v>0</v>
      </c>
      <c r="M3476" t="b">
        <v>0</v>
      </c>
      <c r="N3476" t="inlineStr">
        <is>
          <t>alt</t>
        </is>
      </c>
      <c r="O3476" t="n">
        <v>100</v>
      </c>
      <c r="P3476" t="n">
        <v>0.001216</v>
      </c>
      <c r="Q3476" t="n">
        <v>-60</v>
      </c>
      <c r="R3476" t="n">
        <v>0.03207</v>
      </c>
      <c r="S3476">
        <f>IMAGE("https://mitra.stanford.edu/kundaje/oak/projects/neuro-variants/variant_position/credible/roussos_2024/variant_figures/roussos_2024.childhood.GABA/rs159759_count_position.png",4,220,900)</f>
        <v/>
      </c>
      <c r="T3476">
        <f>IMAGE("https://mitra.stanford.edu/kundaje/oak/projects/neuro-variants/variant_position/credible/roussos_2024/variant_figures/roussos_2024.childhood.GABA/rs159759_profile_position.png",4,220,900)</f>
        <v/>
      </c>
    </row>
    <row r="3477">
      <c r="A3477" t="inlineStr">
        <is>
          <t>chr5</t>
        </is>
      </c>
      <c r="B3477" t="n">
        <v>153347798</v>
      </c>
      <c r="C3477" t="inlineStr">
        <is>
          <t>G</t>
        </is>
      </c>
      <c r="D3477" t="inlineStr">
        <is>
          <t>C</t>
        </is>
      </c>
      <c r="E3477" t="inlineStr">
        <is>
          <t>rs160066</t>
        </is>
      </c>
      <c r="F3477" t="n">
        <v>0.0064316039999999</v>
      </c>
      <c r="G3477" t="n">
        <v>0.3846687319121871</v>
      </c>
      <c r="H3477" t="n">
        <v>0.008541290071399</v>
      </c>
      <c r="I3477" t="n">
        <v>0.7975199737860326</v>
      </c>
      <c r="J3477" t="n">
        <v>0.008963163075118699</v>
      </c>
      <c r="K3477" t="n">
        <v>0.7551202287109808</v>
      </c>
      <c r="L3477" t="b">
        <v>0</v>
      </c>
      <c r="M3477" t="b">
        <v>0</v>
      </c>
      <c r="N3477" t="inlineStr">
        <is>
          <t>alt</t>
        </is>
      </c>
      <c r="O3477" t="n">
        <v>-65</v>
      </c>
      <c r="P3477" t="n">
        <v>0.01035</v>
      </c>
      <c r="Q3477" t="n">
        <v>-10</v>
      </c>
      <c r="R3477" t="n">
        <v>0.01367</v>
      </c>
      <c r="S3477">
        <f>IMAGE("https://mitra.stanford.edu/kundaje/oak/projects/neuro-variants/variant_position/credible/roussos_2024/variant_figures/roussos_2024.childhood.GABA/rs160066_count_position.png",4,220,900)</f>
        <v/>
      </c>
      <c r="T3477">
        <f>IMAGE("https://mitra.stanford.edu/kundaje/oak/projects/neuro-variants/variant_position/credible/roussos_2024/variant_figures/roussos_2024.childhood.GABA/rs160066_profile_position.png",4,220,900)</f>
        <v/>
      </c>
    </row>
    <row r="3478">
      <c r="A3478" t="inlineStr">
        <is>
          <t>chr5</t>
        </is>
      </c>
      <c r="B3478" t="n">
        <v>153347834</v>
      </c>
      <c r="C3478" t="inlineStr">
        <is>
          <t>G</t>
        </is>
      </c>
      <c r="D3478" t="inlineStr">
        <is>
          <t>C</t>
        </is>
      </c>
      <c r="E3478" t="inlineStr">
        <is>
          <t>rs150618</t>
        </is>
      </c>
      <c r="F3478" t="n">
        <v>0.0617933043999999</v>
      </c>
      <c r="G3478" t="n">
        <v>0.098750400431001</v>
      </c>
      <c r="H3478" t="n">
        <v>0.0149503342179669</v>
      </c>
      <c r="I3478" t="n">
        <v>0.2298265496123916</v>
      </c>
      <c r="J3478" t="n">
        <v>0.0115369311637452</v>
      </c>
      <c r="K3478" t="n">
        <v>0.7239959180537905</v>
      </c>
      <c r="L3478" t="b">
        <v>0</v>
      </c>
      <c r="M3478" t="b">
        <v>0</v>
      </c>
      <c r="N3478" t="inlineStr">
        <is>
          <t>alt</t>
        </is>
      </c>
      <c r="O3478" t="n">
        <v>70</v>
      </c>
      <c r="P3478" t="n">
        <v>0.00666</v>
      </c>
      <c r="Q3478" t="n">
        <v>-45</v>
      </c>
      <c r="R3478" t="n">
        <v>0.052</v>
      </c>
      <c r="S3478">
        <f>IMAGE("https://mitra.stanford.edu/kundaje/oak/projects/neuro-variants/variant_position/credible/roussos_2024/variant_figures/roussos_2024.childhood.GABA/rs150618_count_position.png",4,220,900)</f>
        <v/>
      </c>
      <c r="T3478">
        <f>IMAGE("https://mitra.stanford.edu/kundaje/oak/projects/neuro-variants/variant_position/credible/roussos_2024/variant_figures/roussos_2024.childhood.GABA/rs150618_profile_position.png",4,220,900)</f>
        <v/>
      </c>
    </row>
    <row r="3479">
      <c r="A3479" t="inlineStr">
        <is>
          <t>chr5</t>
        </is>
      </c>
      <c r="B3479" t="n">
        <v>153347885</v>
      </c>
      <c r="C3479" t="inlineStr">
        <is>
          <t>G</t>
        </is>
      </c>
      <c r="D3479" t="inlineStr">
        <is>
          <t>A</t>
        </is>
      </c>
      <c r="E3479" t="inlineStr">
        <is>
          <t>rs149095</t>
        </is>
      </c>
      <c r="F3479" t="n">
        <v>-0.00753992788</v>
      </c>
      <c r="G3479" t="n">
        <v>0.6140066930725131</v>
      </c>
      <c r="H3479" t="n">
        <v>0.0112739237300916</v>
      </c>
      <c r="I3479" t="n">
        <v>0.5124314880947827</v>
      </c>
      <c r="J3479" t="n">
        <v>0.008293020041465</v>
      </c>
      <c r="K3479" t="n">
        <v>0.7637235571617477</v>
      </c>
      <c r="L3479" t="b">
        <v>0</v>
      </c>
      <c r="M3479" t="b">
        <v>0</v>
      </c>
      <c r="N3479" t="inlineStr">
        <is>
          <t>ref</t>
        </is>
      </c>
      <c r="O3479" t="n">
        <v>20</v>
      </c>
      <c r="P3479" t="n">
        <v>0.0006943</v>
      </c>
      <c r="Q3479" t="n">
        <v>-95</v>
      </c>
      <c r="R3479" t="n">
        <v>0.1102</v>
      </c>
      <c r="S3479">
        <f>IMAGE("https://mitra.stanford.edu/kundaje/oak/projects/neuro-variants/variant_position/credible/roussos_2024/variant_figures/roussos_2024.childhood.GABA/rs149095_count_position.png",4,220,900)</f>
        <v/>
      </c>
      <c r="T3479">
        <f>IMAGE("https://mitra.stanford.edu/kundaje/oak/projects/neuro-variants/variant_position/credible/roussos_2024/variant_figures/roussos_2024.childhood.GABA/rs149095_profile_position.png",4,220,900)</f>
        <v/>
      </c>
    </row>
    <row r="3480">
      <c r="A3480" t="inlineStr">
        <is>
          <t>chr5</t>
        </is>
      </c>
      <c r="B3480" t="n">
        <v>153352846</v>
      </c>
      <c r="C3480" t="inlineStr">
        <is>
          <t>G</t>
        </is>
      </c>
      <c r="D3480" t="inlineStr">
        <is>
          <t>A</t>
        </is>
      </c>
      <c r="E3480" t="inlineStr">
        <is>
          <t>rs159972</t>
        </is>
      </c>
      <c r="F3480" t="n">
        <v>0.0278967002</v>
      </c>
      <c r="G3480" t="n">
        <v>0.3028353368362573</v>
      </c>
      <c r="H3480" t="n">
        <v>0.0191184444992484</v>
      </c>
      <c r="I3480" t="n">
        <v>0.09295513619697</v>
      </c>
      <c r="J3480" t="n">
        <v>0.217419530481037</v>
      </c>
      <c r="K3480" t="n">
        <v>0.2030604312877343</v>
      </c>
      <c r="L3480" t="b">
        <v>0</v>
      </c>
      <c r="M3480" t="b">
        <v>0</v>
      </c>
      <c r="N3480" t="inlineStr">
        <is>
          <t>alt</t>
        </is>
      </c>
      <c r="O3480" t="n">
        <v>95</v>
      </c>
      <c r="P3480" t="n">
        <v>0.003963</v>
      </c>
      <c r="Q3480" t="n">
        <v>-100</v>
      </c>
      <c r="R3480" t="n">
        <v>0.06128</v>
      </c>
      <c r="S3480">
        <f>IMAGE("https://mitra.stanford.edu/kundaje/oak/projects/neuro-variants/variant_position/credible/roussos_2024/variant_figures/roussos_2024.childhood.GABA/rs159972_count_position.png",4,220,900)</f>
        <v/>
      </c>
      <c r="T3480">
        <f>IMAGE("https://mitra.stanford.edu/kundaje/oak/projects/neuro-variants/variant_position/credible/roussos_2024/variant_figures/roussos_2024.childhood.GABA/rs159972_profile_position.png",4,220,900)</f>
        <v/>
      </c>
    </row>
    <row r="3481">
      <c r="A3481" t="inlineStr">
        <is>
          <t>chr5</t>
        </is>
      </c>
      <c r="B3481" t="n">
        <v>153353281</v>
      </c>
      <c r="C3481" t="inlineStr">
        <is>
          <t>A</t>
        </is>
      </c>
      <c r="D3481" t="inlineStr">
        <is>
          <t>C</t>
        </is>
      </c>
      <c r="E3481" t="inlineStr">
        <is>
          <t>rs159973</t>
        </is>
      </c>
      <c r="F3481" t="n">
        <v>0.0354322675</v>
      </c>
      <c r="G3481" t="n">
        <v>0.2369004287758116</v>
      </c>
      <c r="H3481" t="n">
        <v>0.009663147238545101</v>
      </c>
      <c r="I3481" t="n">
        <v>0.6599449133928322</v>
      </c>
      <c r="J3481" t="n">
        <v>0.1348296370756632</v>
      </c>
      <c r="K3481" t="n">
        <v>0.3031496877381975</v>
      </c>
      <c r="L3481" t="b">
        <v>0</v>
      </c>
      <c r="M3481" t="b">
        <v>0</v>
      </c>
      <c r="N3481" t="inlineStr">
        <is>
          <t>alt</t>
        </is>
      </c>
      <c r="O3481" t="n">
        <v>-100</v>
      </c>
      <c r="P3481" t="n">
        <v>0.00976</v>
      </c>
      <c r="Q3481" t="n">
        <v>-60</v>
      </c>
      <c r="R3481" t="n">
        <v>0.1411</v>
      </c>
      <c r="S3481">
        <f>IMAGE("https://mitra.stanford.edu/kundaje/oak/projects/neuro-variants/variant_position/credible/roussos_2024/variant_figures/roussos_2024.childhood.GABA/rs159973_count_position.png",4,220,900)</f>
        <v/>
      </c>
      <c r="T3481">
        <f>IMAGE("https://mitra.stanford.edu/kundaje/oak/projects/neuro-variants/variant_position/credible/roussos_2024/variant_figures/roussos_2024.childhood.GABA/rs159973_profile_position.png",4,220,900)</f>
        <v/>
      </c>
    </row>
    <row r="3482">
      <c r="A3482" t="inlineStr">
        <is>
          <t>chr5</t>
        </is>
      </c>
      <c r="B3482" t="n">
        <v>153368956</v>
      </c>
      <c r="C3482" t="inlineStr">
        <is>
          <t>C</t>
        </is>
      </c>
      <c r="D3482" t="inlineStr">
        <is>
          <t>T</t>
        </is>
      </c>
      <c r="E3482" t="inlineStr">
        <is>
          <t>rs304883</t>
        </is>
      </c>
      <c r="F3482" t="n">
        <v>0.0052043357999999</v>
      </c>
      <c r="G3482" t="n">
        <v>0.4691958240944306</v>
      </c>
      <c r="H3482" t="n">
        <v>0.0143498567163502</v>
      </c>
      <c r="I3482" t="n">
        <v>0.2673547368997608</v>
      </c>
      <c r="J3482" t="n">
        <v>0.0079150174865447</v>
      </c>
      <c r="K3482" t="n">
        <v>0.7647600764619996</v>
      </c>
      <c r="L3482" t="b">
        <v>0</v>
      </c>
      <c r="M3482" t="b">
        <v>0</v>
      </c>
      <c r="N3482" t="inlineStr">
        <is>
          <t>alt</t>
        </is>
      </c>
      <c r="O3482" t="n">
        <v>5</v>
      </c>
      <c r="P3482" t="n">
        <v>0.000286</v>
      </c>
      <c r="Q3482" t="n">
        <v>80</v>
      </c>
      <c r="R3482" t="n">
        <v>0.05957</v>
      </c>
      <c r="S3482">
        <f>IMAGE("https://mitra.stanford.edu/kundaje/oak/projects/neuro-variants/variant_position/credible/roussos_2024/variant_figures/roussos_2024.childhood.GABA/rs304883_count_position.png",4,220,900)</f>
        <v/>
      </c>
      <c r="T3482">
        <f>IMAGE("https://mitra.stanford.edu/kundaje/oak/projects/neuro-variants/variant_position/credible/roussos_2024/variant_figures/roussos_2024.childhood.GABA/rs304883_profile_position.png",4,220,900)</f>
        <v/>
      </c>
    </row>
    <row r="3483">
      <c r="A3483" t="inlineStr">
        <is>
          <t>chr5</t>
        </is>
      </c>
      <c r="B3483" t="n">
        <v>153369539</v>
      </c>
      <c r="C3483" t="inlineStr">
        <is>
          <t>G</t>
        </is>
      </c>
      <c r="D3483" t="inlineStr">
        <is>
          <t>A</t>
        </is>
      </c>
      <c r="E3483" t="inlineStr">
        <is>
          <t>rs304884</t>
        </is>
      </c>
      <c r="F3483" t="n">
        <v>-0.0480786794</v>
      </c>
      <c r="G3483" t="n">
        <v>0.1591695110981682</v>
      </c>
      <c r="H3483" t="n">
        <v>0.0144168520881448</v>
      </c>
      <c r="I3483" t="n">
        <v>0.2596017748357667</v>
      </c>
      <c r="J3483" t="n">
        <v>0.0071673891646247</v>
      </c>
      <c r="K3483" t="n">
        <v>0.7755656744653332</v>
      </c>
      <c r="L3483" t="b">
        <v>0</v>
      </c>
      <c r="M3483" t="b">
        <v>0</v>
      </c>
      <c r="N3483" t="inlineStr">
        <is>
          <t>ref</t>
        </is>
      </c>
      <c r="O3483" t="n">
        <v>-35</v>
      </c>
      <c r="P3483" t="n">
        <v>0.01062</v>
      </c>
      <c r="Q3483" t="n">
        <v>55</v>
      </c>
      <c r="R3483" t="n">
        <v>0.011475</v>
      </c>
      <c r="S3483">
        <f>IMAGE("https://mitra.stanford.edu/kundaje/oak/projects/neuro-variants/variant_position/credible/roussos_2024/variant_figures/roussos_2024.childhood.GABA/rs304884_count_position.png",4,220,900)</f>
        <v/>
      </c>
      <c r="T3483">
        <f>IMAGE("https://mitra.stanford.edu/kundaje/oak/projects/neuro-variants/variant_position/credible/roussos_2024/variant_figures/roussos_2024.childhood.GABA/rs304884_profile_position.png",4,220,900)</f>
        <v/>
      </c>
    </row>
    <row r="3484">
      <c r="A3484" t="inlineStr">
        <is>
          <t>chr5</t>
        </is>
      </c>
      <c r="B3484" t="n">
        <v>153378718</v>
      </c>
      <c r="C3484" t="inlineStr">
        <is>
          <t>T</t>
        </is>
      </c>
      <c r="D3484" t="inlineStr">
        <is>
          <t>C</t>
        </is>
      </c>
      <c r="E3484" t="inlineStr">
        <is>
          <t>rs304853</t>
        </is>
      </c>
      <c r="F3484" t="n">
        <v>0.0413763816</v>
      </c>
      <c r="G3484" t="n">
        <v>0.185122799948923</v>
      </c>
      <c r="H3484" t="n">
        <v>0.012830464511221</v>
      </c>
      <c r="I3484" t="n">
        <v>0.3604244847264025</v>
      </c>
      <c r="J3484" t="n">
        <v>0.0437770936734308</v>
      </c>
      <c r="K3484" t="n">
        <v>0.5271718528397867</v>
      </c>
      <c r="L3484" t="b">
        <v>0</v>
      </c>
      <c r="M3484" t="b">
        <v>0</v>
      </c>
      <c r="N3484" t="inlineStr">
        <is>
          <t>alt</t>
        </is>
      </c>
      <c r="O3484" t="n">
        <v>10</v>
      </c>
      <c r="P3484" t="n">
        <v>0.001865</v>
      </c>
      <c r="Q3484" t="n">
        <v>-90</v>
      </c>
      <c r="R3484" t="n">
        <v>0.06850000000000001</v>
      </c>
      <c r="S3484">
        <f>IMAGE("https://mitra.stanford.edu/kundaje/oak/projects/neuro-variants/variant_position/credible/roussos_2024/variant_figures/roussos_2024.childhood.GABA/rs304853_count_position.png",4,220,900)</f>
        <v/>
      </c>
      <c r="T3484">
        <f>IMAGE("https://mitra.stanford.edu/kundaje/oak/projects/neuro-variants/variant_position/credible/roussos_2024/variant_figures/roussos_2024.childhood.GABA/rs304853_profile_position.png",4,220,900)</f>
        <v/>
      </c>
    </row>
    <row r="3485">
      <c r="A3485" t="inlineStr">
        <is>
          <t>chr5</t>
        </is>
      </c>
      <c r="B3485" t="n">
        <v>153379453</v>
      </c>
      <c r="C3485" t="inlineStr">
        <is>
          <t>G</t>
        </is>
      </c>
      <c r="D3485" t="inlineStr">
        <is>
          <t>A</t>
        </is>
      </c>
      <c r="E3485" t="inlineStr">
        <is>
          <t>rs304855</t>
        </is>
      </c>
      <c r="F3485" t="n">
        <v>-0.204114678</v>
      </c>
      <c r="G3485" t="n">
        <v>0.0045425971622764</v>
      </c>
      <c r="H3485" t="n">
        <v>0.0188762759129584</v>
      </c>
      <c r="I3485" t="n">
        <v>0.09950922682011699</v>
      </c>
      <c r="J3485" t="n">
        <v>0.1269010073087474</v>
      </c>
      <c r="K3485" t="n">
        <v>0.305500981562231</v>
      </c>
      <c r="L3485" t="b">
        <v>1</v>
      </c>
      <c r="M3485" t="b">
        <v>1</v>
      </c>
      <c r="N3485" t="inlineStr">
        <is>
          <t>ref</t>
        </is>
      </c>
      <c r="O3485" t="n">
        <v>-60</v>
      </c>
      <c r="P3485" t="n">
        <v>0.002525</v>
      </c>
      <c r="Q3485" t="n">
        <v>5</v>
      </c>
      <c r="R3485" t="n">
        <v>0.001953</v>
      </c>
      <c r="S3485">
        <f>IMAGE("https://mitra.stanford.edu/kundaje/oak/projects/neuro-variants/variant_position/credible/roussos_2024/variant_figures/roussos_2024.childhood.GABA/rs304855_count_position.png",4,220,900)</f>
        <v/>
      </c>
      <c r="T3485">
        <f>IMAGE("https://mitra.stanford.edu/kundaje/oak/projects/neuro-variants/variant_position/credible/roussos_2024/variant_figures/roussos_2024.childhood.GABA/rs304855_profile_position.png",4,220,900)</f>
        <v/>
      </c>
    </row>
    <row r="3486">
      <c r="A3486" t="inlineStr">
        <is>
          <t>chr5</t>
        </is>
      </c>
      <c r="B3486" t="n">
        <v>153384330</v>
      </c>
      <c r="C3486" t="inlineStr">
        <is>
          <t>C</t>
        </is>
      </c>
      <c r="D3486" t="inlineStr">
        <is>
          <t>A</t>
        </is>
      </c>
      <c r="E3486" t="inlineStr">
        <is>
          <t>rs160161</t>
        </is>
      </c>
      <c r="F3486" t="n">
        <v>-0.0526757342</v>
      </c>
      <c r="G3486" t="n">
        <v>0.1363832432915613</v>
      </c>
      <c r="H3486" t="n">
        <v>0.0168073625057388</v>
      </c>
      <c r="I3486" t="n">
        <v>0.1551050640997035</v>
      </c>
      <c r="J3486" t="n">
        <v>0.0284402420891708</v>
      </c>
      <c r="K3486" t="n">
        <v>0.5961268336273458</v>
      </c>
      <c r="L3486" t="b">
        <v>0</v>
      </c>
      <c r="M3486" t="b">
        <v>0</v>
      </c>
      <c r="N3486" t="inlineStr">
        <is>
          <t>ref</t>
        </is>
      </c>
      <c r="O3486" t="n">
        <v>70</v>
      </c>
      <c r="P3486" t="n">
        <v>0.004295</v>
      </c>
      <c r="Q3486" t="n">
        <v>-25</v>
      </c>
      <c r="R3486" t="n">
        <v>0.07025000000000001</v>
      </c>
      <c r="S3486">
        <f>IMAGE("https://mitra.stanford.edu/kundaje/oak/projects/neuro-variants/variant_position/credible/roussos_2024/variant_figures/roussos_2024.childhood.GABA/rs160161_count_position.png",4,220,900)</f>
        <v/>
      </c>
      <c r="T3486">
        <f>IMAGE("https://mitra.stanford.edu/kundaje/oak/projects/neuro-variants/variant_position/credible/roussos_2024/variant_figures/roussos_2024.childhood.GABA/rs160161_profile_position.png",4,220,900)</f>
        <v/>
      </c>
    </row>
    <row r="3487">
      <c r="A3487" t="inlineStr">
        <is>
          <t>chr5</t>
        </is>
      </c>
      <c r="B3487" t="n">
        <v>153426785</v>
      </c>
      <c r="C3487" t="inlineStr">
        <is>
          <t>T</t>
        </is>
      </c>
      <c r="D3487" t="inlineStr">
        <is>
          <t>C</t>
        </is>
      </c>
      <c r="E3487" t="inlineStr">
        <is>
          <t>rs13172447</t>
        </is>
      </c>
      <c r="F3487" t="n">
        <v>0.00682934284</v>
      </c>
      <c r="G3487" t="n">
        <v>0.6944190875569607</v>
      </c>
      <c r="H3487" t="n">
        <v>0.0261789543523977</v>
      </c>
      <c r="I3487" t="n">
        <v>0.023773099749862</v>
      </c>
      <c r="J3487" t="n">
        <v>0.0667577642353039</v>
      </c>
      <c r="K3487" t="n">
        <v>0.4544302135643051</v>
      </c>
      <c r="L3487" t="b">
        <v>0</v>
      </c>
      <c r="M3487" t="b">
        <v>0</v>
      </c>
      <c r="N3487" t="inlineStr">
        <is>
          <t>alt</t>
        </is>
      </c>
      <c r="O3487" t="n">
        <v>-20</v>
      </c>
      <c r="P3487" t="n">
        <v>0.002394</v>
      </c>
      <c r="Q3487" t="n">
        <v>-50</v>
      </c>
      <c r="R3487" t="n">
        <v>0.07947</v>
      </c>
      <c r="S3487">
        <f>IMAGE("https://mitra.stanford.edu/kundaje/oak/projects/neuro-variants/variant_position/credible/roussos_2024/variant_figures/roussos_2024.childhood.GABA/rs13172447_count_position.png",4,220,900)</f>
        <v/>
      </c>
      <c r="T3487">
        <f>IMAGE("https://mitra.stanford.edu/kundaje/oak/projects/neuro-variants/variant_position/credible/roussos_2024/variant_figures/roussos_2024.childhood.GABA/rs13172447_profile_position.png",4,220,900)</f>
        <v/>
      </c>
    </row>
    <row r="3488">
      <c r="A3488" t="inlineStr">
        <is>
          <t>chr5</t>
        </is>
      </c>
      <c r="B3488" t="n">
        <v>153436929</v>
      </c>
      <c r="C3488" t="inlineStr">
        <is>
          <t>C</t>
        </is>
      </c>
      <c r="D3488" t="inlineStr">
        <is>
          <t>T</t>
        </is>
      </c>
      <c r="E3488" t="inlineStr">
        <is>
          <t>rs4246043</t>
        </is>
      </c>
      <c r="F3488" t="n">
        <v>-0.00820818792</v>
      </c>
      <c r="G3488" t="n">
        <v>0.6903884336876942</v>
      </c>
      <c r="H3488" t="n">
        <v>0.0104033681343267</v>
      </c>
      <c r="I3488" t="n">
        <v>0.5965376911153307</v>
      </c>
      <c r="J3488" t="n">
        <v>0.07046449289020119</v>
      </c>
      <c r="K3488" t="n">
        <v>0.4323327610041195</v>
      </c>
      <c r="L3488" t="b">
        <v>0</v>
      </c>
      <c r="M3488" t="b">
        <v>0</v>
      </c>
      <c r="N3488" t="inlineStr">
        <is>
          <t>ref</t>
        </is>
      </c>
      <c r="O3488" t="n">
        <v>35</v>
      </c>
      <c r="P3488" t="n">
        <v>0.002184</v>
      </c>
      <c r="Q3488" t="n">
        <v>100</v>
      </c>
      <c r="R3488" t="n">
        <v>0.09106</v>
      </c>
      <c r="S3488">
        <f>IMAGE("https://mitra.stanford.edu/kundaje/oak/projects/neuro-variants/variant_position/credible/roussos_2024/variant_figures/roussos_2024.childhood.GABA/rs4246043_count_position.png",4,220,900)</f>
        <v/>
      </c>
      <c r="T3488">
        <f>IMAGE("https://mitra.stanford.edu/kundaje/oak/projects/neuro-variants/variant_position/credible/roussos_2024/variant_figures/roussos_2024.childhood.GABA/rs4246043_profile_position.png",4,220,900)</f>
        <v/>
      </c>
    </row>
    <row r="3489">
      <c r="A3489" t="inlineStr">
        <is>
          <t>chr5</t>
        </is>
      </c>
      <c r="B3489" t="n">
        <v>153492525</v>
      </c>
      <c r="C3489" t="inlineStr">
        <is>
          <t>C</t>
        </is>
      </c>
      <c r="D3489" t="inlineStr">
        <is>
          <t>T</t>
        </is>
      </c>
      <c r="E3489" t="inlineStr">
        <is>
          <t>rs3811983</t>
        </is>
      </c>
      <c r="F3489" t="n">
        <v>0.002530416606</v>
      </c>
      <c r="G3489" t="n">
        <v>0.8465318664747651</v>
      </c>
      <c r="H3489" t="n">
        <v>0.0205024963530637</v>
      </c>
      <c r="I3489" t="n">
        <v>0.0685237881566422</v>
      </c>
      <c r="J3489" t="n">
        <v>0.0593076584783564</v>
      </c>
      <c r="K3489" t="n">
        <v>0.4632688044664323</v>
      </c>
      <c r="L3489" t="b">
        <v>0</v>
      </c>
      <c r="M3489" t="b">
        <v>0</v>
      </c>
      <c r="N3489" t="inlineStr">
        <is>
          <t>alt</t>
        </is>
      </c>
      <c r="O3489" t="n">
        <v>100</v>
      </c>
      <c r="P3489" t="n">
        <v>0.005417</v>
      </c>
      <c r="Q3489" t="n">
        <v>-90</v>
      </c>
      <c r="R3489" t="n">
        <v>0.1304</v>
      </c>
      <c r="S3489">
        <f>IMAGE("https://mitra.stanford.edu/kundaje/oak/projects/neuro-variants/variant_position/credible/roussos_2024/variant_figures/roussos_2024.childhood.GABA/rs3811983_count_position.png",4,220,900)</f>
        <v/>
      </c>
      <c r="T3489">
        <f>IMAGE("https://mitra.stanford.edu/kundaje/oak/projects/neuro-variants/variant_position/credible/roussos_2024/variant_figures/roussos_2024.childhood.GABA/rs3811983_profile_position.png",4,220,900)</f>
        <v/>
      </c>
    </row>
    <row r="3490">
      <c r="A3490" t="inlineStr">
        <is>
          <t>chr5</t>
        </is>
      </c>
      <c r="B3490" t="n">
        <v>153986878</v>
      </c>
      <c r="C3490" t="inlineStr">
        <is>
          <t>C</t>
        </is>
      </c>
      <c r="D3490" t="inlineStr">
        <is>
          <t>T</t>
        </is>
      </c>
      <c r="E3490" t="inlineStr">
        <is>
          <t>rs1347798</t>
        </is>
      </c>
      <c r="F3490" t="n">
        <v>0.0770888892</v>
      </c>
      <c r="G3490" t="n">
        <v>0.058891144584288</v>
      </c>
      <c r="H3490" t="n">
        <v>0.0153165509227847</v>
      </c>
      <c r="I3490" t="n">
        <v>0.2101311209238812</v>
      </c>
      <c r="J3490" t="n">
        <v>0.2685535381457979</v>
      </c>
      <c r="K3490" t="n">
        <v>0.1555042507613491</v>
      </c>
      <c r="L3490" t="b">
        <v>0</v>
      </c>
      <c r="M3490" t="b">
        <v>0</v>
      </c>
      <c r="N3490" t="inlineStr">
        <is>
          <t>alt</t>
        </is>
      </c>
      <c r="O3490" t="n">
        <v>-15</v>
      </c>
      <c r="P3490" t="n">
        <v>0.001221</v>
      </c>
      <c r="Q3490" t="n">
        <v>-10</v>
      </c>
      <c r="R3490" t="n">
        <v>0.004883</v>
      </c>
      <c r="S3490">
        <f>IMAGE("https://mitra.stanford.edu/kundaje/oak/projects/neuro-variants/variant_position/credible/roussos_2024/variant_figures/roussos_2024.childhood.GABA/rs1347798_count_position.png",4,220,900)</f>
        <v/>
      </c>
      <c r="T3490">
        <f>IMAGE("https://mitra.stanford.edu/kundaje/oak/projects/neuro-variants/variant_position/credible/roussos_2024/variant_figures/roussos_2024.childhood.GABA/rs1347798_profile_position.png",4,220,900)</f>
        <v/>
      </c>
    </row>
    <row r="3491">
      <c r="A3491" t="inlineStr">
        <is>
          <t>chr5</t>
        </is>
      </c>
      <c r="B3491" t="n">
        <v>153987245</v>
      </c>
      <c r="C3491" t="inlineStr">
        <is>
          <t>G</t>
        </is>
      </c>
      <c r="D3491" t="inlineStr">
        <is>
          <t>A</t>
        </is>
      </c>
      <c r="E3491" t="inlineStr">
        <is>
          <t>rs425263</t>
        </is>
      </c>
      <c r="F3491" t="n">
        <v>-0.0544972668</v>
      </c>
      <c r="G3491" t="n">
        <v>0.1348917478374077</v>
      </c>
      <c r="H3491" t="n">
        <v>0.0143575406524781</v>
      </c>
      <c r="I3491" t="n">
        <v>0.2626415513979828</v>
      </c>
      <c r="J3491" t="n">
        <v>0.2493937299742413</v>
      </c>
      <c r="K3491" t="n">
        <v>0.1710361172262506</v>
      </c>
      <c r="L3491" t="b">
        <v>0</v>
      </c>
      <c r="M3491" t="b">
        <v>0</v>
      </c>
      <c r="N3491" t="inlineStr">
        <is>
          <t>ref</t>
        </is>
      </c>
      <c r="O3491" t="n">
        <v>75</v>
      </c>
      <c r="P3491" t="n">
        <v>0.000904</v>
      </c>
      <c r="Q3491" t="n">
        <v>100</v>
      </c>
      <c r="R3491" t="n">
        <v>0.144</v>
      </c>
      <c r="S3491">
        <f>IMAGE("https://mitra.stanford.edu/kundaje/oak/projects/neuro-variants/variant_position/credible/roussos_2024/variant_figures/roussos_2024.childhood.GABA/rs425263_count_position.png",4,220,900)</f>
        <v/>
      </c>
      <c r="T3491">
        <f>IMAGE("https://mitra.stanford.edu/kundaje/oak/projects/neuro-variants/variant_position/credible/roussos_2024/variant_figures/roussos_2024.childhood.GABA/rs425263_profile_position.png",4,220,900)</f>
        <v/>
      </c>
    </row>
    <row r="3492">
      <c r="A3492" t="inlineStr">
        <is>
          <t>chr5</t>
        </is>
      </c>
      <c r="B3492" t="n">
        <v>154008356</v>
      </c>
      <c r="C3492" t="inlineStr">
        <is>
          <t>C</t>
        </is>
      </c>
      <c r="D3492" t="inlineStr">
        <is>
          <t>A</t>
        </is>
      </c>
      <c r="E3492" t="inlineStr">
        <is>
          <t>rs6580047</t>
        </is>
      </c>
      <c r="F3492" t="n">
        <v>-0.00902692058</v>
      </c>
      <c r="G3492" t="n">
        <v>0.6563643587907738</v>
      </c>
      <c r="H3492" t="n">
        <v>0.0184261943503998</v>
      </c>
      <c r="I3492" t="n">
        <v>0.1058675802051132</v>
      </c>
      <c r="J3492" t="n">
        <v>0.0029245460828045</v>
      </c>
      <c r="K3492" t="n">
        <v>0.8678008439785019</v>
      </c>
      <c r="L3492" t="b">
        <v>0</v>
      </c>
      <c r="M3492" t="b">
        <v>0</v>
      </c>
      <c r="N3492" t="inlineStr">
        <is>
          <t>ref</t>
        </is>
      </c>
      <c r="O3492" t="n">
        <v>100</v>
      </c>
      <c r="P3492" t="n">
        <v>0.02724</v>
      </c>
      <c r="Q3492" t="n">
        <v>-100</v>
      </c>
      <c r="R3492" t="n">
        <v>0.02448</v>
      </c>
      <c r="S3492">
        <f>IMAGE("https://mitra.stanford.edu/kundaje/oak/projects/neuro-variants/variant_position/credible/roussos_2024/variant_figures/roussos_2024.childhood.GABA/rs6580047_count_position.png",4,220,900)</f>
        <v/>
      </c>
      <c r="T3492">
        <f>IMAGE("https://mitra.stanford.edu/kundaje/oak/projects/neuro-variants/variant_position/credible/roussos_2024/variant_figures/roussos_2024.childhood.GABA/rs6580047_profile_position.png",4,220,900)</f>
        <v/>
      </c>
    </row>
    <row r="3493">
      <c r="A3493" t="inlineStr">
        <is>
          <t>chr5</t>
        </is>
      </c>
      <c r="B3493" t="n">
        <v>154020162</v>
      </c>
      <c r="C3493" t="inlineStr">
        <is>
          <t>C</t>
        </is>
      </c>
      <c r="D3493" t="inlineStr">
        <is>
          <t>T</t>
        </is>
      </c>
      <c r="E3493" t="inlineStr">
        <is>
          <t>rs552556</t>
        </is>
      </c>
      <c r="F3493" t="n">
        <v>0.06617567019999999</v>
      </c>
      <c r="G3493" t="n">
        <v>0.07782883513176039</v>
      </c>
      <c r="H3493" t="n">
        <v>0.012436437179291</v>
      </c>
      <c r="I3493" t="n">
        <v>0.3993902516434718</v>
      </c>
      <c r="J3493" t="n">
        <v>0.0230916630018219</v>
      </c>
      <c r="K3493" t="n">
        <v>0.6264635330377476</v>
      </c>
      <c r="L3493" t="b">
        <v>0</v>
      </c>
      <c r="M3493" t="b">
        <v>0</v>
      </c>
      <c r="N3493" t="inlineStr">
        <is>
          <t>alt</t>
        </is>
      </c>
      <c r="O3493" t="n">
        <v>95</v>
      </c>
      <c r="P3493" t="n">
        <v>0.01845</v>
      </c>
      <c r="Q3493" t="n">
        <v>95</v>
      </c>
      <c r="R3493" t="n">
        <v>0.1304</v>
      </c>
      <c r="S3493">
        <f>IMAGE("https://mitra.stanford.edu/kundaje/oak/projects/neuro-variants/variant_position/credible/roussos_2024/variant_figures/roussos_2024.childhood.GABA/rs552556_count_position.png",4,220,900)</f>
        <v/>
      </c>
      <c r="T3493">
        <f>IMAGE("https://mitra.stanford.edu/kundaje/oak/projects/neuro-variants/variant_position/credible/roussos_2024/variant_figures/roussos_2024.childhood.GABA/rs552556_profile_position.png",4,220,900)</f>
        <v/>
      </c>
    </row>
    <row r="3494">
      <c r="A3494" t="inlineStr">
        <is>
          <t>chr5</t>
        </is>
      </c>
      <c r="B3494" t="n">
        <v>154020867</v>
      </c>
      <c r="C3494" t="inlineStr">
        <is>
          <t>C</t>
        </is>
      </c>
      <c r="D3494" t="inlineStr">
        <is>
          <t>A</t>
        </is>
      </c>
      <c r="E3494" t="inlineStr">
        <is>
          <t>rs2118660</t>
        </is>
      </c>
      <c r="F3494" t="n">
        <v>-0.0698601338</v>
      </c>
      <c r="G3494" t="n">
        <v>0.0822403348575149</v>
      </c>
      <c r="H3494" t="n">
        <v>0.0332102120388097</v>
      </c>
      <c r="I3494" t="n">
        <v>0.0086243408186729</v>
      </c>
      <c r="J3494" t="n">
        <v>0.0817878159619693</v>
      </c>
      <c r="K3494" t="n">
        <v>0.3960551128963977</v>
      </c>
      <c r="L3494" t="b">
        <v>1</v>
      </c>
      <c r="M3494" t="b">
        <v>1</v>
      </c>
      <c r="N3494" t="inlineStr">
        <is>
          <t>ref</t>
        </is>
      </c>
      <c r="O3494" t="n">
        <v>90</v>
      </c>
      <c r="P3494" t="n">
        <v>0.006332</v>
      </c>
      <c r="Q3494" t="n">
        <v>70</v>
      </c>
      <c r="R3494" t="n">
        <v>0.2181</v>
      </c>
      <c r="S3494">
        <f>IMAGE("https://mitra.stanford.edu/kundaje/oak/projects/neuro-variants/variant_position/credible/roussos_2024/variant_figures/roussos_2024.childhood.GABA/rs2118660_count_position.png",4,220,900)</f>
        <v/>
      </c>
      <c r="T3494">
        <f>IMAGE("https://mitra.stanford.edu/kundaje/oak/projects/neuro-variants/variant_position/credible/roussos_2024/variant_figures/roussos_2024.childhood.GABA/rs2118660_profile_position.png",4,220,900)</f>
        <v/>
      </c>
    </row>
    <row r="3495">
      <c r="A3495" t="inlineStr">
        <is>
          <t>chr5</t>
        </is>
      </c>
      <c r="B3495" t="n">
        <v>154025854</v>
      </c>
      <c r="C3495" t="inlineStr">
        <is>
          <t>T</t>
        </is>
      </c>
      <c r="D3495" t="inlineStr">
        <is>
          <t>G</t>
        </is>
      </c>
      <c r="E3495" t="inlineStr">
        <is>
          <t>rs2560047</t>
        </is>
      </c>
      <c r="F3495" t="n">
        <v>0.01116589292</v>
      </c>
      <c r="G3495" t="n">
        <v>0.5748230739079183</v>
      </c>
      <c r="H3495" t="n">
        <v>0.0189265715314872</v>
      </c>
      <c r="I3495" t="n">
        <v>0.0933126270346268</v>
      </c>
      <c r="J3495" t="n">
        <v>0.025362819626814</v>
      </c>
      <c r="K3495" t="n">
        <v>0.610114502069766</v>
      </c>
      <c r="L3495" t="b">
        <v>0</v>
      </c>
      <c r="M3495" t="b">
        <v>0</v>
      </c>
      <c r="N3495" t="inlineStr">
        <is>
          <t>alt</t>
        </is>
      </c>
      <c r="O3495" t="n">
        <v>-40</v>
      </c>
      <c r="P3495" t="n">
        <v>0.01373</v>
      </c>
      <c r="Q3495" t="n">
        <v>15</v>
      </c>
      <c r="R3495" t="n">
        <v>0.005585</v>
      </c>
      <c r="S3495">
        <f>IMAGE("https://mitra.stanford.edu/kundaje/oak/projects/neuro-variants/variant_position/credible/roussos_2024/variant_figures/roussos_2024.childhood.GABA/rs2560047_count_position.png",4,220,900)</f>
        <v/>
      </c>
      <c r="T3495">
        <f>IMAGE("https://mitra.stanford.edu/kundaje/oak/projects/neuro-variants/variant_position/credible/roussos_2024/variant_figures/roussos_2024.childhood.GABA/rs2560047_profile_position.png",4,220,900)</f>
        <v/>
      </c>
    </row>
    <row r="3496">
      <c r="A3496" t="inlineStr">
        <is>
          <t>chr5</t>
        </is>
      </c>
      <c r="B3496" t="n">
        <v>154026830</v>
      </c>
      <c r="C3496" t="inlineStr">
        <is>
          <t>A</t>
        </is>
      </c>
      <c r="D3496" t="inlineStr">
        <is>
          <t>C</t>
        </is>
      </c>
      <c r="E3496" t="inlineStr">
        <is>
          <t>rs10038905</t>
        </is>
      </c>
      <c r="F3496" t="n">
        <v>-0.02811223908</v>
      </c>
      <c r="G3496" t="n">
        <v>0.3372354637296956</v>
      </c>
      <c r="H3496" t="n">
        <v>0.0105741702472944</v>
      </c>
      <c r="I3496" t="n">
        <v>0.5598154264761254</v>
      </c>
      <c r="J3496" t="n">
        <v>0.0322338799187451</v>
      </c>
      <c r="K3496" t="n">
        <v>0.5704632095797356</v>
      </c>
      <c r="L3496" t="b">
        <v>0</v>
      </c>
      <c r="M3496" t="b">
        <v>0</v>
      </c>
      <c r="N3496" t="inlineStr">
        <is>
          <t>ref</t>
        </is>
      </c>
      <c r="O3496" t="n">
        <v>90</v>
      </c>
      <c r="P3496" t="n">
        <v>0.011986</v>
      </c>
      <c r="Q3496" t="n">
        <v>-100</v>
      </c>
      <c r="R3496" t="n">
        <v>0.03354</v>
      </c>
      <c r="S3496">
        <f>IMAGE("https://mitra.stanford.edu/kundaje/oak/projects/neuro-variants/variant_position/credible/roussos_2024/variant_figures/roussos_2024.childhood.GABA/rs10038905_count_position.png",4,220,900)</f>
        <v/>
      </c>
      <c r="T3496">
        <f>IMAGE("https://mitra.stanford.edu/kundaje/oak/projects/neuro-variants/variant_position/credible/roussos_2024/variant_figures/roussos_2024.childhood.GABA/rs10038905_profile_position.png",4,220,900)</f>
        <v/>
      </c>
    </row>
    <row r="3497">
      <c r="A3497" t="inlineStr">
        <is>
          <t>chr5</t>
        </is>
      </c>
      <c r="B3497" t="n">
        <v>154030460</v>
      </c>
      <c r="C3497" t="inlineStr">
        <is>
          <t>G</t>
        </is>
      </c>
      <c r="D3497" t="inlineStr">
        <is>
          <t>A</t>
        </is>
      </c>
      <c r="E3497" t="inlineStr">
        <is>
          <t>rs2578375</t>
        </is>
      </c>
      <c r="F3497" t="n">
        <v>-0.00686369916</v>
      </c>
      <c r="G3497" t="n">
        <v>0.7448791601813373</v>
      </c>
      <c r="H3497" t="n">
        <v>0.0068758445058257</v>
      </c>
      <c r="I3497" t="n">
        <v>0.9456178525232324</v>
      </c>
      <c r="J3497" t="n">
        <v>0.017070846683839</v>
      </c>
      <c r="K3497" t="n">
        <v>0.6774852565064978</v>
      </c>
      <c r="L3497" t="b">
        <v>0</v>
      </c>
      <c r="M3497" t="b">
        <v>0</v>
      </c>
      <c r="N3497" t="inlineStr">
        <is>
          <t>ref</t>
        </is>
      </c>
      <c r="O3497" t="n">
        <v>-100</v>
      </c>
      <c r="P3497" t="n">
        <v>0.02252</v>
      </c>
      <c r="Q3497" t="n">
        <v>100</v>
      </c>
      <c r="R3497" t="n">
        <v>0.2554</v>
      </c>
      <c r="S3497">
        <f>IMAGE("https://mitra.stanford.edu/kundaje/oak/projects/neuro-variants/variant_position/credible/roussos_2024/variant_figures/roussos_2024.childhood.GABA/rs2578375_count_position.png",4,220,900)</f>
        <v/>
      </c>
      <c r="T3497">
        <f>IMAGE("https://mitra.stanford.edu/kundaje/oak/projects/neuro-variants/variant_position/credible/roussos_2024/variant_figures/roussos_2024.childhood.GABA/rs2578375_profile_position.png",4,220,900)</f>
        <v/>
      </c>
    </row>
    <row r="3498">
      <c r="A3498" t="inlineStr">
        <is>
          <t>chr5</t>
        </is>
      </c>
      <c r="B3498" t="n">
        <v>154030660</v>
      </c>
      <c r="C3498" t="inlineStr">
        <is>
          <t>C</t>
        </is>
      </c>
      <c r="D3498" t="inlineStr">
        <is>
          <t>T</t>
        </is>
      </c>
      <c r="E3498" t="inlineStr">
        <is>
          <t>rs2578376</t>
        </is>
      </c>
      <c r="F3498" t="n">
        <v>-0.07618475700000001</v>
      </c>
      <c r="G3498" t="n">
        <v>0.0584794256003821</v>
      </c>
      <c r="H3498" t="n">
        <v>0.0144585510023806</v>
      </c>
      <c r="I3498" t="n">
        <v>0.2592103971463074</v>
      </c>
      <c r="J3498" t="n">
        <v>0.025998408410295</v>
      </c>
      <c r="K3498" t="n">
        <v>0.6184733981764649</v>
      </c>
      <c r="L3498" t="b">
        <v>0</v>
      </c>
      <c r="M3498" t="b">
        <v>0</v>
      </c>
      <c r="N3498" t="inlineStr">
        <is>
          <t>ref</t>
        </is>
      </c>
      <c r="O3498" t="n">
        <v>-40</v>
      </c>
      <c r="P3498" t="n">
        <v>0.001271</v>
      </c>
      <c r="Q3498" t="n">
        <v>75</v>
      </c>
      <c r="R3498" t="n">
        <v>0.06494</v>
      </c>
      <c r="S3498">
        <f>IMAGE("https://mitra.stanford.edu/kundaje/oak/projects/neuro-variants/variant_position/credible/roussos_2024/variant_figures/roussos_2024.childhood.GABA/rs2578376_count_position.png",4,220,900)</f>
        <v/>
      </c>
      <c r="T3498">
        <f>IMAGE("https://mitra.stanford.edu/kundaje/oak/projects/neuro-variants/variant_position/credible/roussos_2024/variant_figures/roussos_2024.childhood.GABA/rs2578376_profile_position.png",4,220,900)</f>
        <v/>
      </c>
    </row>
    <row r="3499">
      <c r="A3499" t="inlineStr">
        <is>
          <t>chr5</t>
        </is>
      </c>
      <c r="B3499" t="n">
        <v>154040248</v>
      </c>
      <c r="C3499" t="inlineStr">
        <is>
          <t>C</t>
        </is>
      </c>
      <c r="D3499" t="inlineStr">
        <is>
          <t>T</t>
        </is>
      </c>
      <c r="E3499" t="inlineStr">
        <is>
          <t>rs567749</t>
        </is>
      </c>
      <c r="F3499" t="n">
        <v>0.00256484194</v>
      </c>
      <c r="G3499" t="n">
        <v>0.8326896531241444</v>
      </c>
      <c r="H3499" t="n">
        <v>0.0248358642707492</v>
      </c>
      <c r="I3499" t="n">
        <v>0.0294576727750008</v>
      </c>
      <c r="J3499" t="n">
        <v>0.008290925844484799</v>
      </c>
      <c r="K3499" t="n">
        <v>0.7685074868930681</v>
      </c>
      <c r="L3499" t="b">
        <v>0</v>
      </c>
      <c r="M3499" t="b">
        <v>0</v>
      </c>
      <c r="N3499" t="inlineStr">
        <is>
          <t>alt</t>
        </is>
      </c>
      <c r="O3499" t="n">
        <v>-100</v>
      </c>
      <c r="P3499" t="n">
        <v>0.002144</v>
      </c>
      <c r="Q3499" t="n">
        <v>-100</v>
      </c>
      <c r="R3499" t="n">
        <v>0.1069</v>
      </c>
      <c r="S3499">
        <f>IMAGE("https://mitra.stanford.edu/kundaje/oak/projects/neuro-variants/variant_position/credible/roussos_2024/variant_figures/roussos_2024.childhood.GABA/rs567749_count_position.png",4,220,900)</f>
        <v/>
      </c>
      <c r="T3499">
        <f>IMAGE("https://mitra.stanford.edu/kundaje/oak/projects/neuro-variants/variant_position/credible/roussos_2024/variant_figures/roussos_2024.childhood.GABA/rs567749_profile_position.png",4,220,900)</f>
        <v/>
      </c>
    </row>
    <row r="3500">
      <c r="A3500" t="inlineStr">
        <is>
          <t>chr5</t>
        </is>
      </c>
      <c r="B3500" t="n">
        <v>154046393</v>
      </c>
      <c r="C3500" t="inlineStr">
        <is>
          <t>C</t>
        </is>
      </c>
      <c r="D3500" t="inlineStr">
        <is>
          <t>A</t>
        </is>
      </c>
      <c r="E3500" t="inlineStr">
        <is>
          <t>rs411245</t>
        </is>
      </c>
      <c r="F3500" t="n">
        <v>-0.0009112750599999</v>
      </c>
      <c r="G3500" t="n">
        <v>0.4967810858318031</v>
      </c>
      <c r="H3500" t="n">
        <v>0.0138041395322375</v>
      </c>
      <c r="I3500" t="n">
        <v>0.2972299113536199</v>
      </c>
      <c r="J3500" t="n">
        <v>0.2009151640803333</v>
      </c>
      <c r="K3500" t="n">
        <v>0.2168837295584027</v>
      </c>
      <c r="L3500" t="b">
        <v>0</v>
      </c>
      <c r="M3500" t="b">
        <v>0</v>
      </c>
      <c r="N3500" t="inlineStr">
        <is>
          <t>ref</t>
        </is>
      </c>
      <c r="O3500" t="n">
        <v>0</v>
      </c>
      <c r="P3500" t="n">
        <v>0</v>
      </c>
      <c r="Q3500" t="n">
        <v>55</v>
      </c>
      <c r="R3500" t="n">
        <v>0.03418</v>
      </c>
      <c r="S3500">
        <f>IMAGE("https://mitra.stanford.edu/kundaje/oak/projects/neuro-variants/variant_position/credible/roussos_2024/variant_figures/roussos_2024.childhood.GABA/rs411245_count_position.png",4,220,900)</f>
        <v/>
      </c>
      <c r="T3500">
        <f>IMAGE("https://mitra.stanford.edu/kundaje/oak/projects/neuro-variants/variant_position/credible/roussos_2024/variant_figures/roussos_2024.childhood.GABA/rs411245_profile_position.png",4,220,900)</f>
        <v/>
      </c>
    </row>
    <row r="3501">
      <c r="A3501" t="inlineStr">
        <is>
          <t>chr5</t>
        </is>
      </c>
      <c r="B3501" t="n">
        <v>154071230</v>
      </c>
      <c r="C3501" t="inlineStr">
        <is>
          <t>C</t>
        </is>
      </c>
      <c r="D3501" t="inlineStr">
        <is>
          <t>T</t>
        </is>
      </c>
      <c r="E3501" t="inlineStr">
        <is>
          <t>rs1438590</t>
        </is>
      </c>
      <c r="F3501" t="n">
        <v>-0.0218206579</v>
      </c>
      <c r="G3501" t="n">
        <v>0.4198547691434547</v>
      </c>
      <c r="H3501" t="n">
        <v>0.011500093893698</v>
      </c>
      <c r="I3501" t="n">
        <v>0.4866451694495035</v>
      </c>
      <c r="J3501" t="n">
        <v>0.0157693032606646</v>
      </c>
      <c r="K3501" t="n">
        <v>0.6817390003974341</v>
      </c>
      <c r="L3501" t="b">
        <v>0</v>
      </c>
      <c r="M3501" t="b">
        <v>0</v>
      </c>
      <c r="N3501" t="inlineStr">
        <is>
          <t>ref</t>
        </is>
      </c>
      <c r="O3501" t="n">
        <v>-95</v>
      </c>
      <c r="P3501" t="n">
        <v>0.005676</v>
      </c>
      <c r="Q3501" t="n">
        <v>-40</v>
      </c>
      <c r="R3501" t="n">
        <v>0.06415</v>
      </c>
      <c r="S3501">
        <f>IMAGE("https://mitra.stanford.edu/kundaje/oak/projects/neuro-variants/variant_position/credible/roussos_2024/variant_figures/roussos_2024.childhood.GABA/rs1438590_count_position.png",4,220,900)</f>
        <v/>
      </c>
      <c r="T3501">
        <f>IMAGE("https://mitra.stanford.edu/kundaje/oak/projects/neuro-variants/variant_position/credible/roussos_2024/variant_figures/roussos_2024.childhood.GABA/rs1438590_profile_position.png",4,220,900)</f>
        <v/>
      </c>
    </row>
    <row r="3502">
      <c r="A3502" t="inlineStr">
        <is>
          <t>chr5</t>
        </is>
      </c>
      <c r="B3502" t="n">
        <v>154072442</v>
      </c>
      <c r="C3502" t="inlineStr">
        <is>
          <t>A</t>
        </is>
      </c>
      <c r="D3502" t="inlineStr">
        <is>
          <t>G</t>
        </is>
      </c>
      <c r="E3502" t="inlineStr">
        <is>
          <t>rs816028</t>
        </is>
      </c>
      <c r="F3502" t="n">
        <v>0.0695826536</v>
      </c>
      <c r="G3502" t="n">
        <v>0.0762416206584524</v>
      </c>
      <c r="H3502" t="n">
        <v>0.0197219589730643</v>
      </c>
      <c r="I3502" t="n">
        <v>0.0825108492510601</v>
      </c>
      <c r="J3502" t="n">
        <v>0.5957948524638227</v>
      </c>
      <c r="K3502" t="n">
        <v>0.0303894154474772</v>
      </c>
      <c r="L3502" t="b">
        <v>0</v>
      </c>
      <c r="M3502" t="b">
        <v>0</v>
      </c>
      <c r="N3502" t="inlineStr">
        <is>
          <t>alt</t>
        </is>
      </c>
      <c r="O3502" t="n">
        <v>40</v>
      </c>
      <c r="P3502" t="n">
        <v>0.001953</v>
      </c>
      <c r="Q3502" t="n">
        <v>75</v>
      </c>
      <c r="R3502" t="n">
        <v>0.05957</v>
      </c>
      <c r="S3502">
        <f>IMAGE("https://mitra.stanford.edu/kundaje/oak/projects/neuro-variants/variant_position/credible/roussos_2024/variant_figures/roussos_2024.childhood.GABA/rs816028_count_position.png",4,220,900)</f>
        <v/>
      </c>
      <c r="T3502">
        <f>IMAGE("https://mitra.stanford.edu/kundaje/oak/projects/neuro-variants/variant_position/credible/roussos_2024/variant_figures/roussos_2024.childhood.GABA/rs816028_profile_position.png",4,220,900)</f>
        <v/>
      </c>
    </row>
    <row r="3503">
      <c r="A3503" t="inlineStr">
        <is>
          <t>chr5</t>
        </is>
      </c>
      <c r="B3503" t="n">
        <v>154076692</v>
      </c>
      <c r="C3503" t="inlineStr">
        <is>
          <t>T</t>
        </is>
      </c>
      <c r="D3503" t="inlineStr">
        <is>
          <t>C</t>
        </is>
      </c>
      <c r="E3503" t="inlineStr">
        <is>
          <t>rs1478350</t>
        </is>
      </c>
      <c r="F3503" t="n">
        <v>0.0424793266</v>
      </c>
      <c r="G3503" t="n">
        <v>0.19450532865936</v>
      </c>
      <c r="H3503" t="n">
        <v>0.0124439612459508</v>
      </c>
      <c r="I3503" t="n">
        <v>0.3969023053973882</v>
      </c>
      <c r="J3503" t="n">
        <v>0.0464670896944566</v>
      </c>
      <c r="K3503" t="n">
        <v>0.5255548223332971</v>
      </c>
      <c r="L3503" t="b">
        <v>0</v>
      </c>
      <c r="M3503" t="b">
        <v>0</v>
      </c>
      <c r="N3503" t="inlineStr">
        <is>
          <t>alt</t>
        </is>
      </c>
      <c r="O3503" t="n">
        <v>-100</v>
      </c>
      <c r="P3503" t="n">
        <v>0.003838</v>
      </c>
      <c r="Q3503" t="n">
        <v>20</v>
      </c>
      <c r="R3503" t="n">
        <v>0.010376</v>
      </c>
      <c r="S3503">
        <f>IMAGE("https://mitra.stanford.edu/kundaje/oak/projects/neuro-variants/variant_position/credible/roussos_2024/variant_figures/roussos_2024.childhood.GABA/rs1478350_count_position.png",4,220,900)</f>
        <v/>
      </c>
      <c r="T3503">
        <f>IMAGE("https://mitra.stanford.edu/kundaje/oak/projects/neuro-variants/variant_position/credible/roussos_2024/variant_figures/roussos_2024.childhood.GABA/rs1478350_profile_position.png",4,220,900)</f>
        <v/>
      </c>
    </row>
    <row r="3504">
      <c r="A3504" t="inlineStr">
        <is>
          <t>chr5</t>
        </is>
      </c>
      <c r="B3504" t="n">
        <v>154081968</v>
      </c>
      <c r="C3504" t="inlineStr">
        <is>
          <t>A</t>
        </is>
      </c>
      <c r="D3504" t="inlineStr">
        <is>
          <t>G</t>
        </is>
      </c>
      <c r="E3504" t="inlineStr">
        <is>
          <t>rs816009</t>
        </is>
      </c>
      <c r="F3504" t="n">
        <v>0.0325058046</v>
      </c>
      <c r="G3504" t="n">
        <v>0.2639709952543494</v>
      </c>
      <c r="H3504" t="n">
        <v>0.0105743085432247</v>
      </c>
      <c r="I3504" t="n">
        <v>0.5783467909732911</v>
      </c>
      <c r="J3504" t="n">
        <v>0.08209252162258369</v>
      </c>
      <c r="K3504" t="n">
        <v>0.4023137714108835</v>
      </c>
      <c r="L3504" t="b">
        <v>0</v>
      </c>
      <c r="M3504" t="b">
        <v>0</v>
      </c>
      <c r="N3504" t="inlineStr">
        <is>
          <t>alt</t>
        </is>
      </c>
      <c r="O3504" t="n">
        <v>-100</v>
      </c>
      <c r="P3504" t="n">
        <v>0.00443</v>
      </c>
      <c r="Q3504" t="n">
        <v>-100</v>
      </c>
      <c r="R3504" t="n">
        <v>0.1222</v>
      </c>
      <c r="S3504">
        <f>IMAGE("https://mitra.stanford.edu/kundaje/oak/projects/neuro-variants/variant_position/credible/roussos_2024/variant_figures/roussos_2024.childhood.GABA/rs816009_count_position.png",4,220,900)</f>
        <v/>
      </c>
      <c r="T3504">
        <f>IMAGE("https://mitra.stanford.edu/kundaje/oak/projects/neuro-variants/variant_position/credible/roussos_2024/variant_figures/roussos_2024.childhood.GABA/rs816009_profile_position.png",4,220,900)</f>
        <v/>
      </c>
    </row>
    <row r="3505">
      <c r="A3505" t="inlineStr">
        <is>
          <t>chr5</t>
        </is>
      </c>
      <c r="B3505" t="n">
        <v>154083148</v>
      </c>
      <c r="C3505" t="inlineStr">
        <is>
          <t>G</t>
        </is>
      </c>
      <c r="D3505" t="inlineStr">
        <is>
          <t>A</t>
        </is>
      </c>
      <c r="E3505" t="inlineStr">
        <is>
          <t>rs816010</t>
        </is>
      </c>
      <c r="F3505" t="n">
        <v>-0.05638916</v>
      </c>
      <c r="G3505" t="n">
        <v>0.1128279042194007</v>
      </c>
      <c r="H3505" t="n">
        <v>0.0179037460239142</v>
      </c>
      <c r="I3505" t="n">
        <v>0.1184990588033266</v>
      </c>
      <c r="J3505" t="n">
        <v>0.0050543444116353</v>
      </c>
      <c r="K3505" t="n">
        <v>0.8159157999614949</v>
      </c>
      <c r="L3505" t="b">
        <v>0</v>
      </c>
      <c r="M3505" t="b">
        <v>0</v>
      </c>
      <c r="N3505" t="inlineStr">
        <is>
          <t>ref</t>
        </is>
      </c>
      <c r="O3505" t="n">
        <v>-35</v>
      </c>
      <c r="P3505" t="n">
        <v>0.002605</v>
      </c>
      <c r="Q3505" t="n">
        <v>-80</v>
      </c>
      <c r="R3505" t="n">
        <v>0.0377</v>
      </c>
      <c r="S3505">
        <f>IMAGE("https://mitra.stanford.edu/kundaje/oak/projects/neuro-variants/variant_position/credible/roussos_2024/variant_figures/roussos_2024.childhood.GABA/rs816010_count_position.png",4,220,900)</f>
        <v/>
      </c>
      <c r="T3505">
        <f>IMAGE("https://mitra.stanford.edu/kundaje/oak/projects/neuro-variants/variant_position/credible/roussos_2024/variant_figures/roussos_2024.childhood.GABA/rs816010_profile_position.png",4,220,900)</f>
        <v/>
      </c>
    </row>
    <row r="3506">
      <c r="A3506" t="inlineStr">
        <is>
          <t>chr5</t>
        </is>
      </c>
      <c r="B3506" t="n">
        <v>154084867</v>
      </c>
      <c r="C3506" t="inlineStr">
        <is>
          <t>G</t>
        </is>
      </c>
      <c r="D3506" t="inlineStr">
        <is>
          <t>A</t>
        </is>
      </c>
      <c r="E3506" t="inlineStr">
        <is>
          <t>rs816012</t>
        </is>
      </c>
      <c r="F3506" t="n">
        <v>-0.0132995007999999</v>
      </c>
      <c r="G3506" t="n">
        <v>0.5440654363852595</v>
      </c>
      <c r="H3506" t="n">
        <v>0.0072654497938961</v>
      </c>
      <c r="I3506" t="n">
        <v>0.9229444226527412</v>
      </c>
      <c r="J3506" t="n">
        <v>0.0636834830684173</v>
      </c>
      <c r="K3506" t="n">
        <v>0.4527120949096754</v>
      </c>
      <c r="L3506" t="b">
        <v>0</v>
      </c>
      <c r="M3506" t="b">
        <v>0</v>
      </c>
      <c r="N3506" t="inlineStr">
        <is>
          <t>ref</t>
        </is>
      </c>
      <c r="O3506" t="n">
        <v>50</v>
      </c>
      <c r="P3506" t="n">
        <v>0.003292</v>
      </c>
      <c r="Q3506" t="n">
        <v>-80</v>
      </c>
      <c r="R3506" t="n">
        <v>0.06744</v>
      </c>
      <c r="S3506">
        <f>IMAGE("https://mitra.stanford.edu/kundaje/oak/projects/neuro-variants/variant_position/credible/roussos_2024/variant_figures/roussos_2024.childhood.GABA/rs816012_count_position.png",4,220,900)</f>
        <v/>
      </c>
      <c r="T3506">
        <f>IMAGE("https://mitra.stanford.edu/kundaje/oak/projects/neuro-variants/variant_position/credible/roussos_2024/variant_figures/roussos_2024.childhood.GABA/rs816012_profile_position.png",4,220,900)</f>
        <v/>
      </c>
    </row>
    <row r="3507">
      <c r="A3507" t="inlineStr">
        <is>
          <t>chr5</t>
        </is>
      </c>
      <c r="B3507" t="n">
        <v>154089745</v>
      </c>
      <c r="C3507" t="inlineStr">
        <is>
          <t>A</t>
        </is>
      </c>
      <c r="D3507" t="inlineStr">
        <is>
          <t>G</t>
        </is>
      </c>
      <c r="E3507" t="inlineStr">
        <is>
          <t>rs4958355</t>
        </is>
      </c>
      <c r="F3507" t="n">
        <v>-0.0083582413999999</v>
      </c>
      <c r="G3507" t="n">
        <v>0.6830610219470897</v>
      </c>
      <c r="H3507" t="n">
        <v>0.0211070056833684</v>
      </c>
      <c r="I3507" t="n">
        <v>0.0597988342919873</v>
      </c>
      <c r="J3507" t="n">
        <v>0.0575464388180351</v>
      </c>
      <c r="K3507" t="n">
        <v>0.4739820075395251</v>
      </c>
      <c r="L3507" t="b">
        <v>0</v>
      </c>
      <c r="M3507" t="b">
        <v>0</v>
      </c>
      <c r="N3507" t="inlineStr">
        <is>
          <t>ref</t>
        </is>
      </c>
      <c r="O3507" t="n">
        <v>50</v>
      </c>
      <c r="P3507" t="n">
        <v>0.00532</v>
      </c>
      <c r="Q3507" t="n">
        <v>-95</v>
      </c>
      <c r="R3507" t="n">
        <v>0.0485</v>
      </c>
      <c r="S3507">
        <f>IMAGE("https://mitra.stanford.edu/kundaje/oak/projects/neuro-variants/variant_position/credible/roussos_2024/variant_figures/roussos_2024.childhood.GABA/rs4958355_count_position.png",4,220,900)</f>
        <v/>
      </c>
      <c r="T3507">
        <f>IMAGE("https://mitra.stanford.edu/kundaje/oak/projects/neuro-variants/variant_position/credible/roussos_2024/variant_figures/roussos_2024.childhood.GABA/rs4958355_profile_position.png",4,220,900)</f>
        <v/>
      </c>
    </row>
    <row r="3508">
      <c r="A3508" t="inlineStr">
        <is>
          <t>chr5</t>
        </is>
      </c>
      <c r="B3508" t="n">
        <v>154094777</v>
      </c>
      <c r="C3508" t="inlineStr">
        <is>
          <t>A</t>
        </is>
      </c>
      <c r="D3508" t="inlineStr">
        <is>
          <t>C</t>
        </is>
      </c>
      <c r="E3508" t="inlineStr">
        <is>
          <t>rs815620</t>
        </is>
      </c>
      <c r="F3508" t="n">
        <v>-0.0162390093999999</v>
      </c>
      <c r="G3508" t="n">
        <v>0.5087056923564227</v>
      </c>
      <c r="H3508" t="n">
        <v>0.0152434771936869</v>
      </c>
      <c r="I3508" t="n">
        <v>0.2157987337812702</v>
      </c>
      <c r="J3508" t="n">
        <v>0.0118772381730225</v>
      </c>
      <c r="K3508" t="n">
        <v>0.7293794698385643</v>
      </c>
      <c r="L3508" t="b">
        <v>0</v>
      </c>
      <c r="M3508" t="b">
        <v>0</v>
      </c>
      <c r="N3508" t="inlineStr">
        <is>
          <t>ref</t>
        </is>
      </c>
      <c r="O3508" t="n">
        <v>-45</v>
      </c>
      <c r="P3508" t="n">
        <v>0.0006713999999999999</v>
      </c>
      <c r="Q3508" t="n">
        <v>55</v>
      </c>
      <c r="R3508" t="n">
        <v>0.0479</v>
      </c>
      <c r="S3508">
        <f>IMAGE("https://mitra.stanford.edu/kundaje/oak/projects/neuro-variants/variant_position/credible/roussos_2024/variant_figures/roussos_2024.childhood.GABA/rs815620_count_position.png",4,220,900)</f>
        <v/>
      </c>
      <c r="T3508">
        <f>IMAGE("https://mitra.stanford.edu/kundaje/oak/projects/neuro-variants/variant_position/credible/roussos_2024/variant_figures/roussos_2024.childhood.GABA/rs815620_profile_position.png",4,220,900)</f>
        <v/>
      </c>
    </row>
    <row r="3509">
      <c r="A3509" t="inlineStr">
        <is>
          <t>chr5</t>
        </is>
      </c>
      <c r="B3509" t="n">
        <v>154096161</v>
      </c>
      <c r="C3509" t="inlineStr">
        <is>
          <t>A</t>
        </is>
      </c>
      <c r="D3509" t="inlineStr">
        <is>
          <t>T</t>
        </is>
      </c>
      <c r="E3509" t="inlineStr">
        <is>
          <t>rs890799</t>
        </is>
      </c>
      <c r="F3509" t="n">
        <v>0.1303891172</v>
      </c>
      <c r="G3509" t="n">
        <v>0.0156858722811016</v>
      </c>
      <c r="H3509" t="n">
        <v>0.0294896878557833</v>
      </c>
      <c r="I3509" t="n">
        <v>0.0141885122964681</v>
      </c>
      <c r="J3509" t="n">
        <v>0.43678247575967</v>
      </c>
      <c r="K3509" t="n">
        <v>0.0722203262698335</v>
      </c>
      <c r="L3509" t="b">
        <v>1</v>
      </c>
      <c r="M3509" t="b">
        <v>0</v>
      </c>
      <c r="N3509" t="inlineStr">
        <is>
          <t>alt</t>
        </is>
      </c>
      <c r="O3509" t="n">
        <v>70</v>
      </c>
      <c r="P3509" t="n">
        <v>0.03235</v>
      </c>
      <c r="Q3509" t="n">
        <v>-20</v>
      </c>
      <c r="R3509" t="n">
        <v>0.0664</v>
      </c>
      <c r="S3509">
        <f>IMAGE("https://mitra.stanford.edu/kundaje/oak/projects/neuro-variants/variant_position/credible/roussos_2024/variant_figures/roussos_2024.childhood.GABA/rs890799_count_position.png",4,220,900)</f>
        <v/>
      </c>
      <c r="T3509">
        <f>IMAGE("https://mitra.stanford.edu/kundaje/oak/projects/neuro-variants/variant_position/credible/roussos_2024/variant_figures/roussos_2024.childhood.GABA/rs890799_profile_position.png",4,220,900)</f>
        <v/>
      </c>
    </row>
    <row r="3510">
      <c r="A3510" t="inlineStr">
        <is>
          <t>chr5</t>
        </is>
      </c>
      <c r="B3510" t="n">
        <v>154098617</v>
      </c>
      <c r="C3510" t="inlineStr">
        <is>
          <t>T</t>
        </is>
      </c>
      <c r="D3510" t="inlineStr">
        <is>
          <t>C</t>
        </is>
      </c>
      <c r="E3510" t="inlineStr">
        <is>
          <t>rs6580052</t>
        </is>
      </c>
      <c r="F3510" t="n">
        <v>-0.00071006876</v>
      </c>
      <c r="G3510" t="n">
        <v>0.4235562745291495</v>
      </c>
      <c r="H3510" t="n">
        <v>0.0117325700932834</v>
      </c>
      <c r="I3510" t="n">
        <v>0.4634258484636122</v>
      </c>
      <c r="J3510" t="n">
        <v>0.06317773449770669</v>
      </c>
      <c r="K3510" t="n">
        <v>0.4504564365117101</v>
      </c>
      <c r="L3510" t="b">
        <v>0</v>
      </c>
      <c r="M3510" t="b">
        <v>0</v>
      </c>
      <c r="N3510" t="inlineStr">
        <is>
          <t>ref</t>
        </is>
      </c>
      <c r="O3510" t="n">
        <v>-90</v>
      </c>
      <c r="P3510" t="n">
        <v>0.002316</v>
      </c>
      <c r="Q3510" t="n">
        <v>-5</v>
      </c>
      <c r="R3510" t="n">
        <v>0.005005</v>
      </c>
      <c r="S3510">
        <f>IMAGE("https://mitra.stanford.edu/kundaje/oak/projects/neuro-variants/variant_position/credible/roussos_2024/variant_figures/roussos_2024.childhood.GABA/rs6580052_count_position.png",4,220,900)</f>
        <v/>
      </c>
      <c r="T3510">
        <f>IMAGE("https://mitra.stanford.edu/kundaje/oak/projects/neuro-variants/variant_position/credible/roussos_2024/variant_figures/roussos_2024.childhood.GABA/rs6580052_profile_position.png",4,220,900)</f>
        <v/>
      </c>
    </row>
    <row r="3511">
      <c r="A3511" t="inlineStr">
        <is>
          <t>chr5</t>
        </is>
      </c>
      <c r="B3511" t="n">
        <v>154110798</v>
      </c>
      <c r="C3511" t="inlineStr">
        <is>
          <t>G</t>
        </is>
      </c>
      <c r="D3511" t="inlineStr">
        <is>
          <t>A</t>
        </is>
      </c>
      <c r="E3511" t="inlineStr">
        <is>
          <t>rs1428122</t>
        </is>
      </c>
      <c r="F3511" t="n">
        <v>-0.1250094319999999</v>
      </c>
      <c r="G3511" t="n">
        <v>0.0170046019026087</v>
      </c>
      <c r="H3511" t="n">
        <v>0.0201248649880821</v>
      </c>
      <c r="I3511" t="n">
        <v>0.0745159798188621</v>
      </c>
      <c r="J3511" t="n">
        <v>0.2687304977906221</v>
      </c>
      <c r="K3511" t="n">
        <v>0.1566336419361398</v>
      </c>
      <c r="L3511" t="b">
        <v>1</v>
      </c>
      <c r="M3511" t="b">
        <v>0</v>
      </c>
      <c r="N3511" t="inlineStr">
        <is>
          <t>ref</t>
        </is>
      </c>
      <c r="O3511" t="n">
        <v>95</v>
      </c>
      <c r="P3511" t="n">
        <v>0.01146</v>
      </c>
      <c r="Q3511" t="n">
        <v>95</v>
      </c>
      <c r="R3511" t="n">
        <v>0.1144</v>
      </c>
      <c r="S3511">
        <f>IMAGE("https://mitra.stanford.edu/kundaje/oak/projects/neuro-variants/variant_position/credible/roussos_2024/variant_figures/roussos_2024.childhood.GABA/rs1428122_count_position.png",4,220,900)</f>
        <v/>
      </c>
      <c r="T3511">
        <f>IMAGE("https://mitra.stanford.edu/kundaje/oak/projects/neuro-variants/variant_position/credible/roussos_2024/variant_figures/roussos_2024.childhood.GABA/rs1428122_profile_position.png",4,220,900)</f>
        <v/>
      </c>
    </row>
    <row r="3512">
      <c r="A3512" t="inlineStr">
        <is>
          <t>chr5</t>
        </is>
      </c>
      <c r="B3512" t="n">
        <v>154183848</v>
      </c>
      <c r="C3512" t="inlineStr">
        <is>
          <t>C</t>
        </is>
      </c>
      <c r="D3512" t="inlineStr">
        <is>
          <t>T</t>
        </is>
      </c>
      <c r="E3512" t="inlineStr">
        <is>
          <t>rs77075605</t>
        </is>
      </c>
      <c r="F3512" t="n">
        <v>0.0165384552</v>
      </c>
      <c r="G3512" t="n">
        <v>0.4719357009440348</v>
      </c>
      <c r="H3512" t="n">
        <v>0.01276454877571</v>
      </c>
      <c r="I3512" t="n">
        <v>0.3664494907830052</v>
      </c>
      <c r="J3512" t="n">
        <v>0.0158028104123473</v>
      </c>
      <c r="K3512" t="n">
        <v>0.6878096911702329</v>
      </c>
      <c r="L3512" t="b">
        <v>0</v>
      </c>
      <c r="M3512" t="b">
        <v>0</v>
      </c>
      <c r="N3512" t="inlineStr">
        <is>
          <t>alt</t>
        </is>
      </c>
      <c r="O3512" t="n">
        <v>10</v>
      </c>
      <c r="P3512" t="n">
        <v>0.0006638</v>
      </c>
      <c r="Q3512" t="n">
        <v>10</v>
      </c>
      <c r="R3512" t="n">
        <v>0.03029</v>
      </c>
      <c r="S3512">
        <f>IMAGE("https://mitra.stanford.edu/kundaje/oak/projects/neuro-variants/variant_position/credible/roussos_2024/variant_figures/roussos_2024.childhood.GABA/rs77075605_count_position.png",4,220,900)</f>
        <v/>
      </c>
      <c r="T3512">
        <f>IMAGE("https://mitra.stanford.edu/kundaje/oak/projects/neuro-variants/variant_position/credible/roussos_2024/variant_figures/roussos_2024.childhood.GABA/rs77075605_profile_position.png",4,220,900)</f>
        <v/>
      </c>
    </row>
    <row r="3513">
      <c r="A3513" t="inlineStr">
        <is>
          <t>chr5</t>
        </is>
      </c>
      <c r="B3513" t="n">
        <v>154200245</v>
      </c>
      <c r="C3513" t="inlineStr">
        <is>
          <t>G</t>
        </is>
      </c>
      <c r="D3513" t="inlineStr">
        <is>
          <t>A</t>
        </is>
      </c>
      <c r="E3513" t="inlineStr">
        <is>
          <t>rs80336253</t>
        </is>
      </c>
      <c r="F3513" t="n">
        <v>-0.01328412278</v>
      </c>
      <c r="G3513" t="n">
        <v>0.5308755940085197</v>
      </c>
      <c r="H3513" t="n">
        <v>0.0131023235587169</v>
      </c>
      <c r="I3513" t="n">
        <v>0.3346707080130497</v>
      </c>
      <c r="J3513" t="n">
        <v>0.4786370966053067</v>
      </c>
      <c r="K3513" t="n">
        <v>0.0583500965718667</v>
      </c>
      <c r="L3513" t="b">
        <v>0</v>
      </c>
      <c r="M3513" t="b">
        <v>0</v>
      </c>
      <c r="N3513" t="inlineStr">
        <is>
          <t>ref</t>
        </is>
      </c>
      <c r="O3513" t="n">
        <v>100</v>
      </c>
      <c r="P3513" t="n">
        <v>0.004738</v>
      </c>
      <c r="Q3513" t="n">
        <v>-85</v>
      </c>
      <c r="R3513" t="n">
        <v>0.1228</v>
      </c>
      <c r="S3513">
        <f>IMAGE("https://mitra.stanford.edu/kundaje/oak/projects/neuro-variants/variant_position/credible/roussos_2024/variant_figures/roussos_2024.childhood.GABA/rs80336253_count_position.png",4,220,900)</f>
        <v/>
      </c>
      <c r="T3513">
        <f>IMAGE("https://mitra.stanford.edu/kundaje/oak/projects/neuro-variants/variant_position/credible/roussos_2024/variant_figures/roussos_2024.childhood.GABA/rs80336253_profile_position.png",4,220,900)</f>
        <v/>
      </c>
    </row>
    <row r="3514">
      <c r="A3514" t="inlineStr">
        <is>
          <t>chr5</t>
        </is>
      </c>
      <c r="B3514" t="n">
        <v>154243261</v>
      </c>
      <c r="C3514" t="inlineStr">
        <is>
          <t>G</t>
        </is>
      </c>
      <c r="D3514" t="inlineStr">
        <is>
          <t>A</t>
        </is>
      </c>
      <c r="E3514" t="inlineStr">
        <is>
          <t>rs73802964</t>
        </is>
      </c>
      <c r="F3514" t="n">
        <v>0.0473187544</v>
      </c>
      <c r="G3514" t="n">
        <v>0.1545805230556367</v>
      </c>
      <c r="H3514" t="n">
        <v>0.0133916722036981</v>
      </c>
      <c r="I3514" t="n">
        <v>0.3326813108559515</v>
      </c>
      <c r="J3514" t="n">
        <v>0.071996397981194</v>
      </c>
      <c r="K3514" t="n">
        <v>0.4355561725938937</v>
      </c>
      <c r="L3514" t="b">
        <v>0</v>
      </c>
      <c r="M3514" t="b">
        <v>0</v>
      </c>
      <c r="N3514" t="inlineStr">
        <is>
          <t>alt</t>
        </is>
      </c>
      <c r="O3514" t="n">
        <v>100</v>
      </c>
      <c r="P3514" t="n">
        <v>0.002884</v>
      </c>
      <c r="Q3514" t="n">
        <v>-60</v>
      </c>
      <c r="R3514" t="n">
        <v>0.02078</v>
      </c>
      <c r="S3514">
        <f>IMAGE("https://mitra.stanford.edu/kundaje/oak/projects/neuro-variants/variant_position/credible/roussos_2024/variant_figures/roussos_2024.childhood.GABA/rs73802964_count_position.png",4,220,900)</f>
        <v/>
      </c>
      <c r="T3514">
        <f>IMAGE("https://mitra.stanford.edu/kundaje/oak/projects/neuro-variants/variant_position/credible/roussos_2024/variant_figures/roussos_2024.childhood.GABA/rs73802964_profile_position.png",4,220,900)</f>
        <v/>
      </c>
    </row>
    <row r="3515">
      <c r="A3515" t="inlineStr">
        <is>
          <t>chr5</t>
        </is>
      </c>
      <c r="B3515" t="n">
        <v>154253839</v>
      </c>
      <c r="C3515" t="inlineStr">
        <is>
          <t>G</t>
        </is>
      </c>
      <c r="D3515" t="inlineStr">
        <is>
          <t>A</t>
        </is>
      </c>
      <c r="E3515" t="inlineStr">
        <is>
          <t>rs73802970</t>
        </is>
      </c>
      <c r="F3515" t="n">
        <v>0.0066705597</v>
      </c>
      <c r="G3515" t="n">
        <v>0.7183717139821122</v>
      </c>
      <c r="H3515" t="n">
        <v>0.0083984107145823</v>
      </c>
      <c r="I3515" t="n">
        <v>0.8143231610534324</v>
      </c>
      <c r="J3515" t="n">
        <v>0.0178540763544218</v>
      </c>
      <c r="K3515" t="n">
        <v>0.6860216132937034</v>
      </c>
      <c r="L3515" t="b">
        <v>0</v>
      </c>
      <c r="M3515" t="b">
        <v>0</v>
      </c>
      <c r="N3515" t="inlineStr">
        <is>
          <t>alt</t>
        </is>
      </c>
      <c r="O3515" t="n">
        <v>0</v>
      </c>
      <c r="P3515" t="n">
        <v>0</v>
      </c>
      <c r="Q3515" t="n">
        <v>-5</v>
      </c>
      <c r="R3515" t="n">
        <v>0.01181</v>
      </c>
      <c r="S3515">
        <f>IMAGE("https://mitra.stanford.edu/kundaje/oak/projects/neuro-variants/variant_position/credible/roussos_2024/variant_figures/roussos_2024.childhood.GABA/rs73802970_count_position.png",4,220,900)</f>
        <v/>
      </c>
      <c r="T3515">
        <f>IMAGE("https://mitra.stanford.edu/kundaje/oak/projects/neuro-variants/variant_position/credible/roussos_2024/variant_figures/roussos_2024.childhood.GABA/rs73802970_profile_position.png",4,220,900)</f>
        <v/>
      </c>
    </row>
    <row r="3516">
      <c r="A3516" t="inlineStr">
        <is>
          <t>chr5</t>
        </is>
      </c>
      <c r="B3516" t="n">
        <v>154259120</v>
      </c>
      <c r="C3516" t="inlineStr">
        <is>
          <t>A</t>
        </is>
      </c>
      <c r="D3516" t="inlineStr">
        <is>
          <t>T</t>
        </is>
      </c>
      <c r="E3516" t="inlineStr">
        <is>
          <t>rs531293</t>
        </is>
      </c>
      <c r="F3516" t="n">
        <v>0.00511872052</v>
      </c>
      <c r="G3516" t="n">
        <v>0.7745500646526363</v>
      </c>
      <c r="H3516" t="n">
        <v>0.0225874999698565</v>
      </c>
      <c r="I3516" t="n">
        <v>0.0443925350410408</v>
      </c>
      <c r="J3516" t="n">
        <v>0.0010146384368913</v>
      </c>
      <c r="K3516" t="n">
        <v>0.9134786565843532</v>
      </c>
      <c r="L3516" t="b">
        <v>0</v>
      </c>
      <c r="M3516" t="b">
        <v>0</v>
      </c>
      <c r="N3516" t="inlineStr">
        <is>
          <t>alt</t>
        </is>
      </c>
      <c r="O3516" t="n">
        <v>-100</v>
      </c>
      <c r="P3516" t="n">
        <v>0.10114</v>
      </c>
      <c r="Q3516" t="n">
        <v>85</v>
      </c>
      <c r="R3516" t="n">
        <v>0.05307</v>
      </c>
      <c r="S3516">
        <f>IMAGE("https://mitra.stanford.edu/kundaje/oak/projects/neuro-variants/variant_position/credible/roussos_2024/variant_figures/roussos_2024.childhood.GABA/rs531293_count_position.png",4,220,900)</f>
        <v/>
      </c>
      <c r="T3516">
        <f>IMAGE("https://mitra.stanford.edu/kundaje/oak/projects/neuro-variants/variant_position/credible/roussos_2024/variant_figures/roussos_2024.childhood.GABA/rs531293_profile_position.png",4,220,900)</f>
        <v/>
      </c>
    </row>
    <row r="3517">
      <c r="A3517" t="inlineStr">
        <is>
          <t>chr5</t>
        </is>
      </c>
      <c r="B3517" t="n">
        <v>154260334</v>
      </c>
      <c r="C3517" t="inlineStr">
        <is>
          <t>C</t>
        </is>
      </c>
      <c r="D3517" t="inlineStr">
        <is>
          <t>G</t>
        </is>
      </c>
      <c r="E3517" t="inlineStr">
        <is>
          <t>rs2434528</t>
        </is>
      </c>
      <c r="F3517" t="n">
        <v>0.149897887</v>
      </c>
      <c r="G3517" t="n">
        <v>0.0110105306247019</v>
      </c>
      <c r="H3517" t="n">
        <v>0.0220390919509036</v>
      </c>
      <c r="I3517" t="n">
        <v>0.0571642527285282</v>
      </c>
      <c r="J3517" t="n">
        <v>0.1258423907352725</v>
      </c>
      <c r="K3517" t="n">
        <v>0.3043449001069249</v>
      </c>
      <c r="L3517" t="b">
        <v>1</v>
      </c>
      <c r="M3517" t="b">
        <v>0</v>
      </c>
      <c r="N3517" t="inlineStr">
        <is>
          <t>alt</t>
        </is>
      </c>
      <c r="O3517" t="n">
        <v>100</v>
      </c>
      <c r="P3517" t="n">
        <v>0.009964000000000001</v>
      </c>
      <c r="Q3517" t="n">
        <v>100</v>
      </c>
      <c r="R3517" t="n">
        <v>0.03784</v>
      </c>
      <c r="S3517">
        <f>IMAGE("https://mitra.stanford.edu/kundaje/oak/projects/neuro-variants/variant_position/credible/roussos_2024/variant_figures/roussos_2024.childhood.GABA/rs2434528_count_position.png",4,220,900)</f>
        <v/>
      </c>
      <c r="T3517">
        <f>IMAGE("https://mitra.stanford.edu/kundaje/oak/projects/neuro-variants/variant_position/credible/roussos_2024/variant_figures/roussos_2024.childhood.GABA/rs2434528_profile_position.png",4,220,900)</f>
        <v/>
      </c>
    </row>
    <row r="3518">
      <c r="A3518" t="inlineStr">
        <is>
          <t>chr5</t>
        </is>
      </c>
      <c r="B3518" t="n">
        <v>154262375</v>
      </c>
      <c r="C3518" t="inlineStr">
        <is>
          <t>C</t>
        </is>
      </c>
      <c r="D3518" t="inlineStr">
        <is>
          <t>G</t>
        </is>
      </c>
      <c r="E3518" t="inlineStr">
        <is>
          <t>rs2434535</t>
        </is>
      </c>
      <c r="F3518" t="n">
        <v>-0.151703304</v>
      </c>
      <c r="G3518" t="n">
        <v>0.0108956183940913</v>
      </c>
      <c r="H3518" t="n">
        <v>0.0274359181471822</v>
      </c>
      <c r="I3518" t="n">
        <v>0.023697063386874</v>
      </c>
      <c r="J3518" t="n">
        <v>0.08200037695545639</v>
      </c>
      <c r="K3518" t="n">
        <v>0.4059884995075359</v>
      </c>
      <c r="L3518" t="b">
        <v>1</v>
      </c>
      <c r="M3518" t="b">
        <v>0</v>
      </c>
      <c r="N3518" t="inlineStr">
        <is>
          <t>ref</t>
        </is>
      </c>
      <c r="O3518" t="n">
        <v>-70</v>
      </c>
      <c r="P3518" t="n">
        <v>0.00418</v>
      </c>
      <c r="Q3518" t="n">
        <v>-55</v>
      </c>
      <c r="R3518" t="n">
        <v>0.05298</v>
      </c>
      <c r="S3518">
        <f>IMAGE("https://mitra.stanford.edu/kundaje/oak/projects/neuro-variants/variant_position/credible/roussos_2024/variant_figures/roussos_2024.childhood.GABA/rs2434535_count_position.png",4,220,900)</f>
        <v/>
      </c>
      <c r="T3518">
        <f>IMAGE("https://mitra.stanford.edu/kundaje/oak/projects/neuro-variants/variant_position/credible/roussos_2024/variant_figures/roussos_2024.childhood.GABA/rs2434535_profile_position.png",4,220,900)</f>
        <v/>
      </c>
    </row>
    <row r="3519">
      <c r="A3519" t="inlineStr">
        <is>
          <t>chr5</t>
        </is>
      </c>
      <c r="B3519" t="n">
        <v>154263006</v>
      </c>
      <c r="C3519" t="inlineStr">
        <is>
          <t>G</t>
        </is>
      </c>
      <c r="D3519" t="inlineStr">
        <is>
          <t>A</t>
        </is>
      </c>
      <c r="E3519" t="inlineStr">
        <is>
          <t>rs693446</t>
        </is>
      </c>
      <c r="F3519" t="n">
        <v>-0.00452971974</v>
      </c>
      <c r="G3519" t="n">
        <v>0.7163442586433698</v>
      </c>
      <c r="H3519" t="n">
        <v>0.008012801851596699</v>
      </c>
      <c r="I3519" t="n">
        <v>0.836237633793531</v>
      </c>
      <c r="J3519" t="n">
        <v>0.0376327197336181</v>
      </c>
      <c r="K3519" t="n">
        <v>0.5554401758534816</v>
      </c>
      <c r="L3519" t="b">
        <v>0</v>
      </c>
      <c r="M3519" t="b">
        <v>0</v>
      </c>
      <c r="N3519" t="inlineStr">
        <is>
          <t>ref</t>
        </is>
      </c>
      <c r="O3519" t="n">
        <v>-70</v>
      </c>
      <c r="P3519" t="n">
        <v>0.004646</v>
      </c>
      <c r="Q3519" t="n">
        <v>85</v>
      </c>
      <c r="R3519" t="n">
        <v>0.02512</v>
      </c>
      <c r="S3519">
        <f>IMAGE("https://mitra.stanford.edu/kundaje/oak/projects/neuro-variants/variant_position/credible/roussos_2024/variant_figures/roussos_2024.childhood.GABA/rs693446_count_position.png",4,220,900)</f>
        <v/>
      </c>
      <c r="T3519">
        <f>IMAGE("https://mitra.stanford.edu/kundaje/oak/projects/neuro-variants/variant_position/credible/roussos_2024/variant_figures/roussos_2024.childhood.GABA/rs693446_profile_position.png",4,220,900)</f>
        <v/>
      </c>
    </row>
    <row r="3520">
      <c r="A3520" t="inlineStr">
        <is>
          <t>chr5</t>
        </is>
      </c>
      <c r="B3520" t="n">
        <v>154274876</v>
      </c>
      <c r="C3520" t="inlineStr">
        <is>
          <t>C</t>
        </is>
      </c>
      <c r="D3520" t="inlineStr">
        <is>
          <t>A</t>
        </is>
      </c>
      <c r="E3520" t="inlineStr">
        <is>
          <t>rs73281462</t>
        </is>
      </c>
      <c r="F3520" t="n">
        <v>0.063319167</v>
      </c>
      <c r="G3520" t="n">
        <v>0.1048011406138216</v>
      </c>
      <c r="H3520" t="n">
        <v>0.0165090252358962</v>
      </c>
      <c r="I3520" t="n">
        <v>0.1627815345337346</v>
      </c>
      <c r="J3520" t="n">
        <v>0.1035569935708152</v>
      </c>
      <c r="K3520" t="n">
        <v>0.3578604242339293</v>
      </c>
      <c r="L3520" t="b">
        <v>0</v>
      </c>
      <c r="M3520" t="b">
        <v>0</v>
      </c>
      <c r="N3520" t="inlineStr">
        <is>
          <t>alt</t>
        </is>
      </c>
      <c r="O3520" t="n">
        <v>-80</v>
      </c>
      <c r="P3520" t="n">
        <v>0.004005</v>
      </c>
      <c r="Q3520" t="n">
        <v>40</v>
      </c>
      <c r="R3520" t="n">
        <v>0.02612</v>
      </c>
      <c r="S3520">
        <f>IMAGE("https://mitra.stanford.edu/kundaje/oak/projects/neuro-variants/variant_position/credible/roussos_2024/variant_figures/roussos_2024.childhood.GABA/rs73281462_count_position.png",4,220,900)</f>
        <v/>
      </c>
      <c r="T3520">
        <f>IMAGE("https://mitra.stanford.edu/kundaje/oak/projects/neuro-variants/variant_position/credible/roussos_2024/variant_figures/roussos_2024.childhood.GABA/rs73281462_profile_position.png",4,220,900)</f>
        <v/>
      </c>
    </row>
    <row r="3521">
      <c r="A3521" t="inlineStr">
        <is>
          <t>chr5</t>
        </is>
      </c>
      <c r="B3521" t="n">
        <v>154275577</v>
      </c>
      <c r="C3521" t="inlineStr">
        <is>
          <t>C</t>
        </is>
      </c>
      <c r="D3521" t="inlineStr">
        <is>
          <t>T</t>
        </is>
      </c>
      <c r="E3521" t="inlineStr">
        <is>
          <t>rs73281464</t>
        </is>
      </c>
      <c r="F3521" t="n">
        <v>0.0347409898</v>
      </c>
      <c r="G3521" t="n">
        <v>0.2430636274341869</v>
      </c>
      <c r="H3521" t="n">
        <v>0.0235570399810184</v>
      </c>
      <c r="I3521" t="n">
        <v>0.0366557705330126</v>
      </c>
      <c r="J3521" t="n">
        <v>0.101073275952336</v>
      </c>
      <c r="K3521" t="n">
        <v>0.3588536355105386</v>
      </c>
      <c r="L3521" t="b">
        <v>0</v>
      </c>
      <c r="M3521" t="b">
        <v>0</v>
      </c>
      <c r="N3521" t="inlineStr">
        <is>
          <t>alt</t>
        </is>
      </c>
      <c r="O3521" t="n">
        <v>-70</v>
      </c>
      <c r="P3521" t="n">
        <v>0.00447</v>
      </c>
      <c r="Q3521" t="n">
        <v>85</v>
      </c>
      <c r="R3521" t="n">
        <v>0.0316</v>
      </c>
      <c r="S3521">
        <f>IMAGE("https://mitra.stanford.edu/kundaje/oak/projects/neuro-variants/variant_position/credible/roussos_2024/variant_figures/roussos_2024.childhood.GABA/rs73281464_count_position.png",4,220,900)</f>
        <v/>
      </c>
      <c r="T3521">
        <f>IMAGE("https://mitra.stanford.edu/kundaje/oak/projects/neuro-variants/variant_position/credible/roussos_2024/variant_figures/roussos_2024.childhood.GABA/rs73281464_profile_position.png",4,220,900)</f>
        <v/>
      </c>
    </row>
    <row r="3522">
      <c r="A3522" t="inlineStr">
        <is>
          <t>chr5</t>
        </is>
      </c>
      <c r="B3522" t="n">
        <v>154291416</v>
      </c>
      <c r="C3522" t="inlineStr">
        <is>
          <t>C</t>
        </is>
      </c>
      <c r="D3522" t="inlineStr">
        <is>
          <t>T</t>
        </is>
      </c>
      <c r="E3522" t="inlineStr">
        <is>
          <t>rs73279685</t>
        </is>
      </c>
      <c r="F3522" t="n">
        <v>-0.112776922</v>
      </c>
      <c r="G3522" t="n">
        <v>0.0221870525063843</v>
      </c>
      <c r="H3522" t="n">
        <v>0.0112415148174326</v>
      </c>
      <c r="I3522" t="n">
        <v>0.5000717749069526</v>
      </c>
      <c r="J3522" t="n">
        <v>0.06755041779229751</v>
      </c>
      <c r="K3522" t="n">
        <v>0.4363958353266019</v>
      </c>
      <c r="L3522" t="b">
        <v>0</v>
      </c>
      <c r="M3522" t="b">
        <v>0</v>
      </c>
      <c r="N3522" t="inlineStr">
        <is>
          <t>ref</t>
        </is>
      </c>
      <c r="O3522" t="n">
        <v>100</v>
      </c>
      <c r="P3522" t="n">
        <v>0.002563</v>
      </c>
      <c r="Q3522" t="n">
        <v>10</v>
      </c>
      <c r="R3522" t="n">
        <v>0.01953</v>
      </c>
      <c r="S3522">
        <f>IMAGE("https://mitra.stanford.edu/kundaje/oak/projects/neuro-variants/variant_position/credible/roussos_2024/variant_figures/roussos_2024.childhood.GABA/rs73279685_count_position.png",4,220,900)</f>
        <v/>
      </c>
      <c r="T3522">
        <f>IMAGE("https://mitra.stanford.edu/kundaje/oak/projects/neuro-variants/variant_position/credible/roussos_2024/variant_figures/roussos_2024.childhood.GABA/rs73279685_profile_position.png",4,220,900)</f>
        <v/>
      </c>
    </row>
    <row r="3523">
      <c r="A3523" t="inlineStr">
        <is>
          <t>chr5</t>
        </is>
      </c>
      <c r="B3523" t="n">
        <v>156384661</v>
      </c>
      <c r="C3523" t="inlineStr">
        <is>
          <t>G</t>
        </is>
      </c>
      <c r="D3523" t="inlineStr">
        <is>
          <t>A</t>
        </is>
      </c>
      <c r="E3523" t="inlineStr">
        <is>
          <t>rs7702643</t>
        </is>
      </c>
      <c r="F3523" t="n">
        <v>-0.00794994322</v>
      </c>
      <c r="G3523" t="n">
        <v>0.6586612281855407</v>
      </c>
      <c r="H3523" t="n">
        <v>0.018393552498367</v>
      </c>
      <c r="I3523" t="n">
        <v>0.1050467304237341</v>
      </c>
      <c r="J3523" t="n">
        <v>0.0229649640845217</v>
      </c>
      <c r="K3523" t="n">
        <v>0.6258792195370688</v>
      </c>
      <c r="L3523" t="b">
        <v>0</v>
      </c>
      <c r="M3523" t="b">
        <v>0</v>
      </c>
      <c r="N3523" t="inlineStr">
        <is>
          <t>ref</t>
        </is>
      </c>
      <c r="O3523" t="n">
        <v>-25</v>
      </c>
      <c r="P3523" t="n">
        <v>0.003403</v>
      </c>
      <c r="Q3523" t="n">
        <v>-85</v>
      </c>
      <c r="R3523" t="n">
        <v>0.03967</v>
      </c>
      <c r="S3523">
        <f>IMAGE("https://mitra.stanford.edu/kundaje/oak/projects/neuro-variants/variant_position/credible/roussos_2024/variant_figures/roussos_2024.childhood.GABA/rs7702643_count_position.png",4,220,900)</f>
        <v/>
      </c>
      <c r="T3523">
        <f>IMAGE("https://mitra.stanford.edu/kundaje/oak/projects/neuro-variants/variant_position/credible/roussos_2024/variant_figures/roussos_2024.childhood.GABA/rs7702643_profile_position.png",4,220,900)</f>
        <v/>
      </c>
    </row>
    <row r="3524">
      <c r="A3524" t="inlineStr">
        <is>
          <t>chr5</t>
        </is>
      </c>
      <c r="B3524" t="n">
        <v>156391078</v>
      </c>
      <c r="C3524" t="inlineStr">
        <is>
          <t>C</t>
        </is>
      </c>
      <c r="D3524" t="inlineStr">
        <is>
          <t>T</t>
        </is>
      </c>
      <c r="E3524" t="inlineStr">
        <is>
          <t>rs6556578</t>
        </is>
      </c>
      <c r="F3524" t="n">
        <v>-0.0623563544</v>
      </c>
      <c r="G3524" t="n">
        <v>0.1007192493109038</v>
      </c>
      <c r="H3524" t="n">
        <v>0.0130816833627888</v>
      </c>
      <c r="I3524" t="n">
        <v>0.3356279818918772</v>
      </c>
      <c r="J3524" t="n">
        <v>0.1353092081841217</v>
      </c>
      <c r="K3524" t="n">
        <v>0.2901425944593216</v>
      </c>
      <c r="L3524" t="b">
        <v>0</v>
      </c>
      <c r="M3524" t="b">
        <v>0</v>
      </c>
      <c r="N3524" t="inlineStr">
        <is>
          <t>ref</t>
        </is>
      </c>
      <c r="O3524" t="n">
        <v>-15</v>
      </c>
      <c r="P3524" t="n">
        <v>0.001719</v>
      </c>
      <c r="Q3524" t="n">
        <v>80</v>
      </c>
      <c r="R3524" t="n">
        <v>0.1138</v>
      </c>
      <c r="S3524">
        <f>IMAGE("https://mitra.stanford.edu/kundaje/oak/projects/neuro-variants/variant_position/credible/roussos_2024/variant_figures/roussos_2024.childhood.GABA/rs6556578_count_position.png",4,220,900)</f>
        <v/>
      </c>
      <c r="T3524">
        <f>IMAGE("https://mitra.stanford.edu/kundaje/oak/projects/neuro-variants/variant_position/credible/roussos_2024/variant_figures/roussos_2024.childhood.GABA/rs6556578_profile_position.png",4,220,900)</f>
        <v/>
      </c>
    </row>
    <row r="3525">
      <c r="A3525" t="inlineStr">
        <is>
          <t>chr5</t>
        </is>
      </c>
      <c r="B3525" t="n">
        <v>156392721</v>
      </c>
      <c r="C3525" t="inlineStr">
        <is>
          <t>G</t>
        </is>
      </c>
      <c r="D3525" t="inlineStr">
        <is>
          <t>A</t>
        </is>
      </c>
      <c r="E3525" t="inlineStr">
        <is>
          <t>rs10036164</t>
        </is>
      </c>
      <c r="F3525" t="n">
        <v>0.0290215198</v>
      </c>
      <c r="G3525" t="n">
        <v>0.3074718006964042</v>
      </c>
      <c r="H3525" t="n">
        <v>0.0149950861564652</v>
      </c>
      <c r="I3525" t="n">
        <v>0.2164622371810106</v>
      </c>
      <c r="J3525" t="n">
        <v>0.1054459592469267</v>
      </c>
      <c r="K3525" t="n">
        <v>0.3583199372149432</v>
      </c>
      <c r="L3525" t="b">
        <v>0</v>
      </c>
      <c r="M3525" t="b">
        <v>0</v>
      </c>
      <c r="N3525" t="inlineStr">
        <is>
          <t>alt</t>
        </is>
      </c>
      <c r="O3525" t="n">
        <v>-100</v>
      </c>
      <c r="P3525" t="n">
        <v>0.001793</v>
      </c>
      <c r="Q3525" t="n">
        <v>20</v>
      </c>
      <c r="R3525" t="n">
        <v>0.03842</v>
      </c>
      <c r="S3525">
        <f>IMAGE("https://mitra.stanford.edu/kundaje/oak/projects/neuro-variants/variant_position/credible/roussos_2024/variant_figures/roussos_2024.childhood.GABA/rs10036164_count_position.png",4,220,900)</f>
        <v/>
      </c>
      <c r="T3525">
        <f>IMAGE("https://mitra.stanford.edu/kundaje/oak/projects/neuro-variants/variant_position/credible/roussos_2024/variant_figures/roussos_2024.childhood.GABA/rs10036164_profile_position.png",4,220,900)</f>
        <v/>
      </c>
    </row>
    <row r="3526">
      <c r="A3526" t="inlineStr">
        <is>
          <t>chr5</t>
        </is>
      </c>
      <c r="B3526" t="n">
        <v>156414643</v>
      </c>
      <c r="C3526" t="inlineStr">
        <is>
          <t>G</t>
        </is>
      </c>
      <c r="D3526" t="inlineStr">
        <is>
          <t>A</t>
        </is>
      </c>
      <c r="E3526" t="inlineStr">
        <is>
          <t>rs35414747</t>
        </is>
      </c>
      <c r="F3526" t="n">
        <v>-0.171154319</v>
      </c>
      <c r="G3526" t="n">
        <v>0.007903979911334499</v>
      </c>
      <c r="H3526" t="n">
        <v>0.0206068867464552</v>
      </c>
      <c r="I3526" t="n">
        <v>0.06706610444223481</v>
      </c>
      <c r="J3526" t="n">
        <v>0.2604563255219785</v>
      </c>
      <c r="K3526" t="n">
        <v>0.1592951991691829</v>
      </c>
      <c r="L3526" t="b">
        <v>1</v>
      </c>
      <c r="M3526" t="b">
        <v>1</v>
      </c>
      <c r="N3526" t="inlineStr">
        <is>
          <t>ref</t>
        </is>
      </c>
      <c r="O3526" t="n">
        <v>-15</v>
      </c>
      <c r="P3526" t="n">
        <v>0.001984</v>
      </c>
      <c r="Q3526" t="n">
        <v>-30</v>
      </c>
      <c r="R3526" t="n">
        <v>0.04443</v>
      </c>
      <c r="S3526">
        <f>IMAGE("https://mitra.stanford.edu/kundaje/oak/projects/neuro-variants/variant_position/credible/roussos_2024/variant_figures/roussos_2024.childhood.GABA/rs35414747_count_position.png",4,220,900)</f>
        <v/>
      </c>
      <c r="T3526">
        <f>IMAGE("https://mitra.stanford.edu/kundaje/oak/projects/neuro-variants/variant_position/credible/roussos_2024/variant_figures/roussos_2024.childhood.GABA/rs35414747_profile_position.png",4,220,900)</f>
        <v/>
      </c>
    </row>
    <row r="3527">
      <c r="A3527" t="inlineStr">
        <is>
          <t>chr6</t>
        </is>
      </c>
      <c r="B3527" t="n">
        <v>16343362</v>
      </c>
      <c r="C3527" t="inlineStr">
        <is>
          <t>A</t>
        </is>
      </c>
      <c r="D3527" t="inlineStr">
        <is>
          <t>G</t>
        </is>
      </c>
      <c r="E3527" t="inlineStr">
        <is>
          <t>rs9367911</t>
        </is>
      </c>
      <c r="F3527" t="n">
        <v>-0.0013248416799999</v>
      </c>
      <c r="G3527" t="n">
        <v>0.7920611505283782</v>
      </c>
      <c r="H3527" t="n">
        <v>0.0202932957863736</v>
      </c>
      <c r="I3527" t="n">
        <v>0.071921818403509</v>
      </c>
      <c r="J3527" t="n">
        <v>0.2914137923813114</v>
      </c>
      <c r="K3527" t="n">
        <v>0.1436875858609246</v>
      </c>
      <c r="L3527" t="b">
        <v>0</v>
      </c>
      <c r="M3527" t="b">
        <v>0</v>
      </c>
      <c r="N3527" t="inlineStr">
        <is>
          <t>ref</t>
        </is>
      </c>
      <c r="O3527" t="n">
        <v>-80</v>
      </c>
      <c r="P3527" t="n">
        <v>0.01755</v>
      </c>
      <c r="Q3527" t="n">
        <v>95</v>
      </c>
      <c r="R3527" t="n">
        <v>0.1155</v>
      </c>
      <c r="S3527">
        <f>IMAGE("https://mitra.stanford.edu/kundaje/oak/projects/neuro-variants/variant_position/credible/roussos_2024/variant_figures/roussos_2024.childhood.GABA/rs9367911_count_position.png",4,220,900)</f>
        <v/>
      </c>
      <c r="T3527">
        <f>IMAGE("https://mitra.stanford.edu/kundaje/oak/projects/neuro-variants/variant_position/credible/roussos_2024/variant_figures/roussos_2024.childhood.GABA/rs9367911_profile_position.png",4,220,900)</f>
        <v/>
      </c>
    </row>
    <row r="3528">
      <c r="A3528" t="inlineStr">
        <is>
          <t>chr6</t>
        </is>
      </c>
      <c r="B3528" t="n">
        <v>50830050</v>
      </c>
      <c r="C3528" t="inlineStr">
        <is>
          <t>A</t>
        </is>
      </c>
      <c r="D3528" t="inlineStr">
        <is>
          <t>G</t>
        </is>
      </c>
      <c r="E3528" t="inlineStr">
        <is>
          <t>rs2857504</t>
        </is>
      </c>
      <c r="F3528" t="n">
        <v>0.179428348</v>
      </c>
      <c r="G3528" t="n">
        <v>0.0068169418122402</v>
      </c>
      <c r="H3528" t="n">
        <v>0.024628356287646</v>
      </c>
      <c r="I3528" t="n">
        <v>0.0340922075618353</v>
      </c>
      <c r="J3528" t="n">
        <v>0.5054909844820004</v>
      </c>
      <c r="K3528" t="n">
        <v>0.0504666906517915</v>
      </c>
      <c r="L3528" t="b">
        <v>1</v>
      </c>
      <c r="M3528" t="b">
        <v>1</v>
      </c>
      <c r="N3528" t="inlineStr">
        <is>
          <t>alt</t>
        </is>
      </c>
      <c r="O3528" t="n">
        <v>100</v>
      </c>
      <c r="P3528" t="n">
        <v>0.01076</v>
      </c>
      <c r="Q3528" t="n">
        <v>75</v>
      </c>
      <c r="R3528" t="n">
        <v>0.145</v>
      </c>
      <c r="S3528">
        <f>IMAGE("https://mitra.stanford.edu/kundaje/oak/projects/neuro-variants/variant_position/credible/roussos_2024/variant_figures/roussos_2024.childhood.GABA/rs2857504_count_position.png",4,220,900)</f>
        <v/>
      </c>
      <c r="T3528">
        <f>IMAGE("https://mitra.stanford.edu/kundaje/oak/projects/neuro-variants/variant_position/credible/roussos_2024/variant_figures/roussos_2024.childhood.GABA/rs2857504_profile_position.png",4,220,900)</f>
        <v/>
      </c>
    </row>
    <row r="3529">
      <c r="A3529" t="inlineStr">
        <is>
          <t>chr6</t>
        </is>
      </c>
      <c r="B3529" t="n">
        <v>50842827</v>
      </c>
      <c r="C3529" t="inlineStr">
        <is>
          <t>T</t>
        </is>
      </c>
      <c r="D3529" t="inlineStr">
        <is>
          <t>C</t>
        </is>
      </c>
      <c r="E3529" t="inlineStr">
        <is>
          <t>rs2245173</t>
        </is>
      </c>
      <c r="F3529" t="n">
        <v>0.0488789744</v>
      </c>
      <c r="G3529" t="n">
        <v>0.1487789185443508</v>
      </c>
      <c r="H3529" t="n">
        <v>0.0137531447413568</v>
      </c>
      <c r="I3529" t="n">
        <v>0.3014319346232958</v>
      </c>
      <c r="J3529" t="n">
        <v>0.5491089191849385</v>
      </c>
      <c r="K3529" t="n">
        <v>0.0397051012374327</v>
      </c>
      <c r="L3529" t="b">
        <v>0</v>
      </c>
      <c r="M3529" t="b">
        <v>0</v>
      </c>
      <c r="N3529" t="inlineStr">
        <is>
          <t>alt</t>
        </is>
      </c>
      <c r="O3529" t="n">
        <v>80</v>
      </c>
      <c r="P3529" t="n">
        <v>0.008514000000000001</v>
      </c>
      <c r="Q3529" t="n">
        <v>90</v>
      </c>
      <c r="R3529" t="n">
        <v>0.2566</v>
      </c>
      <c r="S3529">
        <f>IMAGE("https://mitra.stanford.edu/kundaje/oak/projects/neuro-variants/variant_position/credible/roussos_2024/variant_figures/roussos_2024.childhood.GABA/rs2245173_count_position.png",4,220,900)</f>
        <v/>
      </c>
      <c r="T3529">
        <f>IMAGE("https://mitra.stanford.edu/kundaje/oak/projects/neuro-variants/variant_position/credible/roussos_2024/variant_figures/roussos_2024.childhood.GABA/rs2245173_profile_position.png",4,220,900)</f>
        <v/>
      </c>
    </row>
    <row r="3530">
      <c r="A3530" t="inlineStr">
        <is>
          <t>chr6</t>
        </is>
      </c>
      <c r="B3530" t="n">
        <v>50843402</v>
      </c>
      <c r="C3530" t="inlineStr">
        <is>
          <t>A</t>
        </is>
      </c>
      <c r="D3530" t="inlineStr">
        <is>
          <t>T</t>
        </is>
      </c>
      <c r="E3530" t="inlineStr">
        <is>
          <t>rs2857513</t>
        </is>
      </c>
      <c r="F3530" t="n">
        <v>0.003089533862</v>
      </c>
      <c r="G3530" t="n">
        <v>0.8429793577330287</v>
      </c>
      <c r="H3530" t="n">
        <v>0.0214275626990975</v>
      </c>
      <c r="I3530" t="n">
        <v>0.0571684010185776</v>
      </c>
      <c r="J3530" t="n">
        <v>0.6598531967916903</v>
      </c>
      <c r="K3530" t="n">
        <v>0.0198384645243793</v>
      </c>
      <c r="L3530" t="b">
        <v>0</v>
      </c>
      <c r="M3530" t="b">
        <v>0</v>
      </c>
      <c r="N3530" t="inlineStr">
        <is>
          <t>alt</t>
        </is>
      </c>
      <c r="O3530" t="n">
        <v>70</v>
      </c>
      <c r="P3530" t="n">
        <v>0.003754</v>
      </c>
      <c r="Q3530" t="n">
        <v>-100</v>
      </c>
      <c r="R3530" t="n">
        <v>0.2703</v>
      </c>
      <c r="S3530">
        <f>IMAGE("https://mitra.stanford.edu/kundaje/oak/projects/neuro-variants/variant_position/credible/roussos_2024/variant_figures/roussos_2024.childhood.GABA/rs2857513_count_position.png",4,220,900)</f>
        <v/>
      </c>
      <c r="T3530">
        <f>IMAGE("https://mitra.stanford.edu/kundaje/oak/projects/neuro-variants/variant_position/credible/roussos_2024/variant_figures/roussos_2024.childhood.GABA/rs2857513_profile_position.png",4,220,900)</f>
        <v/>
      </c>
    </row>
    <row r="3531">
      <c r="A3531" t="inlineStr">
        <is>
          <t>chr6</t>
        </is>
      </c>
      <c r="B3531" t="n">
        <v>50846914</v>
      </c>
      <c r="C3531" t="inlineStr">
        <is>
          <t>C</t>
        </is>
      </c>
      <c r="D3531" t="inlineStr">
        <is>
          <t>A</t>
        </is>
      </c>
      <c r="E3531" t="inlineStr">
        <is>
          <t>rs13195969</t>
        </is>
      </c>
      <c r="F3531" t="n">
        <v>0.1077548532</v>
      </c>
      <c r="G3531" t="n">
        <v>0.0247935301548081</v>
      </c>
      <c r="H3531" t="n">
        <v>0.0323537050720961</v>
      </c>
      <c r="I3531" t="n">
        <v>0.009858699913826799</v>
      </c>
      <c r="J3531" t="n">
        <v>0.2024659169441477</v>
      </c>
      <c r="K3531" t="n">
        <v>0.2142523569795173</v>
      </c>
      <c r="L3531" t="b">
        <v>1</v>
      </c>
      <c r="M3531" t="b">
        <v>1</v>
      </c>
      <c r="N3531" t="inlineStr">
        <is>
          <t>alt</t>
        </is>
      </c>
      <c r="O3531" t="n">
        <v>90</v>
      </c>
      <c r="P3531" t="n">
        <v>0.002161</v>
      </c>
      <c r="Q3531" t="n">
        <v>-20</v>
      </c>
      <c r="R3531" t="n">
        <v>0.02844</v>
      </c>
      <c r="S3531">
        <f>IMAGE("https://mitra.stanford.edu/kundaje/oak/projects/neuro-variants/variant_position/credible/roussos_2024/variant_figures/roussos_2024.childhood.GABA/rs13195969_count_position.png",4,220,900)</f>
        <v/>
      </c>
      <c r="T3531">
        <f>IMAGE("https://mitra.stanford.edu/kundaje/oak/projects/neuro-variants/variant_position/credible/roussos_2024/variant_figures/roussos_2024.childhood.GABA/rs13195969_profile_position.png",4,220,900)</f>
        <v/>
      </c>
    </row>
    <row r="3532">
      <c r="A3532" t="inlineStr">
        <is>
          <t>chr6</t>
        </is>
      </c>
      <c r="B3532" t="n">
        <v>50847801</v>
      </c>
      <c r="C3532" t="inlineStr">
        <is>
          <t>T</t>
        </is>
      </c>
      <c r="D3532" t="inlineStr">
        <is>
          <t>A</t>
        </is>
      </c>
      <c r="E3532" t="inlineStr">
        <is>
          <t>rs56240592</t>
        </is>
      </c>
      <c r="F3532" t="n">
        <v>-0.00575532122</v>
      </c>
      <c r="G3532" t="n">
        <v>0.7016631950919159</v>
      </c>
      <c r="H3532" t="n">
        <v>0.0286534397150153</v>
      </c>
      <c r="I3532" t="n">
        <v>0.0161484021463682</v>
      </c>
      <c r="J3532" t="n">
        <v>0.07368641494418959</v>
      </c>
      <c r="K3532" t="n">
        <v>0.4165048286793292</v>
      </c>
      <c r="L3532" t="b">
        <v>1</v>
      </c>
      <c r="M3532" t="b">
        <v>0</v>
      </c>
      <c r="N3532" t="inlineStr">
        <is>
          <t>ref</t>
        </is>
      </c>
      <c r="O3532" t="n">
        <v>45</v>
      </c>
      <c r="P3532" t="n">
        <v>0.003296</v>
      </c>
      <c r="Q3532" t="n">
        <v>-20</v>
      </c>
      <c r="R3532" t="n">
        <v>0.05957</v>
      </c>
      <c r="S3532">
        <f>IMAGE("https://mitra.stanford.edu/kundaje/oak/projects/neuro-variants/variant_position/credible/roussos_2024/variant_figures/roussos_2024.childhood.GABA/rs56240592_count_position.png",4,220,900)</f>
        <v/>
      </c>
      <c r="T3532">
        <f>IMAGE("https://mitra.stanford.edu/kundaje/oak/projects/neuro-variants/variant_position/credible/roussos_2024/variant_figures/roussos_2024.childhood.GABA/rs56240592_profile_position.png",4,220,900)</f>
        <v/>
      </c>
    </row>
    <row r="3533">
      <c r="A3533" t="inlineStr">
        <is>
          <t>chr6</t>
        </is>
      </c>
      <c r="B3533" t="n">
        <v>50854368</v>
      </c>
      <c r="C3533" t="inlineStr">
        <is>
          <t>C</t>
        </is>
      </c>
      <c r="D3533" t="inlineStr">
        <is>
          <t>T</t>
        </is>
      </c>
      <c r="E3533" t="inlineStr">
        <is>
          <t>rs9463650</t>
        </is>
      </c>
      <c r="F3533" t="n">
        <v>0.0914675818</v>
      </c>
      <c r="G3533" t="n">
        <v>0.0367087472832537</v>
      </c>
      <c r="H3533" t="n">
        <v>0.0196523235188234</v>
      </c>
      <c r="I3533" t="n">
        <v>0.0809115621041249</v>
      </c>
      <c r="J3533" t="n">
        <v>0.09229126091600171</v>
      </c>
      <c r="K3533" t="n">
        <v>0.3685055159967363</v>
      </c>
      <c r="L3533" t="b">
        <v>0</v>
      </c>
      <c r="M3533" t="b">
        <v>0</v>
      </c>
      <c r="N3533" t="inlineStr">
        <is>
          <t>alt</t>
        </is>
      </c>
      <c r="O3533" t="n">
        <v>-35</v>
      </c>
      <c r="P3533" t="n">
        <v>0.003746</v>
      </c>
      <c r="Q3533" t="n">
        <v>-100</v>
      </c>
      <c r="R3533" t="n">
        <v>0.1273</v>
      </c>
      <c r="S3533">
        <f>IMAGE("https://mitra.stanford.edu/kundaje/oak/projects/neuro-variants/variant_position/credible/roussos_2024/variant_figures/roussos_2024.childhood.GABA/rs9463650_count_position.png",4,220,900)</f>
        <v/>
      </c>
      <c r="T3533">
        <f>IMAGE("https://mitra.stanford.edu/kundaje/oak/projects/neuro-variants/variant_position/credible/roussos_2024/variant_figures/roussos_2024.childhood.GABA/rs9463650_profile_position.png",4,220,900)</f>
        <v/>
      </c>
    </row>
    <row r="3534">
      <c r="A3534" t="inlineStr">
        <is>
          <t>chr6</t>
        </is>
      </c>
      <c r="B3534" t="n">
        <v>50934857</v>
      </c>
      <c r="C3534" t="inlineStr">
        <is>
          <t>T</t>
        </is>
      </c>
      <c r="D3534" t="inlineStr">
        <is>
          <t>A</t>
        </is>
      </c>
      <c r="E3534" t="inlineStr">
        <is>
          <t>rs9463664</t>
        </is>
      </c>
      <c r="F3534" t="n">
        <v>-0.00620756286</v>
      </c>
      <c r="G3534" t="n">
        <v>0.5349499334944354</v>
      </c>
      <c r="H3534" t="n">
        <v>0.0101712718558055</v>
      </c>
      <c r="I3534" t="n">
        <v>0.616886752083507</v>
      </c>
      <c r="J3534" t="n">
        <v>0.0011256308768402</v>
      </c>
      <c r="K3534" t="n">
        <v>0.9072056499259094</v>
      </c>
      <c r="L3534" t="b">
        <v>0</v>
      </c>
      <c r="M3534" t="b">
        <v>0</v>
      </c>
      <c r="N3534" t="inlineStr">
        <is>
          <t>ref</t>
        </is>
      </c>
      <c r="O3534" t="n">
        <v>90</v>
      </c>
      <c r="P3534" t="n">
        <v>0.02141</v>
      </c>
      <c r="Q3534" t="n">
        <v>-65</v>
      </c>
      <c r="R3534" t="n">
        <v>0.06143</v>
      </c>
      <c r="S3534">
        <f>IMAGE("https://mitra.stanford.edu/kundaje/oak/projects/neuro-variants/variant_position/credible/roussos_2024/variant_figures/roussos_2024.childhood.GABA/rs9463664_count_position.png",4,220,900)</f>
        <v/>
      </c>
      <c r="T3534">
        <f>IMAGE("https://mitra.stanford.edu/kundaje/oak/projects/neuro-variants/variant_position/credible/roussos_2024/variant_figures/roussos_2024.childhood.GABA/rs9463664_profile_position.png",4,220,900)</f>
        <v/>
      </c>
    </row>
    <row r="3535">
      <c r="A3535" t="inlineStr">
        <is>
          <t>chr6</t>
        </is>
      </c>
      <c r="B3535" t="n">
        <v>50956814</v>
      </c>
      <c r="C3535" t="inlineStr">
        <is>
          <t>T</t>
        </is>
      </c>
      <c r="D3535" t="inlineStr">
        <is>
          <t>G</t>
        </is>
      </c>
      <c r="E3535" t="inlineStr">
        <is>
          <t>rs2894780</t>
        </is>
      </c>
      <c r="F3535" t="n">
        <v>0.0383289758</v>
      </c>
      <c r="G3535" t="n">
        <v>0.2051772307922172</v>
      </c>
      <c r="H3535" t="n">
        <v>0.0166464887912755</v>
      </c>
      <c r="I3535" t="n">
        <v>0.1557343015711902</v>
      </c>
      <c r="J3535" t="n">
        <v>0.1516512743188624</v>
      </c>
      <c r="K3535" t="n">
        <v>0.266344558974098</v>
      </c>
      <c r="L3535" t="b">
        <v>0</v>
      </c>
      <c r="M3535" t="b">
        <v>0</v>
      </c>
      <c r="N3535" t="inlineStr">
        <is>
          <t>alt</t>
        </is>
      </c>
      <c r="O3535" t="n">
        <v>70</v>
      </c>
      <c r="P3535" t="n">
        <v>0.00958</v>
      </c>
      <c r="Q3535" t="n">
        <v>95</v>
      </c>
      <c r="R3535" t="n">
        <v>0.1757</v>
      </c>
      <c r="S3535">
        <f>IMAGE("https://mitra.stanford.edu/kundaje/oak/projects/neuro-variants/variant_position/credible/roussos_2024/variant_figures/roussos_2024.childhood.GABA/rs2894780_count_position.png",4,220,900)</f>
        <v/>
      </c>
      <c r="T3535">
        <f>IMAGE("https://mitra.stanford.edu/kundaje/oak/projects/neuro-variants/variant_position/credible/roussos_2024/variant_figures/roussos_2024.childhood.GABA/rs2894780_profile_position.png",4,220,900)</f>
        <v/>
      </c>
    </row>
    <row r="3536">
      <c r="A3536" t="inlineStr">
        <is>
          <t>chr6</t>
        </is>
      </c>
      <c r="B3536" t="n">
        <v>63416275</v>
      </c>
      <c r="C3536" t="inlineStr">
        <is>
          <t>T</t>
        </is>
      </c>
      <c r="D3536" t="inlineStr">
        <is>
          <t>C</t>
        </is>
      </c>
      <c r="E3536" t="inlineStr">
        <is>
          <t>rs9341835</t>
        </is>
      </c>
      <c r="F3536" t="n">
        <v>-0.02745498992</v>
      </c>
      <c r="G3536" t="n">
        <v>0.3456856411078352</v>
      </c>
      <c r="H3536" t="n">
        <v>0.012929932458055</v>
      </c>
      <c r="I3536" t="n">
        <v>0.3623790618188447</v>
      </c>
      <c r="J3536" t="n">
        <v>0.0446440912232204</v>
      </c>
      <c r="K3536" t="n">
        <v>0.5138946815026203</v>
      </c>
      <c r="L3536" t="b">
        <v>0</v>
      </c>
      <c r="M3536" t="b">
        <v>0</v>
      </c>
      <c r="N3536" t="inlineStr">
        <is>
          <t>ref</t>
        </is>
      </c>
      <c r="O3536" t="n">
        <v>-95</v>
      </c>
      <c r="P3536" t="n">
        <v>0.04398</v>
      </c>
      <c r="Q3536" t="n">
        <v>-65</v>
      </c>
      <c r="R3536" t="n">
        <v>0.1133</v>
      </c>
      <c r="S3536">
        <f>IMAGE("https://mitra.stanford.edu/kundaje/oak/projects/neuro-variants/variant_position/credible/roussos_2024/variant_figures/roussos_2024.childhood.GABA/rs9341835_count_position.png",4,220,900)</f>
        <v/>
      </c>
      <c r="T3536">
        <f>IMAGE("https://mitra.stanford.edu/kundaje/oak/projects/neuro-variants/variant_position/credible/roussos_2024/variant_figures/roussos_2024.childhood.GABA/rs9341835_profile_position.png",4,220,900)</f>
        <v/>
      </c>
    </row>
    <row r="3537">
      <c r="A3537" t="inlineStr">
        <is>
          <t>chr6</t>
        </is>
      </c>
      <c r="B3537" t="n">
        <v>63442896</v>
      </c>
      <c r="C3537" t="inlineStr">
        <is>
          <t>C</t>
        </is>
      </c>
      <c r="D3537" t="inlineStr">
        <is>
          <t>T</t>
        </is>
      </c>
      <c r="E3537" t="inlineStr">
        <is>
          <t>rs9344129</t>
        </is>
      </c>
      <c r="F3537" t="n">
        <v>-0.0276746248</v>
      </c>
      <c r="G3537" t="n">
        <v>0.3207089785153043</v>
      </c>
      <c r="H3537" t="n">
        <v>0.0110270950034261</v>
      </c>
      <c r="I3537" t="n">
        <v>0.5341349032750117</v>
      </c>
      <c r="J3537" t="n">
        <v>0.4143180247534083</v>
      </c>
      <c r="K3537" t="n">
        <v>0.0788046615556028</v>
      </c>
      <c r="L3537" t="b">
        <v>0</v>
      </c>
      <c r="M3537" t="b">
        <v>0</v>
      </c>
      <c r="N3537" t="inlineStr">
        <is>
          <t>ref</t>
        </is>
      </c>
      <c r="O3537" t="n">
        <v>15</v>
      </c>
      <c r="P3537" t="n">
        <v>0.002226</v>
      </c>
      <c r="Q3537" t="n">
        <v>100</v>
      </c>
      <c r="R3537" t="n">
        <v>0.06137</v>
      </c>
      <c r="S3537">
        <f>IMAGE("https://mitra.stanford.edu/kundaje/oak/projects/neuro-variants/variant_position/credible/roussos_2024/variant_figures/roussos_2024.childhood.GABA/rs9344129_count_position.png",4,220,900)</f>
        <v/>
      </c>
      <c r="T3537">
        <f>IMAGE("https://mitra.stanford.edu/kundaje/oak/projects/neuro-variants/variant_position/credible/roussos_2024/variant_figures/roussos_2024.childhood.GABA/rs9344129_profile_position.png",4,220,900)</f>
        <v/>
      </c>
    </row>
    <row r="3538">
      <c r="A3538" t="inlineStr">
        <is>
          <t>chr6</t>
        </is>
      </c>
      <c r="B3538" t="n">
        <v>63481681</v>
      </c>
      <c r="C3538" t="inlineStr">
        <is>
          <t>T</t>
        </is>
      </c>
      <c r="D3538" t="inlineStr">
        <is>
          <t>C</t>
        </is>
      </c>
      <c r="E3538" t="inlineStr">
        <is>
          <t>rs10943823</t>
        </is>
      </c>
      <c r="F3538" t="n">
        <v>0.0107608498</v>
      </c>
      <c r="G3538" t="n">
        <v>0.5658611103909954</v>
      </c>
      <c r="H3538" t="n">
        <v>0.0283670500822968</v>
      </c>
      <c r="I3538" t="n">
        <v>0.0168549659843163</v>
      </c>
      <c r="J3538" t="n">
        <v>0.036223325165965</v>
      </c>
      <c r="K3538" t="n">
        <v>0.5567708452572132</v>
      </c>
      <c r="L3538" t="b">
        <v>1</v>
      </c>
      <c r="M3538" t="b">
        <v>0</v>
      </c>
      <c r="N3538" t="inlineStr">
        <is>
          <t>alt</t>
        </is>
      </c>
      <c r="O3538" t="n">
        <v>-100</v>
      </c>
      <c r="P3538" t="n">
        <v>0.03848</v>
      </c>
      <c r="Q3538" t="n">
        <v>-95</v>
      </c>
      <c r="R3538" t="n">
        <v>0.0919</v>
      </c>
      <c r="S3538">
        <f>IMAGE("https://mitra.stanford.edu/kundaje/oak/projects/neuro-variants/variant_position/credible/roussos_2024/variant_figures/roussos_2024.childhood.GABA/rs10943823_count_position.png",4,220,900)</f>
        <v/>
      </c>
      <c r="T3538">
        <f>IMAGE("https://mitra.stanford.edu/kundaje/oak/projects/neuro-variants/variant_position/credible/roussos_2024/variant_figures/roussos_2024.childhood.GABA/rs10943823_profile_position.png",4,220,900)</f>
        <v/>
      </c>
    </row>
    <row r="3539">
      <c r="A3539" t="inlineStr">
        <is>
          <t>chr6</t>
        </is>
      </c>
      <c r="B3539" t="n">
        <v>72433995</v>
      </c>
      <c r="C3539" t="inlineStr">
        <is>
          <t>A</t>
        </is>
      </c>
      <c r="D3539" t="inlineStr">
        <is>
          <t>C</t>
        </is>
      </c>
      <c r="E3539" t="inlineStr">
        <is>
          <t>rs2789588</t>
        </is>
      </c>
      <c r="F3539" t="n">
        <v>-0.0273674140999999</v>
      </c>
      <c r="G3539" t="n">
        <v>0.2456215449893948</v>
      </c>
      <c r="H3539" t="n">
        <v>0.0116517947831744</v>
      </c>
      <c r="I3539" t="n">
        <v>0.4123416625093827</v>
      </c>
      <c r="J3539" t="n">
        <v>0.06949383258989331</v>
      </c>
      <c r="K3539" t="n">
        <v>0.4197255064560372</v>
      </c>
      <c r="L3539" t="b">
        <v>0</v>
      </c>
      <c r="M3539" t="b">
        <v>0</v>
      </c>
      <c r="N3539" t="inlineStr">
        <is>
          <t>ref</t>
        </is>
      </c>
      <c r="O3539" t="n">
        <v>100</v>
      </c>
      <c r="P3539" t="n">
        <v>0.01236</v>
      </c>
      <c r="Q3539" t="n">
        <v>0</v>
      </c>
      <c r="R3539" t="n">
        <v>0</v>
      </c>
      <c r="S3539">
        <f>IMAGE("https://mitra.stanford.edu/kundaje/oak/projects/neuro-variants/variant_position/credible/roussos_2024/variant_figures/roussos_2024.childhood.GABA/rs2789588_count_position.png",4,220,900)</f>
        <v/>
      </c>
      <c r="T3539">
        <f>IMAGE("https://mitra.stanford.edu/kundaje/oak/projects/neuro-variants/variant_position/credible/roussos_2024/variant_figures/roussos_2024.childhood.GABA/rs2789588_profile_position.png",4,220,900)</f>
        <v/>
      </c>
    </row>
    <row r="3540">
      <c r="A3540" t="inlineStr">
        <is>
          <t>chr6</t>
        </is>
      </c>
      <c r="B3540" t="n">
        <v>72448224</v>
      </c>
      <c r="C3540" t="inlineStr">
        <is>
          <t>C</t>
        </is>
      </c>
      <c r="D3540" t="inlineStr">
        <is>
          <t>A</t>
        </is>
      </c>
      <c r="E3540" t="inlineStr">
        <is>
          <t>rs1856507</t>
        </is>
      </c>
      <c r="F3540" t="n">
        <v>0.001346999074</v>
      </c>
      <c r="G3540" t="n">
        <v>0.7384039750889744</v>
      </c>
      <c r="H3540" t="n">
        <v>0.0074614425182819</v>
      </c>
      <c r="I3540" t="n">
        <v>0.9071388830601717</v>
      </c>
      <c r="J3540" t="n">
        <v>0.008761073066532499</v>
      </c>
      <c r="K3540" t="n">
        <v>0.7744947457792689</v>
      </c>
      <c r="L3540" t="b">
        <v>0</v>
      </c>
      <c r="M3540" t="b">
        <v>0</v>
      </c>
      <c r="N3540" t="inlineStr">
        <is>
          <t>alt</t>
        </is>
      </c>
      <c r="O3540" t="n">
        <v>-100</v>
      </c>
      <c r="P3540" t="n">
        <v>0.009894999999999999</v>
      </c>
      <c r="Q3540" t="n">
        <v>55</v>
      </c>
      <c r="R3540" t="n">
        <v>0.04468</v>
      </c>
      <c r="S3540">
        <f>IMAGE("https://mitra.stanford.edu/kundaje/oak/projects/neuro-variants/variant_position/credible/roussos_2024/variant_figures/roussos_2024.childhood.GABA/rs1856507_count_position.png",4,220,900)</f>
        <v/>
      </c>
      <c r="T3540">
        <f>IMAGE("https://mitra.stanford.edu/kundaje/oak/projects/neuro-variants/variant_position/credible/roussos_2024/variant_figures/roussos_2024.childhood.GABA/rs1856507_profile_position.png",4,220,900)</f>
        <v/>
      </c>
    </row>
    <row r="3541">
      <c r="A3541" t="inlineStr">
        <is>
          <t>chr6</t>
        </is>
      </c>
      <c r="B3541" t="n">
        <v>83582853</v>
      </c>
      <c r="C3541" t="inlineStr">
        <is>
          <t>C</t>
        </is>
      </c>
      <c r="D3541" t="inlineStr">
        <is>
          <t>T</t>
        </is>
      </c>
      <c r="E3541" t="inlineStr">
        <is>
          <t>rs2023569</t>
        </is>
      </c>
      <c r="F3541" t="n">
        <v>-0.0466587338</v>
      </c>
      <c r="G3541" t="n">
        <v>0.172770424377218</v>
      </c>
      <c r="H3541" t="n">
        <v>0.0115451772105657</v>
      </c>
      <c r="I3541" t="n">
        <v>0.4786411144847909</v>
      </c>
      <c r="J3541" t="n">
        <v>0.0603788402337123</v>
      </c>
      <c r="K3541" t="n">
        <v>0.453953229084244</v>
      </c>
      <c r="L3541" t="b">
        <v>0</v>
      </c>
      <c r="M3541" t="b">
        <v>0</v>
      </c>
      <c r="N3541" t="inlineStr">
        <is>
          <t>ref</t>
        </is>
      </c>
      <c r="O3541" t="n">
        <v>-25</v>
      </c>
      <c r="P3541" t="n">
        <v>0.00546</v>
      </c>
      <c r="Q3541" t="n">
        <v>-15</v>
      </c>
      <c r="R3541" t="n">
        <v>0.02142</v>
      </c>
      <c r="S3541">
        <f>IMAGE("https://mitra.stanford.edu/kundaje/oak/projects/neuro-variants/variant_position/credible/roussos_2024/variant_figures/roussos_2024.childhood.GABA/rs2023569_count_position.png",4,220,900)</f>
        <v/>
      </c>
      <c r="T3541">
        <f>IMAGE("https://mitra.stanford.edu/kundaje/oak/projects/neuro-variants/variant_position/credible/roussos_2024/variant_figures/roussos_2024.childhood.GABA/rs2023569_profile_position.png",4,220,900)</f>
        <v/>
      </c>
    </row>
    <row r="3542">
      <c r="A3542" t="inlineStr">
        <is>
          <t>chr6</t>
        </is>
      </c>
      <c r="B3542" t="n">
        <v>83583552</v>
      </c>
      <c r="C3542" t="inlineStr">
        <is>
          <t>A</t>
        </is>
      </c>
      <c r="D3542" t="inlineStr">
        <is>
          <t>G</t>
        </is>
      </c>
      <c r="E3542" t="inlineStr">
        <is>
          <t>rs2022265</t>
        </is>
      </c>
      <c r="F3542" t="n">
        <v>0.16216532</v>
      </c>
      <c r="G3542" t="n">
        <v>0.0094971455136859</v>
      </c>
      <c r="H3542" t="n">
        <v>0.0245072986256628</v>
      </c>
      <c r="I3542" t="n">
        <v>0.0331255770428947</v>
      </c>
      <c r="J3542" t="n">
        <v>0.0908012397646122</v>
      </c>
      <c r="K3542" t="n">
        <v>0.3724821424200013</v>
      </c>
      <c r="L3542" t="b">
        <v>1</v>
      </c>
      <c r="M3542" t="b">
        <v>1</v>
      </c>
      <c r="N3542" t="inlineStr">
        <is>
          <t>alt</t>
        </is>
      </c>
      <c r="O3542" t="n">
        <v>55</v>
      </c>
      <c r="P3542" t="n">
        <v>0.005867</v>
      </c>
      <c r="Q3542" t="n">
        <v>60</v>
      </c>
      <c r="R3542" t="n">
        <v>0.0901</v>
      </c>
      <c r="S3542">
        <f>IMAGE("https://mitra.stanford.edu/kundaje/oak/projects/neuro-variants/variant_position/credible/roussos_2024/variant_figures/roussos_2024.childhood.GABA/rs2022265_count_position.png",4,220,900)</f>
        <v/>
      </c>
      <c r="T3542">
        <f>IMAGE("https://mitra.stanford.edu/kundaje/oak/projects/neuro-variants/variant_position/credible/roussos_2024/variant_figures/roussos_2024.childhood.GABA/rs2022265_profile_position.png",4,220,900)</f>
        <v/>
      </c>
    </row>
    <row r="3543">
      <c r="A3543" t="inlineStr">
        <is>
          <t>chr6</t>
        </is>
      </c>
      <c r="B3543" t="n">
        <v>83585701</v>
      </c>
      <c r="C3543" t="inlineStr">
        <is>
          <t>G</t>
        </is>
      </c>
      <c r="D3543" t="inlineStr">
        <is>
          <t>A</t>
        </is>
      </c>
      <c r="E3543" t="inlineStr">
        <is>
          <t>rs2208335</t>
        </is>
      </c>
      <c r="F3543" t="n">
        <v>0.00562940336</v>
      </c>
      <c r="G3543" t="n">
        <v>0.4141413389020029</v>
      </c>
      <c r="H3543" t="n">
        <v>0.0131815155912487</v>
      </c>
      <c r="I3543" t="n">
        <v>0.3437745180666764</v>
      </c>
      <c r="J3543" t="n">
        <v>0.0108228099935079</v>
      </c>
      <c r="K3543" t="n">
        <v>0.7312569448191166</v>
      </c>
      <c r="L3543" t="b">
        <v>0</v>
      </c>
      <c r="M3543" t="b">
        <v>0</v>
      </c>
      <c r="N3543" t="inlineStr">
        <is>
          <t>alt</t>
        </is>
      </c>
      <c r="O3543" t="n">
        <v>100</v>
      </c>
      <c r="P3543" t="n">
        <v>0.08309999999999999</v>
      </c>
      <c r="Q3543" t="n">
        <v>100</v>
      </c>
      <c r="R3543" t="n">
        <v>0.1311</v>
      </c>
      <c r="S3543">
        <f>IMAGE("https://mitra.stanford.edu/kundaje/oak/projects/neuro-variants/variant_position/credible/roussos_2024/variant_figures/roussos_2024.childhood.GABA/rs2208335_count_position.png",4,220,900)</f>
        <v/>
      </c>
      <c r="T3543">
        <f>IMAGE("https://mitra.stanford.edu/kundaje/oak/projects/neuro-variants/variant_position/credible/roussos_2024/variant_figures/roussos_2024.childhood.GABA/rs2208335_profile_position.png",4,220,900)</f>
        <v/>
      </c>
    </row>
    <row r="3544">
      <c r="A3544" t="inlineStr">
        <is>
          <t>chr6</t>
        </is>
      </c>
      <c r="B3544" t="n">
        <v>83590652</v>
      </c>
      <c r="C3544" t="inlineStr">
        <is>
          <t>C</t>
        </is>
      </c>
      <c r="D3544" t="inlineStr">
        <is>
          <t>T</t>
        </is>
      </c>
      <c r="E3544" t="inlineStr">
        <is>
          <t>rs2324447</t>
        </is>
      </c>
      <c r="F3544" t="n">
        <v>-0.0802457548</v>
      </c>
      <c r="G3544" t="n">
        <v>0.0510801164362353</v>
      </c>
      <c r="H3544" t="n">
        <v>0.0148679333058741</v>
      </c>
      <c r="I3544" t="n">
        <v>0.2324221328821594</v>
      </c>
      <c r="J3544" t="n">
        <v>0.0091045213712801</v>
      </c>
      <c r="K3544" t="n">
        <v>0.7582133266397171</v>
      </c>
      <c r="L3544" t="b">
        <v>0</v>
      </c>
      <c r="M3544" t="b">
        <v>0</v>
      </c>
      <c r="N3544" t="inlineStr">
        <is>
          <t>ref</t>
        </is>
      </c>
      <c r="O3544" t="n">
        <v>5</v>
      </c>
      <c r="P3544" t="n">
        <v>0.001587</v>
      </c>
      <c r="Q3544" t="n">
        <v>100</v>
      </c>
      <c r="R3544" t="n">
        <v>0.08309999999999999</v>
      </c>
      <c r="S3544">
        <f>IMAGE("https://mitra.stanford.edu/kundaje/oak/projects/neuro-variants/variant_position/credible/roussos_2024/variant_figures/roussos_2024.childhood.GABA/rs2324447_count_position.png",4,220,900)</f>
        <v/>
      </c>
      <c r="T3544">
        <f>IMAGE("https://mitra.stanford.edu/kundaje/oak/projects/neuro-variants/variant_position/credible/roussos_2024/variant_figures/roussos_2024.childhood.GABA/rs2324447_profile_position.png",4,220,900)</f>
        <v/>
      </c>
    </row>
    <row r="3545">
      <c r="A3545" t="inlineStr">
        <is>
          <t>chr6</t>
        </is>
      </c>
      <c r="B3545" t="n">
        <v>83597609</v>
      </c>
      <c r="C3545" t="inlineStr">
        <is>
          <t>T</t>
        </is>
      </c>
      <c r="D3545" t="inlineStr">
        <is>
          <t>C</t>
        </is>
      </c>
      <c r="E3545" t="inlineStr">
        <is>
          <t>rs2207944</t>
        </is>
      </c>
      <c r="F3545" t="n">
        <v>-0.0624536768</v>
      </c>
      <c r="G3545" t="n">
        <v>0.1044282291289211</v>
      </c>
      <c r="H3545" t="n">
        <v>0.0221501851211363</v>
      </c>
      <c r="I3545" t="n">
        <v>0.0502111150205723</v>
      </c>
      <c r="J3545" t="n">
        <v>0.1187336390860924</v>
      </c>
      <c r="K3545" t="n">
        <v>0.3124773686136332</v>
      </c>
      <c r="L3545" t="b">
        <v>0</v>
      </c>
      <c r="M3545" t="b">
        <v>0</v>
      </c>
      <c r="N3545" t="inlineStr">
        <is>
          <t>ref</t>
        </is>
      </c>
      <c r="O3545" t="n">
        <v>-90</v>
      </c>
      <c r="P3545" t="n">
        <v>0.0306</v>
      </c>
      <c r="Q3545" t="n">
        <v>-95</v>
      </c>
      <c r="R3545" t="n">
        <v>0.1221</v>
      </c>
      <c r="S3545">
        <f>IMAGE("https://mitra.stanford.edu/kundaje/oak/projects/neuro-variants/variant_position/credible/roussos_2024/variant_figures/roussos_2024.childhood.GABA/rs2207944_count_position.png",4,220,900)</f>
        <v/>
      </c>
      <c r="T3545">
        <f>IMAGE("https://mitra.stanford.edu/kundaje/oak/projects/neuro-variants/variant_position/credible/roussos_2024/variant_figures/roussos_2024.childhood.GABA/rs2207944_profile_position.png",4,220,900)</f>
        <v/>
      </c>
    </row>
    <row r="3546">
      <c r="A3546" t="inlineStr">
        <is>
          <t>chr6</t>
        </is>
      </c>
      <c r="B3546" t="n">
        <v>83634970</v>
      </c>
      <c r="C3546" t="inlineStr">
        <is>
          <t>G</t>
        </is>
      </c>
      <c r="D3546" t="inlineStr">
        <is>
          <t>C</t>
        </is>
      </c>
      <c r="E3546" t="inlineStr">
        <is>
          <t>rs217331</t>
        </is>
      </c>
      <c r="F3546" t="n">
        <v>0.0124285719399999</v>
      </c>
      <c r="G3546" t="n">
        <v>0.4472030527673742</v>
      </c>
      <c r="H3546" t="n">
        <v>0.0107576766329128</v>
      </c>
      <c r="I3546" t="n">
        <v>0.549278246276442</v>
      </c>
      <c r="J3546" t="n">
        <v>0.0123390086071495</v>
      </c>
      <c r="K3546" t="n">
        <v>0.7242386151169785</v>
      </c>
      <c r="L3546" t="b">
        <v>0</v>
      </c>
      <c r="M3546" t="b">
        <v>0</v>
      </c>
      <c r="N3546" t="inlineStr">
        <is>
          <t>alt</t>
        </is>
      </c>
      <c r="O3546" t="n">
        <v>-45</v>
      </c>
      <c r="P3546" t="n">
        <v>0.004288</v>
      </c>
      <c r="Q3546" t="n">
        <v>35</v>
      </c>
      <c r="R3546" t="n">
        <v>0.05197</v>
      </c>
      <c r="S3546">
        <f>IMAGE("https://mitra.stanford.edu/kundaje/oak/projects/neuro-variants/variant_position/credible/roussos_2024/variant_figures/roussos_2024.childhood.GABA/rs217331_count_position.png",4,220,900)</f>
        <v/>
      </c>
      <c r="T3546">
        <f>IMAGE("https://mitra.stanford.edu/kundaje/oak/projects/neuro-variants/variant_position/credible/roussos_2024/variant_figures/roussos_2024.childhood.GABA/rs217331_profile_position.png",4,220,900)</f>
        <v/>
      </c>
    </row>
    <row r="3547">
      <c r="A3547" t="inlineStr">
        <is>
          <t>chr6</t>
        </is>
      </c>
      <c r="B3547" t="n">
        <v>83654421</v>
      </c>
      <c r="C3547" t="inlineStr">
        <is>
          <t>C</t>
        </is>
      </c>
      <c r="D3547" t="inlineStr">
        <is>
          <t>T</t>
        </is>
      </c>
      <c r="E3547" t="inlineStr">
        <is>
          <t>rs217311</t>
        </is>
      </c>
      <c r="F3547" t="n">
        <v>-0.02418299898</v>
      </c>
      <c r="G3547" t="n">
        <v>0.3660177811876334</v>
      </c>
      <c r="H3547" t="n">
        <v>0.0117396928461322</v>
      </c>
      <c r="I3547" t="n">
        <v>0.4550001338780032</v>
      </c>
      <c r="J3547" t="n">
        <v>0.0614908588301815</v>
      </c>
      <c r="K3547" t="n">
        <v>0.4816780221564703</v>
      </c>
      <c r="L3547" t="b">
        <v>0</v>
      </c>
      <c r="M3547" t="b">
        <v>0</v>
      </c>
      <c r="N3547" t="inlineStr">
        <is>
          <t>ref</t>
        </is>
      </c>
      <c r="O3547" t="n">
        <v>100</v>
      </c>
      <c r="P3547" t="n">
        <v>0.00169</v>
      </c>
      <c r="Q3547" t="n">
        <v>-100</v>
      </c>
      <c r="R3547" t="n">
        <v>0.0775</v>
      </c>
      <c r="S3547">
        <f>IMAGE("https://mitra.stanford.edu/kundaje/oak/projects/neuro-variants/variant_position/credible/roussos_2024/variant_figures/roussos_2024.childhood.GABA/rs217311_count_position.png",4,220,900)</f>
        <v/>
      </c>
      <c r="T3547">
        <f>IMAGE("https://mitra.stanford.edu/kundaje/oak/projects/neuro-variants/variant_position/credible/roussos_2024/variant_figures/roussos_2024.childhood.GABA/rs217311_profile_position.png",4,220,900)</f>
        <v/>
      </c>
    </row>
    <row r="3548">
      <c r="A3548" t="inlineStr">
        <is>
          <t>chr6</t>
        </is>
      </c>
      <c r="B3548" t="n">
        <v>83665314</v>
      </c>
      <c r="C3548" t="inlineStr">
        <is>
          <t>G</t>
        </is>
      </c>
      <c r="D3548" t="inlineStr">
        <is>
          <t>A</t>
        </is>
      </c>
      <c r="E3548" t="inlineStr">
        <is>
          <t>rs217303</t>
        </is>
      </c>
      <c r="F3548" t="n">
        <v>-0.056982295</v>
      </c>
      <c r="G3548" t="n">
        <v>0.1085863677924177</v>
      </c>
      <c r="H3548" t="n">
        <v>0.0160653053838419</v>
      </c>
      <c r="I3548" t="n">
        <v>0.1762558107357526</v>
      </c>
      <c r="J3548" t="n">
        <v>0.0045915268790182</v>
      </c>
      <c r="K3548" t="n">
        <v>0.8272793824669197</v>
      </c>
      <c r="L3548" t="b">
        <v>0</v>
      </c>
      <c r="M3548" t="b">
        <v>0</v>
      </c>
      <c r="N3548" t="inlineStr">
        <is>
          <t>ref</t>
        </is>
      </c>
      <c r="O3548" t="n">
        <v>-15</v>
      </c>
      <c r="P3548" t="n">
        <v>0.001581</v>
      </c>
      <c r="Q3548" t="n">
        <v>95</v>
      </c>
      <c r="R3548" t="n">
        <v>0.1687</v>
      </c>
      <c r="S3548">
        <f>IMAGE("https://mitra.stanford.edu/kundaje/oak/projects/neuro-variants/variant_position/credible/roussos_2024/variant_figures/roussos_2024.childhood.GABA/rs217303_count_position.png",4,220,900)</f>
        <v/>
      </c>
      <c r="T3548">
        <f>IMAGE("https://mitra.stanford.edu/kundaje/oak/projects/neuro-variants/variant_position/credible/roussos_2024/variant_figures/roussos_2024.childhood.GABA/rs217303_profile_position.png",4,220,900)</f>
        <v/>
      </c>
    </row>
    <row r="3549">
      <c r="A3549" t="inlineStr">
        <is>
          <t>chr6</t>
        </is>
      </c>
      <c r="B3549" t="n">
        <v>83692088</v>
      </c>
      <c r="C3549" t="inlineStr">
        <is>
          <t>G</t>
        </is>
      </c>
      <c r="D3549" t="inlineStr">
        <is>
          <t>A</t>
        </is>
      </c>
      <c r="E3549" t="inlineStr">
        <is>
          <t>rs217289</t>
        </is>
      </c>
      <c r="F3549" t="n">
        <v>0.190964578</v>
      </c>
      <c r="G3549" t="n">
        <v>0.0052957439957742</v>
      </c>
      <c r="H3549" t="n">
        <v>0.0292204683993863</v>
      </c>
      <c r="I3549" t="n">
        <v>0.0148525837861684</v>
      </c>
      <c r="J3549" t="n">
        <v>0.007432305082616</v>
      </c>
      <c r="K3549" t="n">
        <v>0.7725115418707709</v>
      </c>
      <c r="L3549" t="b">
        <v>1</v>
      </c>
      <c r="M3549" t="b">
        <v>1</v>
      </c>
      <c r="N3549" t="inlineStr">
        <is>
          <t>alt</t>
        </is>
      </c>
      <c r="O3549" t="n">
        <v>-55</v>
      </c>
      <c r="P3549" t="n">
        <v>0.01012</v>
      </c>
      <c r="Q3549" t="n">
        <v>35</v>
      </c>
      <c r="R3549" t="n">
        <v>0.0598</v>
      </c>
      <c r="S3549">
        <f>IMAGE("https://mitra.stanford.edu/kundaje/oak/projects/neuro-variants/variant_position/credible/roussos_2024/variant_figures/roussos_2024.childhood.GABA/rs217289_count_position.png",4,220,900)</f>
        <v/>
      </c>
      <c r="T3549">
        <f>IMAGE("https://mitra.stanford.edu/kundaje/oak/projects/neuro-variants/variant_position/credible/roussos_2024/variant_figures/roussos_2024.childhood.GABA/rs217289_profile_position.png",4,220,900)</f>
        <v/>
      </c>
    </row>
    <row r="3550">
      <c r="A3550" t="inlineStr">
        <is>
          <t>chr6</t>
        </is>
      </c>
      <c r="B3550" t="n">
        <v>92391260</v>
      </c>
      <c r="C3550" t="inlineStr">
        <is>
          <t>G</t>
        </is>
      </c>
      <c r="D3550" t="inlineStr">
        <is>
          <t>A</t>
        </is>
      </c>
      <c r="E3550" t="inlineStr">
        <is>
          <t>rs6917686</t>
        </is>
      </c>
      <c r="F3550" t="n">
        <v>0.0217564101</v>
      </c>
      <c r="G3550" t="n">
        <v>0.4132093747774957</v>
      </c>
      <c r="H3550" t="n">
        <v>0.0256944648608792</v>
      </c>
      <c r="I3550" t="n">
        <v>0.024822964709418</v>
      </c>
      <c r="J3550" t="n">
        <v>0.0032868421603735</v>
      </c>
      <c r="K3550" t="n">
        <v>0.8469049601550779</v>
      </c>
      <c r="L3550" t="b">
        <v>0</v>
      </c>
      <c r="M3550" t="b">
        <v>0</v>
      </c>
      <c r="N3550" t="inlineStr">
        <is>
          <t>alt</t>
        </is>
      </c>
      <c r="O3550" t="n">
        <v>15</v>
      </c>
      <c r="P3550" t="n">
        <v>0.001465</v>
      </c>
      <c r="Q3550" t="n">
        <v>15</v>
      </c>
      <c r="R3550" t="n">
        <v>0.01852</v>
      </c>
      <c r="S3550">
        <f>IMAGE("https://mitra.stanford.edu/kundaje/oak/projects/neuro-variants/variant_position/credible/roussos_2024/variant_figures/roussos_2024.childhood.GABA/rs6917686_count_position.png",4,220,900)</f>
        <v/>
      </c>
      <c r="T3550">
        <f>IMAGE("https://mitra.stanford.edu/kundaje/oak/projects/neuro-variants/variant_position/credible/roussos_2024/variant_figures/roussos_2024.childhood.GABA/rs6917686_profile_position.png",4,220,900)</f>
        <v/>
      </c>
    </row>
    <row r="3551">
      <c r="A3551" t="inlineStr">
        <is>
          <t>chr6</t>
        </is>
      </c>
      <c r="B3551" t="n">
        <v>92391262</v>
      </c>
      <c r="C3551" t="inlineStr">
        <is>
          <t>T</t>
        </is>
      </c>
      <c r="D3551" t="inlineStr">
        <is>
          <t>C</t>
        </is>
      </c>
      <c r="E3551" t="inlineStr">
        <is>
          <t>rs6940316</t>
        </is>
      </c>
      <c r="F3551" t="n">
        <v>0.0033686384399999</v>
      </c>
      <c r="G3551" t="n">
        <v>0.613775200014635</v>
      </c>
      <c r="H3551" t="n">
        <v>0.0199154164047396</v>
      </c>
      <c r="I3551" t="n">
        <v>0.0773835803603003</v>
      </c>
      <c r="J3551" t="n">
        <v>0.0029580532344871</v>
      </c>
      <c r="K3551" t="n">
        <v>0.8542244715819324</v>
      </c>
      <c r="L3551" t="b">
        <v>0</v>
      </c>
      <c r="M3551" t="b">
        <v>0</v>
      </c>
      <c r="N3551" t="inlineStr">
        <is>
          <t>alt</t>
        </is>
      </c>
      <c r="O3551" t="n">
        <v>70</v>
      </c>
      <c r="P3551" t="n">
        <v>0.002419</v>
      </c>
      <c r="Q3551" t="n">
        <v>80</v>
      </c>
      <c r="R3551" t="n">
        <v>0.014725</v>
      </c>
      <c r="S3551">
        <f>IMAGE("https://mitra.stanford.edu/kundaje/oak/projects/neuro-variants/variant_position/credible/roussos_2024/variant_figures/roussos_2024.childhood.GABA/rs6940316_count_position.png",4,220,900)</f>
        <v/>
      </c>
      <c r="T3551">
        <f>IMAGE("https://mitra.stanford.edu/kundaje/oak/projects/neuro-variants/variant_position/credible/roussos_2024/variant_figures/roussos_2024.childhood.GABA/rs6940316_profile_position.png",4,220,900)</f>
        <v/>
      </c>
    </row>
    <row r="3552">
      <c r="A3552" t="inlineStr">
        <is>
          <t>chr6</t>
        </is>
      </c>
      <c r="B3552" t="n">
        <v>92397226</v>
      </c>
      <c r="C3552" t="inlineStr">
        <is>
          <t>G</t>
        </is>
      </c>
      <c r="D3552" t="inlineStr">
        <is>
          <t>A</t>
        </is>
      </c>
      <c r="E3552" t="inlineStr">
        <is>
          <t>rs12193330</t>
        </is>
      </c>
      <c r="F3552" t="n">
        <v>-0.02348861034</v>
      </c>
      <c r="G3552" t="n">
        <v>0.3326150676809835</v>
      </c>
      <c r="H3552" t="n">
        <v>0.0203242642465404</v>
      </c>
      <c r="I3552" t="n">
        <v>0.0694843780501099</v>
      </c>
      <c r="J3552" t="n">
        <v>0.0015329521894828</v>
      </c>
      <c r="K3552" t="n">
        <v>0.894502964581066</v>
      </c>
      <c r="L3552" t="b">
        <v>0</v>
      </c>
      <c r="M3552" t="b">
        <v>0</v>
      </c>
      <c r="N3552" t="inlineStr">
        <is>
          <t>ref</t>
        </is>
      </c>
      <c r="O3552" t="n">
        <v>90</v>
      </c>
      <c r="P3552" t="n">
        <v>0.002441</v>
      </c>
      <c r="Q3552" t="n">
        <v>-40</v>
      </c>
      <c r="R3552" t="n">
        <v>0.0581</v>
      </c>
      <c r="S3552">
        <f>IMAGE("https://mitra.stanford.edu/kundaje/oak/projects/neuro-variants/variant_position/credible/roussos_2024/variant_figures/roussos_2024.childhood.GABA/rs12193330_count_position.png",4,220,900)</f>
        <v/>
      </c>
      <c r="T3552">
        <f>IMAGE("https://mitra.stanford.edu/kundaje/oak/projects/neuro-variants/variant_position/credible/roussos_2024/variant_figures/roussos_2024.childhood.GABA/rs12193330_profile_position.png",4,220,900)</f>
        <v/>
      </c>
    </row>
    <row r="3553">
      <c r="A3553" t="inlineStr">
        <is>
          <t>chr6</t>
        </is>
      </c>
      <c r="B3553" t="n">
        <v>92404307</v>
      </c>
      <c r="C3553" t="inlineStr">
        <is>
          <t>C</t>
        </is>
      </c>
      <c r="D3553" t="inlineStr">
        <is>
          <t>T</t>
        </is>
      </c>
      <c r="E3553" t="inlineStr">
        <is>
          <t>rs1593657</t>
        </is>
      </c>
      <c r="F3553" t="n">
        <v>-0.076416516</v>
      </c>
      <c r="G3553" t="n">
        <v>0.0581917780184297</v>
      </c>
      <c r="H3553" t="n">
        <v>0.0137902773627797</v>
      </c>
      <c r="I3553" t="n">
        <v>0.2937225315143139</v>
      </c>
      <c r="J3553" t="n">
        <v>0.0136751062804967</v>
      </c>
      <c r="K3553" t="n">
        <v>0.7022468025285149</v>
      </c>
      <c r="L3553" t="b">
        <v>0</v>
      </c>
      <c r="M3553" t="b">
        <v>0</v>
      </c>
      <c r="N3553" t="inlineStr">
        <is>
          <t>ref</t>
        </is>
      </c>
      <c r="O3553" t="n">
        <v>100</v>
      </c>
      <c r="P3553" t="n">
        <v>0.0316</v>
      </c>
      <c r="Q3553" t="n">
        <v>85</v>
      </c>
      <c r="R3553" t="n">
        <v>0.0916</v>
      </c>
      <c r="S3553">
        <f>IMAGE("https://mitra.stanford.edu/kundaje/oak/projects/neuro-variants/variant_position/credible/roussos_2024/variant_figures/roussos_2024.childhood.GABA/rs1593657_count_position.png",4,220,900)</f>
        <v/>
      </c>
      <c r="T3553">
        <f>IMAGE("https://mitra.stanford.edu/kundaje/oak/projects/neuro-variants/variant_position/credible/roussos_2024/variant_figures/roussos_2024.childhood.GABA/rs1593657_profile_position.png",4,220,900)</f>
        <v/>
      </c>
    </row>
    <row r="3554">
      <c r="A3554" t="inlineStr">
        <is>
          <t>chr6</t>
        </is>
      </c>
      <c r="B3554" t="n">
        <v>92413581</v>
      </c>
      <c r="C3554" t="inlineStr">
        <is>
          <t>T</t>
        </is>
      </c>
      <c r="D3554" t="inlineStr">
        <is>
          <t>C</t>
        </is>
      </c>
      <c r="E3554" t="inlineStr">
        <is>
          <t>rs1346296</t>
        </is>
      </c>
      <c r="F3554" t="n">
        <v>0.1131507877999999</v>
      </c>
      <c r="G3554" t="n">
        <v>0.0232118497928163</v>
      </c>
      <c r="H3554" t="n">
        <v>0.0170984794396389</v>
      </c>
      <c r="I3554" t="n">
        <v>0.1441028905766969</v>
      </c>
      <c r="J3554" t="n">
        <v>0.0006701430336536</v>
      </c>
      <c r="K3554" t="n">
        <v>0.9346510128092144</v>
      </c>
      <c r="L3554" t="b">
        <v>0</v>
      </c>
      <c r="M3554" t="b">
        <v>0</v>
      </c>
      <c r="N3554" t="inlineStr">
        <is>
          <t>alt</t>
        </is>
      </c>
      <c r="O3554" t="n">
        <v>-50</v>
      </c>
      <c r="P3554" t="n">
        <v>0.01225</v>
      </c>
      <c r="Q3554" t="n">
        <v>100</v>
      </c>
      <c r="R3554" t="n">
        <v>0.05072</v>
      </c>
      <c r="S3554">
        <f>IMAGE("https://mitra.stanford.edu/kundaje/oak/projects/neuro-variants/variant_position/credible/roussos_2024/variant_figures/roussos_2024.childhood.GABA/rs1346296_count_position.png",4,220,900)</f>
        <v/>
      </c>
      <c r="T3554">
        <f>IMAGE("https://mitra.stanford.edu/kundaje/oak/projects/neuro-variants/variant_position/credible/roussos_2024/variant_figures/roussos_2024.childhood.GABA/rs1346296_profile_position.png",4,220,900)</f>
        <v/>
      </c>
    </row>
    <row r="3555">
      <c r="A3555" t="inlineStr">
        <is>
          <t>chr6</t>
        </is>
      </c>
      <c r="B3555" t="n">
        <v>92416645</v>
      </c>
      <c r="C3555" t="inlineStr">
        <is>
          <t>C</t>
        </is>
      </c>
      <c r="D3555" t="inlineStr">
        <is>
          <t>A</t>
        </is>
      </c>
      <c r="E3555" t="inlineStr">
        <is>
          <t>rs6919658</t>
        </is>
      </c>
      <c r="F3555" t="n">
        <v>-0.0363030565</v>
      </c>
      <c r="G3555" t="n">
        <v>0.2387595906029248</v>
      </c>
      <c r="H3555" t="n">
        <v>0.0198227458062348</v>
      </c>
      <c r="I3555" t="n">
        <v>0.08062580395322209</v>
      </c>
      <c r="J3555" t="n">
        <v>0.1349605243869237</v>
      </c>
      <c r="K3555" t="n">
        <v>0.289317022175341</v>
      </c>
      <c r="L3555" t="b">
        <v>0</v>
      </c>
      <c r="M3555" t="b">
        <v>0</v>
      </c>
      <c r="N3555" t="inlineStr">
        <is>
          <t>ref</t>
        </is>
      </c>
      <c r="O3555" t="n">
        <v>-20</v>
      </c>
      <c r="P3555" t="n">
        <v>0.003204</v>
      </c>
      <c r="Q3555" t="n">
        <v>-5</v>
      </c>
      <c r="R3555" t="n">
        <v>0.05896</v>
      </c>
      <c r="S3555">
        <f>IMAGE("https://mitra.stanford.edu/kundaje/oak/projects/neuro-variants/variant_position/credible/roussos_2024/variant_figures/roussos_2024.childhood.GABA/rs6919658_count_position.png",4,220,900)</f>
        <v/>
      </c>
      <c r="T3555">
        <f>IMAGE("https://mitra.stanford.edu/kundaje/oak/projects/neuro-variants/variant_position/credible/roussos_2024/variant_figures/roussos_2024.childhood.GABA/rs6919658_profile_position.png",4,220,900)</f>
        <v/>
      </c>
    </row>
    <row r="3556">
      <c r="A3556" t="inlineStr">
        <is>
          <t>chr6</t>
        </is>
      </c>
      <c r="B3556" t="n">
        <v>92422743</v>
      </c>
      <c r="C3556" t="inlineStr">
        <is>
          <t>T</t>
        </is>
      </c>
      <c r="D3556" t="inlineStr">
        <is>
          <t>A</t>
        </is>
      </c>
      <c r="E3556" t="inlineStr">
        <is>
          <t>rs142115373</t>
        </is>
      </c>
      <c r="F3556" t="n">
        <v>-0.1611001108</v>
      </c>
      <c r="G3556" t="n">
        <v>0.009791023016680901</v>
      </c>
      <c r="H3556" t="n">
        <v>0.0298324343610399</v>
      </c>
      <c r="I3556" t="n">
        <v>0.0139945269108145</v>
      </c>
      <c r="J3556" t="n">
        <v>0.0340359364201796</v>
      </c>
      <c r="K3556" t="n">
        <v>0.5642907452573195</v>
      </c>
      <c r="L3556" t="b">
        <v>1</v>
      </c>
      <c r="M3556" t="b">
        <v>1</v>
      </c>
      <c r="N3556" t="inlineStr">
        <is>
          <t>ref</t>
        </is>
      </c>
      <c r="O3556" t="n">
        <v>-5</v>
      </c>
      <c r="P3556" t="n">
        <v>0.001007</v>
      </c>
      <c r="Q3556" t="n">
        <v>-70</v>
      </c>
      <c r="R3556" t="n">
        <v>0.0752</v>
      </c>
      <c r="S3556">
        <f>IMAGE("https://mitra.stanford.edu/kundaje/oak/projects/neuro-variants/variant_position/credible/roussos_2024/variant_figures/roussos_2024.childhood.GABA/rs142115373_count_position.png",4,220,900)</f>
        <v/>
      </c>
      <c r="T3556">
        <f>IMAGE("https://mitra.stanford.edu/kundaje/oak/projects/neuro-variants/variant_position/credible/roussos_2024/variant_figures/roussos_2024.childhood.GABA/rs142115373_profile_position.png",4,220,900)</f>
        <v/>
      </c>
    </row>
    <row r="3557">
      <c r="A3557" t="inlineStr">
        <is>
          <t>chr6</t>
        </is>
      </c>
      <c r="B3557" t="n">
        <v>92605639</v>
      </c>
      <c r="C3557" t="inlineStr">
        <is>
          <t>C</t>
        </is>
      </c>
      <c r="D3557" t="inlineStr">
        <is>
          <t>A</t>
        </is>
      </c>
      <c r="E3557" t="inlineStr">
        <is>
          <t>rs139659029</t>
        </is>
      </c>
      <c r="F3557" t="n">
        <v>-0.00374161063</v>
      </c>
      <c r="G3557" t="n">
        <v>0.744373767363384</v>
      </c>
      <c r="H3557" t="n">
        <v>0.0211868528355459</v>
      </c>
      <c r="I3557" t="n">
        <v>0.0587433752956022</v>
      </c>
      <c r="J3557" t="n">
        <v>0.0034721785931184</v>
      </c>
      <c r="K3557" t="n">
        <v>0.8573219166064893</v>
      </c>
      <c r="L3557" t="b">
        <v>0</v>
      </c>
      <c r="M3557" t="b">
        <v>0</v>
      </c>
      <c r="N3557" t="inlineStr">
        <is>
          <t>ref</t>
        </is>
      </c>
      <c r="O3557" t="n">
        <v>95</v>
      </c>
      <c r="P3557" t="n">
        <v>0.008800000000000001</v>
      </c>
      <c r="Q3557" t="n">
        <v>-5</v>
      </c>
      <c r="R3557" t="n">
        <v>0.006104</v>
      </c>
      <c r="S3557">
        <f>IMAGE("https://mitra.stanford.edu/kundaje/oak/projects/neuro-variants/variant_position/credible/roussos_2024/variant_figures/roussos_2024.childhood.GABA/rs139659029_count_position.png",4,220,900)</f>
        <v/>
      </c>
      <c r="T3557">
        <f>IMAGE("https://mitra.stanford.edu/kundaje/oak/projects/neuro-variants/variant_position/credible/roussos_2024/variant_figures/roussos_2024.childhood.GABA/rs139659029_profile_position.png",4,220,900)</f>
        <v/>
      </c>
    </row>
    <row r="3558">
      <c r="A3558" t="inlineStr">
        <is>
          <t>chr6</t>
        </is>
      </c>
      <c r="B3558" t="n">
        <v>95985497</v>
      </c>
      <c r="C3558" t="inlineStr">
        <is>
          <t>C</t>
        </is>
      </c>
      <c r="D3558" t="inlineStr">
        <is>
          <t>A</t>
        </is>
      </c>
      <c r="E3558" t="inlineStr">
        <is>
          <t>rs648204</t>
        </is>
      </c>
      <c r="F3558" t="n">
        <v>-0.00544269554</v>
      </c>
      <c r="G3558" t="n">
        <v>0.7857726287427349</v>
      </c>
      <c r="H3558" t="n">
        <v>0.0194069786347871</v>
      </c>
      <c r="I3558" t="n">
        <v>0.08576022070480301</v>
      </c>
      <c r="J3558" t="n">
        <v>0.0014167242570835</v>
      </c>
      <c r="K3558" t="n">
        <v>0.8948408126806536</v>
      </c>
      <c r="L3558" t="b">
        <v>0</v>
      </c>
      <c r="M3558" t="b">
        <v>0</v>
      </c>
      <c r="N3558" t="inlineStr">
        <is>
          <t>ref</t>
        </is>
      </c>
      <c r="O3558" t="n">
        <v>90</v>
      </c>
      <c r="P3558" t="n">
        <v>0.001419</v>
      </c>
      <c r="Q3558" t="n">
        <v>-10</v>
      </c>
      <c r="R3558" t="n">
        <v>0.0008545</v>
      </c>
      <c r="S3558">
        <f>IMAGE("https://mitra.stanford.edu/kundaje/oak/projects/neuro-variants/variant_position/credible/roussos_2024/variant_figures/roussos_2024.childhood.GABA/rs648204_count_position.png",4,220,900)</f>
        <v/>
      </c>
      <c r="T3558">
        <f>IMAGE("https://mitra.stanford.edu/kundaje/oak/projects/neuro-variants/variant_position/credible/roussos_2024/variant_figures/roussos_2024.childhood.GABA/rs648204_profile_position.png",4,220,900)</f>
        <v/>
      </c>
    </row>
    <row r="3559">
      <c r="A3559" t="inlineStr">
        <is>
          <t>chr6</t>
        </is>
      </c>
      <c r="B3559" t="n">
        <v>95987504</v>
      </c>
      <c r="C3559" t="inlineStr">
        <is>
          <t>C</t>
        </is>
      </c>
      <c r="D3559" t="inlineStr">
        <is>
          <t>T</t>
        </is>
      </c>
      <c r="E3559" t="inlineStr">
        <is>
          <t>rs586541</t>
        </is>
      </c>
      <c r="F3559" t="n">
        <v>0.00378249469</v>
      </c>
      <c r="G3559" t="n">
        <v>0.8279279289026694</v>
      </c>
      <c r="H3559" t="n">
        <v>0.0179121404895035</v>
      </c>
      <c r="I3559" t="n">
        <v>0.1172349448441522</v>
      </c>
      <c r="J3559" t="n">
        <v>0.0162289794978115</v>
      </c>
      <c r="K3559" t="n">
        <v>0.6748763439418575</v>
      </c>
      <c r="L3559" t="b">
        <v>0</v>
      </c>
      <c r="M3559" t="b">
        <v>0</v>
      </c>
      <c r="N3559" t="inlineStr">
        <is>
          <t>alt</t>
        </is>
      </c>
      <c r="O3559" t="n">
        <v>-95</v>
      </c>
      <c r="P3559" t="n">
        <v>0.01518</v>
      </c>
      <c r="Q3559" t="n">
        <v>90</v>
      </c>
      <c r="R3559" t="n">
        <v>0.095</v>
      </c>
      <c r="S3559">
        <f>IMAGE("https://mitra.stanford.edu/kundaje/oak/projects/neuro-variants/variant_position/credible/roussos_2024/variant_figures/roussos_2024.childhood.GABA/rs586541_count_position.png",4,220,900)</f>
        <v/>
      </c>
      <c r="T3559">
        <f>IMAGE("https://mitra.stanford.edu/kundaje/oak/projects/neuro-variants/variant_position/credible/roussos_2024/variant_figures/roussos_2024.childhood.GABA/rs586541_profile_position.png",4,220,900)</f>
        <v/>
      </c>
    </row>
    <row r="3560">
      <c r="A3560" t="inlineStr">
        <is>
          <t>chr6</t>
        </is>
      </c>
      <c r="B3560" t="n">
        <v>95990739</v>
      </c>
      <c r="C3560" t="inlineStr">
        <is>
          <t>G</t>
        </is>
      </c>
      <c r="D3560" t="inlineStr">
        <is>
          <t>A</t>
        </is>
      </c>
      <c r="E3560" t="inlineStr">
        <is>
          <t>rs910025</t>
        </is>
      </c>
      <c r="F3560" t="n">
        <v>0.0869330602</v>
      </c>
      <c r="G3560" t="n">
        <v>0.0497093039179909</v>
      </c>
      <c r="H3560" t="n">
        <v>0.0315038956476702</v>
      </c>
      <c r="I3560" t="n">
        <v>0.010058275466201</v>
      </c>
      <c r="J3560" t="n">
        <v>0.0506104584197189</v>
      </c>
      <c r="K3560" t="n">
        <v>0.4929851120185508</v>
      </c>
      <c r="L3560" t="b">
        <v>1</v>
      </c>
      <c r="M3560" t="b">
        <v>0</v>
      </c>
      <c r="N3560" t="inlineStr">
        <is>
          <t>alt</t>
        </is>
      </c>
      <c r="O3560" t="n">
        <v>65</v>
      </c>
      <c r="P3560" t="n">
        <v>0.001751</v>
      </c>
      <c r="Q3560" t="n">
        <v>85</v>
      </c>
      <c r="R3560" t="n">
        <v>0.0536</v>
      </c>
      <c r="S3560">
        <f>IMAGE("https://mitra.stanford.edu/kundaje/oak/projects/neuro-variants/variant_position/credible/roussos_2024/variant_figures/roussos_2024.childhood.GABA/rs910025_count_position.png",4,220,900)</f>
        <v/>
      </c>
      <c r="T3560">
        <f>IMAGE("https://mitra.stanford.edu/kundaje/oak/projects/neuro-variants/variant_position/credible/roussos_2024/variant_figures/roussos_2024.childhood.GABA/rs910025_profile_position.png",4,220,900)</f>
        <v/>
      </c>
    </row>
    <row r="3561">
      <c r="A3561" t="inlineStr">
        <is>
          <t>chr6</t>
        </is>
      </c>
      <c r="B3561" t="n">
        <v>95991154</v>
      </c>
      <c r="C3561" t="inlineStr">
        <is>
          <t>G</t>
        </is>
      </c>
      <c r="D3561" t="inlineStr">
        <is>
          <t>T</t>
        </is>
      </c>
      <c r="E3561" t="inlineStr">
        <is>
          <t>rs474447</t>
        </is>
      </c>
      <c r="F3561" t="n">
        <v>0.0315293846</v>
      </c>
      <c r="G3561" t="n">
        <v>0.2764664032776667</v>
      </c>
      <c r="H3561" t="n">
        <v>0.0181325231989051</v>
      </c>
      <c r="I3561" t="n">
        <v>0.1102888946829852</v>
      </c>
      <c r="J3561" t="n">
        <v>0.0550805218738874</v>
      </c>
      <c r="K3561" t="n">
        <v>0.478526398960548</v>
      </c>
      <c r="L3561" t="b">
        <v>0</v>
      </c>
      <c r="M3561" t="b">
        <v>0</v>
      </c>
      <c r="N3561" t="inlineStr">
        <is>
          <t>alt</t>
        </is>
      </c>
      <c r="O3561" t="n">
        <v>-100</v>
      </c>
      <c r="P3561" t="n">
        <v>0.01219</v>
      </c>
      <c r="Q3561" t="n">
        <v>5</v>
      </c>
      <c r="R3561" t="n">
        <v>0.004837</v>
      </c>
      <c r="S3561">
        <f>IMAGE("https://mitra.stanford.edu/kundaje/oak/projects/neuro-variants/variant_position/credible/roussos_2024/variant_figures/roussos_2024.childhood.GABA/rs474447_count_position.png",4,220,900)</f>
        <v/>
      </c>
      <c r="T3561">
        <f>IMAGE("https://mitra.stanford.edu/kundaje/oak/projects/neuro-variants/variant_position/credible/roussos_2024/variant_figures/roussos_2024.childhood.GABA/rs474447_profile_position.png",4,220,900)</f>
        <v/>
      </c>
    </row>
    <row r="3562">
      <c r="A3562" t="inlineStr">
        <is>
          <t>chr6</t>
        </is>
      </c>
      <c r="B3562" t="n">
        <v>95993615</v>
      </c>
      <c r="C3562" t="inlineStr">
        <is>
          <t>G</t>
        </is>
      </c>
      <c r="D3562" t="inlineStr">
        <is>
          <t>T</t>
        </is>
      </c>
      <c r="E3562" t="inlineStr">
        <is>
          <t>rs675629</t>
        </is>
      </c>
      <c r="F3562" t="n">
        <v>-0.0029439404</v>
      </c>
      <c r="G3562" t="n">
        <v>0.8504670664731865</v>
      </c>
      <c r="H3562" t="n">
        <v>0.0264057547005278</v>
      </c>
      <c r="I3562" t="n">
        <v>0.0256931388478082</v>
      </c>
      <c r="J3562" t="n">
        <v>0.0008471026784778</v>
      </c>
      <c r="K3562" t="n">
        <v>0.9279787575710522</v>
      </c>
      <c r="L3562" t="b">
        <v>0</v>
      </c>
      <c r="M3562" t="b">
        <v>0</v>
      </c>
      <c r="N3562" t="inlineStr">
        <is>
          <t>ref</t>
        </is>
      </c>
      <c r="O3562" t="n">
        <v>55</v>
      </c>
      <c r="P3562" t="n">
        <v>0.003986</v>
      </c>
      <c r="Q3562" t="n">
        <v>-65</v>
      </c>
      <c r="R3562" t="n">
        <v>0.1698</v>
      </c>
      <c r="S3562">
        <f>IMAGE("https://mitra.stanford.edu/kundaje/oak/projects/neuro-variants/variant_position/credible/roussos_2024/variant_figures/roussos_2024.childhood.GABA/rs675629_count_position.png",4,220,900)</f>
        <v/>
      </c>
      <c r="T3562">
        <f>IMAGE("https://mitra.stanford.edu/kundaje/oak/projects/neuro-variants/variant_position/credible/roussos_2024/variant_figures/roussos_2024.childhood.GABA/rs675629_profile_position.png",4,220,900)</f>
        <v/>
      </c>
    </row>
    <row r="3563">
      <c r="A3563" t="inlineStr">
        <is>
          <t>chr6</t>
        </is>
      </c>
      <c r="B3563" t="n">
        <v>95994527</v>
      </c>
      <c r="C3563" t="inlineStr">
        <is>
          <t>G</t>
        </is>
      </c>
      <c r="D3563" t="inlineStr">
        <is>
          <t>T</t>
        </is>
      </c>
      <c r="E3563" t="inlineStr">
        <is>
          <t>rs582112</t>
        </is>
      </c>
      <c r="F3563" t="n">
        <v>-0.01909889</v>
      </c>
      <c r="G3563" t="n">
        <v>0.4510853959743987</v>
      </c>
      <c r="H3563" t="n">
        <v>0.0325269661068876</v>
      </c>
      <c r="I3563" t="n">
        <v>0.008931259687626401</v>
      </c>
      <c r="J3563" t="n">
        <v>0.010363133756361</v>
      </c>
      <c r="K3563" t="n">
        <v>0.7425068744208136</v>
      </c>
      <c r="L3563" t="b">
        <v>1</v>
      </c>
      <c r="M3563" t="b">
        <v>0</v>
      </c>
      <c r="N3563" t="inlineStr">
        <is>
          <t>ref</t>
        </is>
      </c>
      <c r="O3563" t="n">
        <v>95</v>
      </c>
      <c r="P3563" t="n">
        <v>0.02591</v>
      </c>
      <c r="Q3563" t="n">
        <v>80</v>
      </c>
      <c r="R3563" t="n">
        <v>0.1995</v>
      </c>
      <c r="S3563">
        <f>IMAGE("https://mitra.stanford.edu/kundaje/oak/projects/neuro-variants/variant_position/credible/roussos_2024/variant_figures/roussos_2024.childhood.GABA/rs582112_count_position.png",4,220,900)</f>
        <v/>
      </c>
      <c r="T3563">
        <f>IMAGE("https://mitra.stanford.edu/kundaje/oak/projects/neuro-variants/variant_position/credible/roussos_2024/variant_figures/roussos_2024.childhood.GABA/rs582112_profile_position.png",4,220,900)</f>
        <v/>
      </c>
    </row>
    <row r="3564">
      <c r="A3564" t="inlineStr">
        <is>
          <t>chr6</t>
        </is>
      </c>
      <c r="B3564" t="n">
        <v>96001717</v>
      </c>
      <c r="C3564" t="inlineStr">
        <is>
          <t>A</t>
        </is>
      </c>
      <c r="D3564" t="inlineStr">
        <is>
          <t>G</t>
        </is>
      </c>
      <c r="E3564" t="inlineStr">
        <is>
          <t>rs595200</t>
        </is>
      </c>
      <c r="F3564" t="n">
        <v>0.0881310748</v>
      </c>
      <c r="G3564" t="n">
        <v>0.0399405795638031</v>
      </c>
      <c r="H3564" t="n">
        <v>0.0155314458491012</v>
      </c>
      <c r="I3564" t="n">
        <v>0.2015167418412538</v>
      </c>
      <c r="J3564" t="n">
        <v>0.08753533957404019</v>
      </c>
      <c r="K3564" t="n">
        <v>0.3999068195031772</v>
      </c>
      <c r="L3564" t="b">
        <v>0</v>
      </c>
      <c r="M3564" t="b">
        <v>0</v>
      </c>
      <c r="N3564" t="inlineStr">
        <is>
          <t>alt</t>
        </is>
      </c>
      <c r="O3564" t="n">
        <v>-55</v>
      </c>
      <c r="P3564" t="n">
        <v>0.009950000000000001</v>
      </c>
      <c r="Q3564" t="n">
        <v>70</v>
      </c>
      <c r="R3564" t="n">
        <v>0.1049</v>
      </c>
      <c r="S3564">
        <f>IMAGE("https://mitra.stanford.edu/kundaje/oak/projects/neuro-variants/variant_position/credible/roussos_2024/variant_figures/roussos_2024.childhood.GABA/rs595200_count_position.png",4,220,900)</f>
        <v/>
      </c>
      <c r="T3564">
        <f>IMAGE("https://mitra.stanford.edu/kundaje/oak/projects/neuro-variants/variant_position/credible/roussos_2024/variant_figures/roussos_2024.childhood.GABA/rs595200_profile_position.png",4,220,900)</f>
        <v/>
      </c>
    </row>
    <row r="3565">
      <c r="A3565" t="inlineStr">
        <is>
          <t>chr6</t>
        </is>
      </c>
      <c r="B3565" t="n">
        <v>96012692</v>
      </c>
      <c r="C3565" t="inlineStr">
        <is>
          <t>C</t>
        </is>
      </c>
      <c r="D3565" t="inlineStr">
        <is>
          <t>T</t>
        </is>
      </c>
      <c r="E3565" t="inlineStr">
        <is>
          <t>rs17592255</t>
        </is>
      </c>
      <c r="F3565" t="n">
        <v>0.01597981732</v>
      </c>
      <c r="G3565" t="n">
        <v>0.4866203793075786</v>
      </c>
      <c r="H3565" t="n">
        <v>0.0222431182172769</v>
      </c>
      <c r="I3565" t="n">
        <v>0.0477484509137177</v>
      </c>
      <c r="J3565" t="n">
        <v>0.0213838453644949</v>
      </c>
      <c r="K3565" t="n">
        <v>0.6326921544753704</v>
      </c>
      <c r="L3565" t="b">
        <v>0</v>
      </c>
      <c r="M3565" t="b">
        <v>0</v>
      </c>
      <c r="N3565" t="inlineStr">
        <is>
          <t>alt</t>
        </is>
      </c>
      <c r="O3565" t="n">
        <v>-65</v>
      </c>
      <c r="P3565" t="n">
        <v>0.05298</v>
      </c>
      <c r="Q3565" t="n">
        <v>15</v>
      </c>
      <c r="R3565" t="n">
        <v>0.0365</v>
      </c>
      <c r="S3565">
        <f>IMAGE("https://mitra.stanford.edu/kundaje/oak/projects/neuro-variants/variant_position/credible/roussos_2024/variant_figures/roussos_2024.childhood.GABA/rs17592255_count_position.png",4,220,900)</f>
        <v/>
      </c>
      <c r="T3565">
        <f>IMAGE("https://mitra.stanford.edu/kundaje/oak/projects/neuro-variants/variant_position/credible/roussos_2024/variant_figures/roussos_2024.childhood.GABA/rs17592255_profile_position.png",4,220,900)</f>
        <v/>
      </c>
    </row>
    <row r="3566">
      <c r="A3566" t="inlineStr">
        <is>
          <t>chr6</t>
        </is>
      </c>
      <c r="B3566" t="n">
        <v>96028152</v>
      </c>
      <c r="C3566" t="inlineStr">
        <is>
          <t>A</t>
        </is>
      </c>
      <c r="D3566" t="inlineStr">
        <is>
          <t>G</t>
        </is>
      </c>
      <c r="E3566" t="inlineStr">
        <is>
          <t>rs6926151</t>
        </is>
      </c>
      <c r="F3566" t="n">
        <v>0.005371586768</v>
      </c>
      <c r="G3566" t="n">
        <v>0.7700886933225926</v>
      </c>
      <c r="H3566" t="n">
        <v>0.0117849691606037</v>
      </c>
      <c r="I3566" t="n">
        <v>0.4581642377523516</v>
      </c>
      <c r="J3566" t="n">
        <v>0.005026072752403</v>
      </c>
      <c r="K3566" t="n">
        <v>0.8210365919518375</v>
      </c>
      <c r="L3566" t="b">
        <v>0</v>
      </c>
      <c r="M3566" t="b">
        <v>0</v>
      </c>
      <c r="N3566" t="inlineStr">
        <is>
          <t>alt</t>
        </is>
      </c>
      <c r="O3566" t="n">
        <v>100</v>
      </c>
      <c r="P3566" t="n">
        <v>0.004677</v>
      </c>
      <c r="Q3566" t="n">
        <v>60</v>
      </c>
      <c r="R3566" t="n">
        <v>0.003036</v>
      </c>
      <c r="S3566">
        <f>IMAGE("https://mitra.stanford.edu/kundaje/oak/projects/neuro-variants/variant_position/credible/roussos_2024/variant_figures/roussos_2024.childhood.GABA/rs6926151_count_position.png",4,220,900)</f>
        <v/>
      </c>
      <c r="T3566">
        <f>IMAGE("https://mitra.stanford.edu/kundaje/oak/projects/neuro-variants/variant_position/credible/roussos_2024/variant_figures/roussos_2024.childhood.GABA/rs6926151_profile_position.png",4,220,900)</f>
        <v/>
      </c>
    </row>
    <row r="3567">
      <c r="A3567" t="inlineStr">
        <is>
          <t>chr6</t>
        </is>
      </c>
      <c r="B3567" t="n">
        <v>104917850</v>
      </c>
      <c r="C3567" t="inlineStr">
        <is>
          <t>C</t>
        </is>
      </c>
      <c r="D3567" t="inlineStr">
        <is>
          <t>T</t>
        </is>
      </c>
      <c r="E3567" t="inlineStr">
        <is>
          <t>rs1933801</t>
        </is>
      </c>
      <c r="F3567" t="n">
        <v>0.0246840726</v>
      </c>
      <c r="G3567" t="n">
        <v>0.3410829642456262</v>
      </c>
      <c r="H3567" t="n">
        <v>0.0221495917115013</v>
      </c>
      <c r="I3567" t="n">
        <v>0.049118251845573</v>
      </c>
      <c r="J3567" t="n">
        <v>0.0047548742434713</v>
      </c>
      <c r="K3567" t="n">
        <v>0.8151455860768874</v>
      </c>
      <c r="L3567" t="b">
        <v>0</v>
      </c>
      <c r="M3567" t="b">
        <v>0</v>
      </c>
      <c r="N3567" t="inlineStr">
        <is>
          <t>alt</t>
        </is>
      </c>
      <c r="O3567" t="n">
        <v>-25</v>
      </c>
      <c r="P3567" t="n">
        <v>0.005173</v>
      </c>
      <c r="Q3567" t="n">
        <v>-100</v>
      </c>
      <c r="R3567" t="n">
        <v>0.0756</v>
      </c>
      <c r="S3567">
        <f>IMAGE("https://mitra.stanford.edu/kundaje/oak/projects/neuro-variants/variant_position/credible/roussos_2024/variant_figures/roussos_2024.childhood.GABA/rs1933801_count_position.png",4,220,900)</f>
        <v/>
      </c>
      <c r="T3567">
        <f>IMAGE("https://mitra.stanford.edu/kundaje/oak/projects/neuro-variants/variant_position/credible/roussos_2024/variant_figures/roussos_2024.childhood.GABA/rs1933801_profile_position.png",4,220,900)</f>
        <v/>
      </c>
    </row>
    <row r="3568">
      <c r="A3568" t="inlineStr">
        <is>
          <t>chr6</t>
        </is>
      </c>
      <c r="B3568" t="n">
        <v>104929472</v>
      </c>
      <c r="C3568" t="inlineStr">
        <is>
          <t>C</t>
        </is>
      </c>
      <c r="D3568" t="inlineStr">
        <is>
          <t>T</t>
        </is>
      </c>
      <c r="E3568" t="inlineStr">
        <is>
          <t>rs9391254</t>
        </is>
      </c>
      <c r="F3568" t="n">
        <v>-0.0773289338</v>
      </c>
      <c r="G3568" t="n">
        <v>0.0556503551081327</v>
      </c>
      <c r="H3568" t="n">
        <v>0.0153338331034957</v>
      </c>
      <c r="I3568" t="n">
        <v>0.213302091427683</v>
      </c>
      <c r="J3568" t="n">
        <v>0.0417739942619002</v>
      </c>
      <c r="K3568" t="n">
        <v>0.5364478228339747</v>
      </c>
      <c r="L3568" t="b">
        <v>0</v>
      </c>
      <c r="M3568" t="b">
        <v>0</v>
      </c>
      <c r="N3568" t="inlineStr">
        <is>
          <t>ref</t>
        </is>
      </c>
      <c r="O3568" t="n">
        <v>-70</v>
      </c>
      <c r="P3568" t="n">
        <v>0.0169</v>
      </c>
      <c r="Q3568" t="n">
        <v>95</v>
      </c>
      <c r="R3568" t="n">
        <v>0.1342</v>
      </c>
      <c r="S3568">
        <f>IMAGE("https://mitra.stanford.edu/kundaje/oak/projects/neuro-variants/variant_position/credible/roussos_2024/variant_figures/roussos_2024.childhood.GABA/rs9391254_count_position.png",4,220,900)</f>
        <v/>
      </c>
      <c r="T3568">
        <f>IMAGE("https://mitra.stanford.edu/kundaje/oak/projects/neuro-variants/variant_position/credible/roussos_2024/variant_figures/roussos_2024.childhood.GABA/rs9391254_profile_position.png",4,220,900)</f>
        <v/>
      </c>
    </row>
    <row r="3569">
      <c r="A3569" t="inlineStr">
        <is>
          <t>chr6</t>
        </is>
      </c>
      <c r="B3569" t="n">
        <v>104931079</v>
      </c>
      <c r="C3569" t="inlineStr">
        <is>
          <t>C</t>
        </is>
      </c>
      <c r="D3569" t="inlineStr">
        <is>
          <t>T</t>
        </is>
      </c>
      <c r="E3569" t="inlineStr">
        <is>
          <t>rs7759938</t>
        </is>
      </c>
      <c r="F3569" t="n">
        <v>-0.0559498392</v>
      </c>
      <c r="G3569" t="n">
        <v>0.1269481654011825</v>
      </c>
      <c r="H3569" t="n">
        <v>0.014919646665874</v>
      </c>
      <c r="I3569" t="n">
        <v>0.2292015670632569</v>
      </c>
      <c r="J3569" t="n">
        <v>0.0814935812862557</v>
      </c>
      <c r="K3569" t="n">
        <v>0.3932556561651653</v>
      </c>
      <c r="L3569" t="b">
        <v>0</v>
      </c>
      <c r="M3569" t="b">
        <v>0</v>
      </c>
      <c r="N3569" t="inlineStr">
        <is>
          <t>ref</t>
        </is>
      </c>
      <c r="O3569" t="n">
        <v>85</v>
      </c>
      <c r="P3569" t="n">
        <v>0.0083</v>
      </c>
      <c r="Q3569" t="n">
        <v>80</v>
      </c>
      <c r="R3569" t="n">
        <v>0.0828</v>
      </c>
      <c r="S3569">
        <f>IMAGE("https://mitra.stanford.edu/kundaje/oak/projects/neuro-variants/variant_position/credible/roussos_2024/variant_figures/roussos_2024.childhood.GABA/rs7759938_count_position.png",4,220,900)</f>
        <v/>
      </c>
      <c r="T3569">
        <f>IMAGE("https://mitra.stanford.edu/kundaje/oak/projects/neuro-variants/variant_position/credible/roussos_2024/variant_figures/roussos_2024.childhood.GABA/rs7759938_profile_position.png",4,220,900)</f>
        <v/>
      </c>
    </row>
    <row r="3570">
      <c r="A3570" t="inlineStr">
        <is>
          <t>chr6</t>
        </is>
      </c>
      <c r="B3570" t="n">
        <v>104942692</v>
      </c>
      <c r="C3570" t="inlineStr">
        <is>
          <t>C</t>
        </is>
      </c>
      <c r="D3570" t="inlineStr">
        <is>
          <t>T</t>
        </is>
      </c>
      <c r="E3570" t="inlineStr">
        <is>
          <t>rs314265</t>
        </is>
      </c>
      <c r="F3570" t="n">
        <v>-0.008130502600000001</v>
      </c>
      <c r="G3570" t="n">
        <v>0.5630010281615759</v>
      </c>
      <c r="H3570" t="n">
        <v>0.008516902584319599</v>
      </c>
      <c r="I3570" t="n">
        <v>0.7952879854355989</v>
      </c>
      <c r="J3570" t="n">
        <v>0.0057538062030114</v>
      </c>
      <c r="K3570" t="n">
        <v>0.8089554449931535</v>
      </c>
      <c r="L3570" t="b">
        <v>0</v>
      </c>
      <c r="M3570" t="b">
        <v>0</v>
      </c>
      <c r="N3570" t="inlineStr">
        <is>
          <t>ref</t>
        </is>
      </c>
      <c r="O3570" t="n">
        <v>-85</v>
      </c>
      <c r="P3570" t="n">
        <v>0.02179</v>
      </c>
      <c r="Q3570" t="n">
        <v>-75</v>
      </c>
      <c r="R3570" t="n">
        <v>0.09326</v>
      </c>
      <c r="S3570">
        <f>IMAGE("https://mitra.stanford.edu/kundaje/oak/projects/neuro-variants/variant_position/credible/roussos_2024/variant_figures/roussos_2024.childhood.GABA/rs314265_count_position.png",4,220,900)</f>
        <v/>
      </c>
      <c r="T3570">
        <f>IMAGE("https://mitra.stanford.edu/kundaje/oak/projects/neuro-variants/variant_position/credible/roussos_2024/variant_figures/roussos_2024.childhood.GABA/rs314265_profile_position.png",4,220,900)</f>
        <v/>
      </c>
    </row>
    <row r="3571">
      <c r="A3571" t="inlineStr">
        <is>
          <t>chr6</t>
        </is>
      </c>
      <c r="B3571" t="n">
        <v>104961091</v>
      </c>
      <c r="C3571" t="inlineStr">
        <is>
          <t>T</t>
        </is>
      </c>
      <c r="D3571" t="inlineStr">
        <is>
          <t>C</t>
        </is>
      </c>
      <c r="E3571" t="inlineStr">
        <is>
          <t>rs314275</t>
        </is>
      </c>
      <c r="F3571" t="n">
        <v>-0.00260038874</v>
      </c>
      <c r="G3571" t="n">
        <v>0.7397603252857652</v>
      </c>
      <c r="H3571" t="n">
        <v>0.0218708417628359</v>
      </c>
      <c r="I3571" t="n">
        <v>0.0513114952313521</v>
      </c>
      <c r="J3571" t="n">
        <v>0.0025496848233544</v>
      </c>
      <c r="K3571" t="n">
        <v>0.8687474100659224</v>
      </c>
      <c r="L3571" t="b">
        <v>0</v>
      </c>
      <c r="M3571" t="b">
        <v>0</v>
      </c>
      <c r="N3571" t="inlineStr">
        <is>
          <t>ref</t>
        </is>
      </c>
      <c r="O3571" t="n">
        <v>100</v>
      </c>
      <c r="P3571" t="n">
        <v>0.01842</v>
      </c>
      <c r="Q3571" t="n">
        <v>-100</v>
      </c>
      <c r="R3571" t="n">
        <v>0.1638</v>
      </c>
      <c r="S3571">
        <f>IMAGE("https://mitra.stanford.edu/kundaje/oak/projects/neuro-variants/variant_position/credible/roussos_2024/variant_figures/roussos_2024.childhood.GABA/rs314275_count_position.png",4,220,900)</f>
        <v/>
      </c>
      <c r="T3571">
        <f>IMAGE("https://mitra.stanford.edu/kundaje/oak/projects/neuro-variants/variant_position/credible/roussos_2024/variant_figures/roussos_2024.childhood.GABA/rs314275_profile_position.png",4,220,900)</f>
        <v/>
      </c>
    </row>
    <row r="3572">
      <c r="A3572" t="inlineStr">
        <is>
          <t>chr6</t>
        </is>
      </c>
      <c r="B3572" t="n">
        <v>105005542</v>
      </c>
      <c r="C3572" t="inlineStr">
        <is>
          <t>A</t>
        </is>
      </c>
      <c r="D3572" t="inlineStr">
        <is>
          <t>C</t>
        </is>
      </c>
      <c r="E3572" t="inlineStr">
        <is>
          <t>rs314261</t>
        </is>
      </c>
      <c r="F3572" t="n">
        <v>0.0236470477999999</v>
      </c>
      <c r="G3572" t="n">
        <v>0.3682227093454949</v>
      </c>
      <c r="H3572" t="n">
        <v>0.0112722755836021</v>
      </c>
      <c r="I3572" t="n">
        <v>0.5013229830919326</v>
      </c>
      <c r="J3572" t="n">
        <v>0.009897174928273701</v>
      </c>
      <c r="K3572" t="n">
        <v>0.7431819918259319</v>
      </c>
      <c r="L3572" t="b">
        <v>0</v>
      </c>
      <c r="M3572" t="b">
        <v>0</v>
      </c>
      <c r="N3572" t="inlineStr">
        <is>
          <t>alt</t>
        </is>
      </c>
      <c r="O3572" t="n">
        <v>-90</v>
      </c>
      <c r="P3572" t="n">
        <v>0.007042</v>
      </c>
      <c r="Q3572" t="n">
        <v>80</v>
      </c>
      <c r="R3572" t="n">
        <v>0.0417</v>
      </c>
      <c r="S3572">
        <f>IMAGE("https://mitra.stanford.edu/kundaje/oak/projects/neuro-variants/variant_position/credible/roussos_2024/variant_figures/roussos_2024.childhood.GABA/rs314261_count_position.png",4,220,900)</f>
        <v/>
      </c>
      <c r="T3572">
        <f>IMAGE("https://mitra.stanford.edu/kundaje/oak/projects/neuro-variants/variant_position/credible/roussos_2024/variant_figures/roussos_2024.childhood.GABA/rs314261_profile_position.png",4,220,900)</f>
        <v/>
      </c>
    </row>
    <row r="3573">
      <c r="A3573" t="inlineStr">
        <is>
          <t>chr6</t>
        </is>
      </c>
      <c r="B3573" t="n">
        <v>105009311</v>
      </c>
      <c r="C3573" t="inlineStr">
        <is>
          <t>T</t>
        </is>
      </c>
      <c r="D3573" t="inlineStr">
        <is>
          <t>G</t>
        </is>
      </c>
      <c r="E3573" t="inlineStr">
        <is>
          <t>rs314260</t>
        </is>
      </c>
      <c r="F3573" t="n">
        <v>-0.0086859941</v>
      </c>
      <c r="G3573" t="n">
        <v>0.6786637427925716</v>
      </c>
      <c r="H3573" t="n">
        <v>0.0341030632810393</v>
      </c>
      <c r="I3573" t="n">
        <v>0.0079072341016709</v>
      </c>
      <c r="J3573" t="n">
        <v>0.034739586605516</v>
      </c>
      <c r="K3573" t="n">
        <v>0.5621994040975968</v>
      </c>
      <c r="L3573" t="b">
        <v>1</v>
      </c>
      <c r="M3573" t="b">
        <v>0</v>
      </c>
      <c r="N3573" t="inlineStr">
        <is>
          <t>ref</t>
        </is>
      </c>
      <c r="O3573" t="n">
        <v>15</v>
      </c>
      <c r="P3573" t="n">
        <v>0.000534</v>
      </c>
      <c r="Q3573" t="n">
        <v>-100</v>
      </c>
      <c r="R3573" t="n">
        <v>0.1306</v>
      </c>
      <c r="S3573">
        <f>IMAGE("https://mitra.stanford.edu/kundaje/oak/projects/neuro-variants/variant_position/credible/roussos_2024/variant_figures/roussos_2024.childhood.GABA/rs314260_count_position.png",4,220,900)</f>
        <v/>
      </c>
      <c r="T3573">
        <f>IMAGE("https://mitra.stanford.edu/kundaje/oak/projects/neuro-variants/variant_position/credible/roussos_2024/variant_figures/roussos_2024.childhood.GABA/rs314260_profile_position.png",4,220,900)</f>
        <v/>
      </c>
    </row>
    <row r="3574">
      <c r="A3574" t="inlineStr">
        <is>
          <t>chr6</t>
        </is>
      </c>
      <c r="B3574" t="n">
        <v>105017065</v>
      </c>
      <c r="C3574" t="inlineStr">
        <is>
          <t>T</t>
        </is>
      </c>
      <c r="D3574" t="inlineStr">
        <is>
          <t>C</t>
        </is>
      </c>
      <c r="E3574" t="inlineStr">
        <is>
          <t>rs191135</t>
        </is>
      </c>
      <c r="F3574" t="n">
        <v>-0.006835953364</v>
      </c>
      <c r="G3574" t="n">
        <v>0.7209880807607465</v>
      </c>
      <c r="H3574" t="n">
        <v>0.0150542446971839</v>
      </c>
      <c r="I3574" t="n">
        <v>0.2196381874383469</v>
      </c>
      <c r="J3574" t="n">
        <v>0.0157305606165315</v>
      </c>
      <c r="K3574" t="n">
        <v>0.6776350784183786</v>
      </c>
      <c r="L3574" t="b">
        <v>0</v>
      </c>
      <c r="M3574" t="b">
        <v>0</v>
      </c>
      <c r="N3574" t="inlineStr">
        <is>
          <t>ref</t>
        </is>
      </c>
      <c r="O3574" t="n">
        <v>-70</v>
      </c>
      <c r="P3574" t="n">
        <v>0.0313</v>
      </c>
      <c r="Q3574" t="n">
        <v>-90</v>
      </c>
      <c r="R3574" t="n">
        <v>0.04578</v>
      </c>
      <c r="S3574">
        <f>IMAGE("https://mitra.stanford.edu/kundaje/oak/projects/neuro-variants/variant_position/credible/roussos_2024/variant_figures/roussos_2024.childhood.GABA/rs191135_count_position.png",4,220,900)</f>
        <v/>
      </c>
      <c r="T3574">
        <f>IMAGE("https://mitra.stanford.edu/kundaje/oak/projects/neuro-variants/variant_position/credible/roussos_2024/variant_figures/roussos_2024.childhood.GABA/rs191135_profile_position.png",4,220,900)</f>
        <v/>
      </c>
    </row>
    <row r="3575">
      <c r="A3575" t="inlineStr">
        <is>
          <t>chr6</t>
        </is>
      </c>
      <c r="B3575" t="n">
        <v>107772376</v>
      </c>
      <c r="C3575" t="inlineStr">
        <is>
          <t>C</t>
        </is>
      </c>
      <c r="D3575" t="inlineStr">
        <is>
          <t>T</t>
        </is>
      </c>
      <c r="E3575" t="inlineStr">
        <is>
          <t>rs6909292</t>
        </is>
      </c>
      <c r="F3575" t="n">
        <v>-0.09468236799999991</v>
      </c>
      <c r="G3575" t="n">
        <v>0.0366667257652819</v>
      </c>
      <c r="H3575" t="n">
        <v>0.0349947284520537</v>
      </c>
      <c r="I3575" t="n">
        <v>0.0070255184938146</v>
      </c>
      <c r="J3575" t="n">
        <v>0.1524020439362526</v>
      </c>
      <c r="K3575" t="n">
        <v>0.2775579826533023</v>
      </c>
      <c r="L3575" t="b">
        <v>1</v>
      </c>
      <c r="M3575" t="b">
        <v>1</v>
      </c>
      <c r="N3575" t="inlineStr">
        <is>
          <t>ref</t>
        </is>
      </c>
      <c r="O3575" t="n">
        <v>-60</v>
      </c>
      <c r="P3575" t="n">
        <v>0.004005</v>
      </c>
      <c r="Q3575" t="n">
        <v>-65</v>
      </c>
      <c r="R3575" t="n">
        <v>0.2</v>
      </c>
      <c r="S3575">
        <f>IMAGE("https://mitra.stanford.edu/kundaje/oak/projects/neuro-variants/variant_position/credible/roussos_2024/variant_figures/roussos_2024.childhood.GABA/rs6909292_count_position.png",4,220,900)</f>
        <v/>
      </c>
      <c r="T3575">
        <f>IMAGE("https://mitra.stanford.edu/kundaje/oak/projects/neuro-variants/variant_position/credible/roussos_2024/variant_figures/roussos_2024.childhood.GABA/rs6909292_profile_position.png",4,220,900)</f>
        <v/>
      </c>
    </row>
    <row r="3576">
      <c r="A3576" t="inlineStr">
        <is>
          <t>chr6</t>
        </is>
      </c>
      <c r="B3576" t="n">
        <v>107775325</v>
      </c>
      <c r="C3576" t="inlineStr">
        <is>
          <t>T</t>
        </is>
      </c>
      <c r="D3576" t="inlineStr">
        <is>
          <t>C</t>
        </is>
      </c>
      <c r="E3576" t="inlineStr">
        <is>
          <t>rs7741285</t>
        </is>
      </c>
      <c r="F3576" t="n">
        <v>0.01026702914</v>
      </c>
      <c r="G3576" t="n">
        <v>0.624174702347542</v>
      </c>
      <c r="H3576" t="n">
        <v>0.0075956611515224</v>
      </c>
      <c r="I3576" t="n">
        <v>0.871777757881054</v>
      </c>
      <c r="J3576" t="n">
        <v>0.008889866180812901</v>
      </c>
      <c r="K3576" t="n">
        <v>0.7665408148803053</v>
      </c>
      <c r="L3576" t="b">
        <v>0</v>
      </c>
      <c r="M3576" t="b">
        <v>0</v>
      </c>
      <c r="N3576" t="inlineStr">
        <is>
          <t>alt</t>
        </is>
      </c>
      <c r="O3576" t="n">
        <v>5</v>
      </c>
      <c r="P3576" t="n">
        <v>2.956e-05</v>
      </c>
      <c r="Q3576" t="n">
        <v>55</v>
      </c>
      <c r="R3576" t="n">
        <v>0.148</v>
      </c>
      <c r="S3576">
        <f>IMAGE("https://mitra.stanford.edu/kundaje/oak/projects/neuro-variants/variant_position/credible/roussos_2024/variant_figures/roussos_2024.childhood.GABA/rs7741285_count_position.png",4,220,900)</f>
        <v/>
      </c>
      <c r="T3576">
        <f>IMAGE("https://mitra.stanford.edu/kundaje/oak/projects/neuro-variants/variant_position/credible/roussos_2024/variant_figures/roussos_2024.childhood.GABA/rs7741285_profile_position.png",4,220,900)</f>
        <v/>
      </c>
    </row>
    <row r="3577">
      <c r="A3577" t="inlineStr">
        <is>
          <t>chr6</t>
        </is>
      </c>
      <c r="B3577" t="n">
        <v>107795478</v>
      </c>
      <c r="C3577" t="inlineStr">
        <is>
          <t>C</t>
        </is>
      </c>
      <c r="D3577" t="inlineStr">
        <is>
          <t>T</t>
        </is>
      </c>
      <c r="E3577" t="inlineStr">
        <is>
          <t>rs9400146</t>
        </is>
      </c>
      <c r="F3577" t="n">
        <v>-0.0412493012</v>
      </c>
      <c r="G3577" t="n">
        <v>0.204598341008138</v>
      </c>
      <c r="H3577" t="n">
        <v>0.0126177952999044</v>
      </c>
      <c r="I3577" t="n">
        <v>0.3697138132528295</v>
      </c>
      <c r="J3577" t="n">
        <v>0.0005654331846452</v>
      </c>
      <c r="K3577" t="n">
        <v>0.9337423859596208</v>
      </c>
      <c r="L3577" t="b">
        <v>0</v>
      </c>
      <c r="M3577" t="b">
        <v>0</v>
      </c>
      <c r="N3577" t="inlineStr">
        <is>
          <t>ref</t>
        </is>
      </c>
      <c r="O3577" t="n">
        <v>-15</v>
      </c>
      <c r="P3577" t="n">
        <v>0.0003662</v>
      </c>
      <c r="Q3577" t="n">
        <v>95</v>
      </c>
      <c r="R3577" t="n">
        <v>0.06726</v>
      </c>
      <c r="S3577">
        <f>IMAGE("https://mitra.stanford.edu/kundaje/oak/projects/neuro-variants/variant_position/credible/roussos_2024/variant_figures/roussos_2024.childhood.GABA/rs9400146_count_position.png",4,220,900)</f>
        <v/>
      </c>
      <c r="T3577">
        <f>IMAGE("https://mitra.stanford.edu/kundaje/oak/projects/neuro-variants/variant_position/credible/roussos_2024/variant_figures/roussos_2024.childhood.GABA/rs9400146_profile_position.png",4,220,900)</f>
        <v/>
      </c>
    </row>
    <row r="3578">
      <c r="A3578" t="inlineStr">
        <is>
          <t>chr6</t>
        </is>
      </c>
      <c r="B3578" t="n">
        <v>107843577</v>
      </c>
      <c r="C3578" t="inlineStr">
        <is>
          <t>G</t>
        </is>
      </c>
      <c r="D3578" t="inlineStr">
        <is>
          <t>A</t>
        </is>
      </c>
      <c r="E3578" t="inlineStr">
        <is>
          <t>rs75971958</t>
        </is>
      </c>
      <c r="F3578" t="n">
        <v>-0.113430398</v>
      </c>
      <c r="G3578" t="n">
        <v>0.0217198029298341</v>
      </c>
      <c r="H3578" t="n">
        <v>0.0128815571442049</v>
      </c>
      <c r="I3578" t="n">
        <v>0.363084740191015</v>
      </c>
      <c r="J3578" t="n">
        <v>0.0753607254298338</v>
      </c>
      <c r="K3578" t="n">
        <v>0.4221654842835836</v>
      </c>
      <c r="L3578" t="b">
        <v>0</v>
      </c>
      <c r="M3578" t="b">
        <v>0</v>
      </c>
      <c r="N3578" t="inlineStr">
        <is>
          <t>ref</t>
        </is>
      </c>
      <c r="O3578" t="n">
        <v>15</v>
      </c>
      <c r="P3578" t="n">
        <v>0.001537</v>
      </c>
      <c r="Q3578" t="n">
        <v>85</v>
      </c>
      <c r="R3578" t="n">
        <v>0.0693</v>
      </c>
      <c r="S3578">
        <f>IMAGE("https://mitra.stanford.edu/kundaje/oak/projects/neuro-variants/variant_position/credible/roussos_2024/variant_figures/roussos_2024.childhood.GABA/rs75971958_count_position.png",4,220,900)</f>
        <v/>
      </c>
      <c r="T3578">
        <f>IMAGE("https://mitra.stanford.edu/kundaje/oak/projects/neuro-variants/variant_position/credible/roussos_2024/variant_figures/roussos_2024.childhood.GABA/rs75971958_profile_position.png",4,220,900)</f>
        <v/>
      </c>
    </row>
    <row r="3579">
      <c r="A3579" t="inlineStr">
        <is>
          <t>chr6</t>
        </is>
      </c>
      <c r="B3579" t="n">
        <v>107845511</v>
      </c>
      <c r="C3579" t="inlineStr">
        <is>
          <t>T</t>
        </is>
      </c>
      <c r="D3579" t="inlineStr">
        <is>
          <t>G</t>
        </is>
      </c>
      <c r="E3579" t="inlineStr">
        <is>
          <t>rs75280747</t>
        </is>
      </c>
      <c r="F3579" t="n">
        <v>0.0277634166</v>
      </c>
      <c r="G3579" t="n">
        <v>0.3115618104795927</v>
      </c>
      <c r="H3579" t="n">
        <v>0.0241722007920662</v>
      </c>
      <c r="I3579" t="n">
        <v>0.0336659668097911</v>
      </c>
      <c r="J3579" t="n">
        <v>0.0979864296035684</v>
      </c>
      <c r="K3579" t="n">
        <v>0.3644609130311824</v>
      </c>
      <c r="L3579" t="b">
        <v>0</v>
      </c>
      <c r="M3579" t="b">
        <v>0</v>
      </c>
      <c r="N3579" t="inlineStr">
        <is>
          <t>alt</t>
        </is>
      </c>
      <c r="O3579" t="n">
        <v>-30</v>
      </c>
      <c r="P3579" t="n">
        <v>0.001274</v>
      </c>
      <c r="Q3579" t="n">
        <v>-60</v>
      </c>
      <c r="R3579" t="n">
        <v>0.05212</v>
      </c>
      <c r="S3579">
        <f>IMAGE("https://mitra.stanford.edu/kundaje/oak/projects/neuro-variants/variant_position/credible/roussos_2024/variant_figures/roussos_2024.childhood.GABA/rs75280747_count_position.png",4,220,900)</f>
        <v/>
      </c>
      <c r="T3579">
        <f>IMAGE("https://mitra.stanford.edu/kundaje/oak/projects/neuro-variants/variant_position/credible/roussos_2024/variant_figures/roussos_2024.childhood.GABA/rs75280747_profile_position.png",4,220,900)</f>
        <v/>
      </c>
    </row>
    <row r="3580">
      <c r="A3580" t="inlineStr">
        <is>
          <t>chr6</t>
        </is>
      </c>
      <c r="B3580" t="n">
        <v>107846542</v>
      </c>
      <c r="C3580" t="inlineStr">
        <is>
          <t>A</t>
        </is>
      </c>
      <c r="D3580" t="inlineStr">
        <is>
          <t>G</t>
        </is>
      </c>
      <c r="E3580" t="inlineStr">
        <is>
          <t>rs9386678</t>
        </is>
      </c>
      <c r="F3580" t="n">
        <v>0.0313669292</v>
      </c>
      <c r="G3580" t="n">
        <v>0.2717722089945177</v>
      </c>
      <c r="H3580" t="n">
        <v>0.0106869775127387</v>
      </c>
      <c r="I3580" t="n">
        <v>0.5670919571413239</v>
      </c>
      <c r="J3580" t="n">
        <v>0.0691378191032648</v>
      </c>
      <c r="K3580" t="n">
        <v>0.4579170816373713</v>
      </c>
      <c r="L3580" t="b">
        <v>0</v>
      </c>
      <c r="M3580" t="b">
        <v>0</v>
      </c>
      <c r="N3580" t="inlineStr">
        <is>
          <t>alt</t>
        </is>
      </c>
      <c r="O3580" t="n">
        <v>-100</v>
      </c>
      <c r="P3580" t="n">
        <v>0.00399</v>
      </c>
      <c r="Q3580" t="n">
        <v>-15</v>
      </c>
      <c r="R3580" t="n">
        <v>0.03003</v>
      </c>
      <c r="S3580">
        <f>IMAGE("https://mitra.stanford.edu/kundaje/oak/projects/neuro-variants/variant_position/credible/roussos_2024/variant_figures/roussos_2024.childhood.GABA/rs9386678_count_position.png",4,220,900)</f>
        <v/>
      </c>
      <c r="T3580">
        <f>IMAGE("https://mitra.stanford.edu/kundaje/oak/projects/neuro-variants/variant_position/credible/roussos_2024/variant_figures/roussos_2024.childhood.GABA/rs9386678_profile_position.png",4,220,900)</f>
        <v/>
      </c>
    </row>
    <row r="3581">
      <c r="A3581" t="inlineStr">
        <is>
          <t>chr6</t>
        </is>
      </c>
      <c r="B3581" t="n">
        <v>108445865</v>
      </c>
      <c r="C3581" t="inlineStr">
        <is>
          <t>C</t>
        </is>
      </c>
      <c r="D3581" t="inlineStr">
        <is>
          <t>T</t>
        </is>
      </c>
      <c r="E3581" t="inlineStr">
        <is>
          <t>rs2355851</t>
        </is>
      </c>
      <c r="F3581" t="n">
        <v>0.0002869145499999</v>
      </c>
      <c r="G3581" t="n">
        <v>0.864866025569483</v>
      </c>
      <c r="H3581" t="n">
        <v>0.0207751476318481</v>
      </c>
      <c r="I3581" t="n">
        <v>0.06451969908318191</v>
      </c>
      <c r="J3581" t="n">
        <v>0.0146164478230822</v>
      </c>
      <c r="K3581" t="n">
        <v>0.6961843028702627</v>
      </c>
      <c r="L3581" t="b">
        <v>0</v>
      </c>
      <c r="M3581" t="b">
        <v>0</v>
      </c>
      <c r="N3581" t="inlineStr">
        <is>
          <t>alt</t>
        </is>
      </c>
      <c r="O3581" t="n">
        <v>100</v>
      </c>
      <c r="P3581" t="n">
        <v>0.01636</v>
      </c>
      <c r="Q3581" t="n">
        <v>100</v>
      </c>
      <c r="R3581" t="n">
        <v>0.1528</v>
      </c>
      <c r="S3581">
        <f>IMAGE("https://mitra.stanford.edu/kundaje/oak/projects/neuro-variants/variant_position/credible/roussos_2024/variant_figures/roussos_2024.childhood.GABA/rs2355851_count_position.png",4,220,900)</f>
        <v/>
      </c>
      <c r="T3581">
        <f>IMAGE("https://mitra.stanford.edu/kundaje/oak/projects/neuro-variants/variant_position/credible/roussos_2024/variant_figures/roussos_2024.childhood.GABA/rs2355851_profile_position.png",4,220,900)</f>
        <v/>
      </c>
    </row>
    <row r="3582">
      <c r="A3582" t="inlineStr">
        <is>
          <t>chr6</t>
        </is>
      </c>
      <c r="B3582" t="n">
        <v>108447854</v>
      </c>
      <c r="C3582" t="inlineStr">
        <is>
          <t>A</t>
        </is>
      </c>
      <c r="D3582" t="inlineStr">
        <is>
          <t>G</t>
        </is>
      </c>
      <c r="E3582" t="inlineStr">
        <is>
          <t>rs7762665</t>
        </is>
      </c>
      <c r="F3582" t="n">
        <v>0.0249396562</v>
      </c>
      <c r="G3582" t="n">
        <v>0.3557449622912847</v>
      </c>
      <c r="H3582" t="n">
        <v>0.009051312842991901</v>
      </c>
      <c r="I3582" t="n">
        <v>0.7270429966543933</v>
      </c>
      <c r="J3582" t="n">
        <v>0.0262832191995978</v>
      </c>
      <c r="K3582" t="n">
        <v>0.6135295374635679</v>
      </c>
      <c r="L3582" t="b">
        <v>0</v>
      </c>
      <c r="M3582" t="b">
        <v>0</v>
      </c>
      <c r="N3582" t="inlineStr">
        <is>
          <t>alt</t>
        </is>
      </c>
      <c r="O3582" t="n">
        <v>60</v>
      </c>
      <c r="P3582" t="n">
        <v>0.005745</v>
      </c>
      <c r="Q3582" t="n">
        <v>30</v>
      </c>
      <c r="R3582" t="n">
        <v>0.006714</v>
      </c>
      <c r="S3582">
        <f>IMAGE("https://mitra.stanford.edu/kundaje/oak/projects/neuro-variants/variant_position/credible/roussos_2024/variant_figures/roussos_2024.childhood.GABA/rs7762665_count_position.png",4,220,900)</f>
        <v/>
      </c>
      <c r="T3582">
        <f>IMAGE("https://mitra.stanford.edu/kundaje/oak/projects/neuro-variants/variant_position/credible/roussos_2024/variant_figures/roussos_2024.childhood.GABA/rs7762665_profile_position.png",4,220,900)</f>
        <v/>
      </c>
    </row>
    <row r="3583">
      <c r="A3583" t="inlineStr">
        <is>
          <t>chr6</t>
        </is>
      </c>
      <c r="B3583" t="n">
        <v>108453769</v>
      </c>
      <c r="C3583" t="inlineStr">
        <is>
          <t>A</t>
        </is>
      </c>
      <c r="D3583" t="inlineStr">
        <is>
          <t>G</t>
        </is>
      </c>
      <c r="E3583" t="inlineStr">
        <is>
          <t>rs6568544</t>
        </is>
      </c>
      <c r="F3583" t="n">
        <v>-0.1257957884</v>
      </c>
      <c r="G3583" t="n">
        <v>0.0182831765991642</v>
      </c>
      <c r="H3583" t="n">
        <v>0.0341397835309705</v>
      </c>
      <c r="I3583" t="n">
        <v>0.0093410252561497</v>
      </c>
      <c r="J3583" t="n">
        <v>0.1162991350966471</v>
      </c>
      <c r="K3583" t="n">
        <v>0.3320665391559102</v>
      </c>
      <c r="L3583" t="b">
        <v>1</v>
      </c>
      <c r="M3583" t="b">
        <v>1</v>
      </c>
      <c r="N3583" t="inlineStr">
        <is>
          <t>ref</t>
        </is>
      </c>
      <c r="O3583" t="n">
        <v>35</v>
      </c>
      <c r="P3583" t="n">
        <v>0.001255</v>
      </c>
      <c r="Q3583" t="n">
        <v>90</v>
      </c>
      <c r="R3583" t="n">
        <v>0.1704</v>
      </c>
      <c r="S3583">
        <f>IMAGE("https://mitra.stanford.edu/kundaje/oak/projects/neuro-variants/variant_position/credible/roussos_2024/variant_figures/roussos_2024.childhood.GABA/rs6568544_count_position.png",4,220,900)</f>
        <v/>
      </c>
      <c r="T3583">
        <f>IMAGE("https://mitra.stanford.edu/kundaje/oak/projects/neuro-variants/variant_position/credible/roussos_2024/variant_figures/roussos_2024.childhood.GABA/rs6568544_profile_position.png",4,220,900)</f>
        <v/>
      </c>
    </row>
    <row r="3584">
      <c r="A3584" t="inlineStr">
        <is>
          <t>chr6</t>
        </is>
      </c>
      <c r="B3584" t="n">
        <v>108598524</v>
      </c>
      <c r="C3584" t="inlineStr">
        <is>
          <t>G</t>
        </is>
      </c>
      <c r="D3584" t="inlineStr">
        <is>
          <t>A</t>
        </is>
      </c>
      <c r="E3584" t="inlineStr">
        <is>
          <t>rs78061564</t>
        </is>
      </c>
      <c r="F3584" t="n">
        <v>0.0706089351999999</v>
      </c>
      <c r="G3584" t="n">
        <v>0.10995318560473</v>
      </c>
      <c r="H3584" t="n">
        <v>0.0174151129145421</v>
      </c>
      <c r="I3584" t="n">
        <v>0.1810874281451394</v>
      </c>
      <c r="J3584" t="n">
        <v>0.1733126007832296</v>
      </c>
      <c r="K3584" t="n">
        <v>0.2379890247746883</v>
      </c>
      <c r="L3584" t="b">
        <v>0</v>
      </c>
      <c r="M3584" t="b">
        <v>0</v>
      </c>
      <c r="N3584" t="inlineStr">
        <is>
          <t>alt</t>
        </is>
      </c>
      <c r="O3584" t="n">
        <v>100</v>
      </c>
      <c r="P3584" t="n">
        <v>0.02197</v>
      </c>
      <c r="Q3584" t="n">
        <v>-65</v>
      </c>
      <c r="R3584" t="n">
        <v>0.06104</v>
      </c>
      <c r="S3584">
        <f>IMAGE("https://mitra.stanford.edu/kundaje/oak/projects/neuro-variants/variant_position/credible/roussos_2024/variant_figures/roussos_2024.childhood.GABA/rs78061564_count_position.png",4,220,900)</f>
        <v/>
      </c>
      <c r="T3584">
        <f>IMAGE("https://mitra.stanford.edu/kundaje/oak/projects/neuro-variants/variant_position/credible/roussos_2024/variant_figures/roussos_2024.childhood.GABA/rs78061564_profile_position.png",4,220,900)</f>
        <v/>
      </c>
    </row>
    <row r="3585">
      <c r="A3585" t="inlineStr">
        <is>
          <t>chr6</t>
        </is>
      </c>
      <c r="B3585" t="n">
        <v>108673623</v>
      </c>
      <c r="C3585" t="inlineStr">
        <is>
          <t>G</t>
        </is>
      </c>
      <c r="D3585" t="inlineStr">
        <is>
          <t>A</t>
        </is>
      </c>
      <c r="E3585" t="inlineStr">
        <is>
          <t>rs9398172</t>
        </is>
      </c>
      <c r="F3585" t="n">
        <v>-0.119470754</v>
      </c>
      <c r="G3585" t="n">
        <v>0.0200624120853492</v>
      </c>
      <c r="H3585" t="n">
        <v>0.0155562388691861</v>
      </c>
      <c r="I3585" t="n">
        <v>0.2050317509284033</v>
      </c>
      <c r="J3585" t="n">
        <v>0.1092134196142488</v>
      </c>
      <c r="K3585" t="n">
        <v>0.3478154859942767</v>
      </c>
      <c r="L3585" t="b">
        <v>1</v>
      </c>
      <c r="M3585" t="b">
        <v>0</v>
      </c>
      <c r="N3585" t="inlineStr">
        <is>
          <t>ref</t>
        </is>
      </c>
      <c r="O3585" t="n">
        <v>-80</v>
      </c>
      <c r="P3585" t="n">
        <v>0.00241</v>
      </c>
      <c r="Q3585" t="n">
        <v>30</v>
      </c>
      <c r="R3585" t="n">
        <v>0.0946</v>
      </c>
      <c r="S3585">
        <f>IMAGE("https://mitra.stanford.edu/kundaje/oak/projects/neuro-variants/variant_position/credible/roussos_2024/variant_figures/roussos_2024.childhood.GABA/rs9398172_count_position.png",4,220,900)</f>
        <v/>
      </c>
      <c r="T3585">
        <f>IMAGE("https://mitra.stanford.edu/kundaje/oak/projects/neuro-variants/variant_position/credible/roussos_2024/variant_figures/roussos_2024.childhood.GABA/rs9398172_profile_position.png",4,220,900)</f>
        <v/>
      </c>
    </row>
    <row r="3586">
      <c r="A3586" t="inlineStr">
        <is>
          <t>chr6</t>
        </is>
      </c>
      <c r="B3586" t="n">
        <v>108675545</v>
      </c>
      <c r="C3586" t="inlineStr">
        <is>
          <t>T</t>
        </is>
      </c>
      <c r="D3586" t="inlineStr">
        <is>
          <t>G</t>
        </is>
      </c>
      <c r="E3586" t="inlineStr">
        <is>
          <t>rs3800228</t>
        </is>
      </c>
      <c r="F3586" t="n">
        <v>0.0263007562</v>
      </c>
      <c r="G3586" t="n">
        <v>0.3402929375660633</v>
      </c>
      <c r="H3586" t="n">
        <v>0.0127818481118113</v>
      </c>
      <c r="I3586" t="n">
        <v>0.3711994721921778</v>
      </c>
      <c r="J3586" t="n">
        <v>0.1010083558459508</v>
      </c>
      <c r="K3586" t="n">
        <v>0.3488964403788262</v>
      </c>
      <c r="L3586" t="b">
        <v>0</v>
      </c>
      <c r="M3586" t="b">
        <v>0</v>
      </c>
      <c r="N3586" t="inlineStr">
        <is>
          <t>alt</t>
        </is>
      </c>
      <c r="O3586" t="n">
        <v>45</v>
      </c>
      <c r="P3586" t="n">
        <v>0.002949</v>
      </c>
      <c r="Q3586" t="n">
        <v>-45</v>
      </c>
      <c r="R3586" t="n">
        <v>0.012695</v>
      </c>
      <c r="S3586">
        <f>IMAGE("https://mitra.stanford.edu/kundaje/oak/projects/neuro-variants/variant_position/credible/roussos_2024/variant_figures/roussos_2024.childhood.GABA/rs3800228_count_position.png",4,220,900)</f>
        <v/>
      </c>
      <c r="T3586">
        <f>IMAGE("https://mitra.stanford.edu/kundaje/oak/projects/neuro-variants/variant_position/credible/roussos_2024/variant_figures/roussos_2024.childhood.GABA/rs3800228_profile_position.png",4,220,900)</f>
        <v/>
      </c>
    </row>
    <row r="3587">
      <c r="A3587" t="inlineStr">
        <is>
          <t>chr6</t>
        </is>
      </c>
      <c r="B3587" t="n">
        <v>108676232</v>
      </c>
      <c r="C3587" t="inlineStr">
        <is>
          <t>G</t>
        </is>
      </c>
      <c r="D3587" t="inlineStr">
        <is>
          <t>A</t>
        </is>
      </c>
      <c r="E3587" t="inlineStr">
        <is>
          <t>rs9374040</t>
        </is>
      </c>
      <c r="F3587" t="n">
        <v>-0.00213449432</v>
      </c>
      <c r="G3587" t="n">
        <v>0.5275348206513596</v>
      </c>
      <c r="H3587" t="n">
        <v>0.0158558066303806</v>
      </c>
      <c r="I3587" t="n">
        <v>0.1868527494406693</v>
      </c>
      <c r="J3587" t="n">
        <v>0.1962398693221084</v>
      </c>
      <c r="K3587" t="n">
        <v>0.2151696042795851</v>
      </c>
      <c r="L3587" t="b">
        <v>0</v>
      </c>
      <c r="M3587" t="b">
        <v>0</v>
      </c>
      <c r="N3587" t="inlineStr">
        <is>
          <t>ref</t>
        </is>
      </c>
      <c r="O3587" t="n">
        <v>55</v>
      </c>
      <c r="P3587" t="n">
        <v>0.02304</v>
      </c>
      <c r="Q3587" t="n">
        <v>-40</v>
      </c>
      <c r="R3587" t="n">
        <v>0.204</v>
      </c>
      <c r="S3587">
        <f>IMAGE("https://mitra.stanford.edu/kundaje/oak/projects/neuro-variants/variant_position/credible/roussos_2024/variant_figures/roussos_2024.childhood.GABA/rs9374040_count_position.png",4,220,900)</f>
        <v/>
      </c>
      <c r="T3587">
        <f>IMAGE("https://mitra.stanford.edu/kundaje/oak/projects/neuro-variants/variant_position/credible/roussos_2024/variant_figures/roussos_2024.childhood.GABA/rs9374040_profile_position.png",4,220,900)</f>
        <v/>
      </c>
    </row>
    <row r="3588">
      <c r="A3588" t="inlineStr">
        <is>
          <t>chr6</t>
        </is>
      </c>
      <c r="B3588" t="n">
        <v>108676408</v>
      </c>
      <c r="C3588" t="inlineStr">
        <is>
          <t>G</t>
        </is>
      </c>
      <c r="D3588" t="inlineStr">
        <is>
          <t>A</t>
        </is>
      </c>
      <c r="E3588" t="inlineStr">
        <is>
          <t>rs9400240</t>
        </is>
      </c>
      <c r="F3588" t="n">
        <v>0.003202411</v>
      </c>
      <c r="G3588" t="n">
        <v>0.7023175197841933</v>
      </c>
      <c r="H3588" t="n">
        <v>0.0185333623414396</v>
      </c>
      <c r="I3588" t="n">
        <v>0.1036412586597495</v>
      </c>
      <c r="J3588" t="n">
        <v>0.1969676027727167</v>
      </c>
      <c r="K3588" t="n">
        <v>0.214420622697526</v>
      </c>
      <c r="L3588" t="b">
        <v>0</v>
      </c>
      <c r="M3588" t="b">
        <v>0</v>
      </c>
      <c r="N3588" t="inlineStr">
        <is>
          <t>alt</t>
        </is>
      </c>
      <c r="O3588" t="n">
        <v>-15</v>
      </c>
      <c r="P3588" t="n">
        <v>0.0116</v>
      </c>
      <c r="Q3588" t="n">
        <v>-45</v>
      </c>
      <c r="R3588" t="n">
        <v>0.05347</v>
      </c>
      <c r="S3588">
        <f>IMAGE("https://mitra.stanford.edu/kundaje/oak/projects/neuro-variants/variant_position/credible/roussos_2024/variant_figures/roussos_2024.childhood.GABA/rs9400240_count_position.png",4,220,900)</f>
        <v/>
      </c>
      <c r="T3588">
        <f>IMAGE("https://mitra.stanford.edu/kundaje/oak/projects/neuro-variants/variant_position/credible/roussos_2024/variant_figures/roussos_2024.childhood.GABA/rs9400240_profile_position.png",4,220,900)</f>
        <v/>
      </c>
    </row>
    <row r="3589">
      <c r="A3589" t="inlineStr">
        <is>
          <t>chr6</t>
        </is>
      </c>
      <c r="B3589" t="n">
        <v>108677063</v>
      </c>
      <c r="C3589" t="inlineStr">
        <is>
          <t>A</t>
        </is>
      </c>
      <c r="D3589" t="inlineStr">
        <is>
          <t>G</t>
        </is>
      </c>
      <c r="E3589" t="inlineStr">
        <is>
          <t>rs3800231</t>
        </is>
      </c>
      <c r="F3589" t="n">
        <v>0.01511495264</v>
      </c>
      <c r="G3589" t="n">
        <v>0.5222823165959933</v>
      </c>
      <c r="H3589" t="n">
        <v>0.0101070568850714</v>
      </c>
      <c r="I3589" t="n">
        <v>0.6226388438619991</v>
      </c>
      <c r="J3589" t="n">
        <v>0.1027402567485497</v>
      </c>
      <c r="K3589" t="n">
        <v>0.3509748557179313</v>
      </c>
      <c r="L3589" t="b">
        <v>0</v>
      </c>
      <c r="M3589" t="b">
        <v>0</v>
      </c>
      <c r="N3589" t="inlineStr">
        <is>
          <t>alt</t>
        </is>
      </c>
      <c r="O3589" t="n">
        <v>-100</v>
      </c>
      <c r="P3589" t="n">
        <v>0.01162</v>
      </c>
      <c r="Q3589" t="n">
        <v>40</v>
      </c>
      <c r="R3589" t="n">
        <v>0.06809999999999999</v>
      </c>
      <c r="S3589">
        <f>IMAGE("https://mitra.stanford.edu/kundaje/oak/projects/neuro-variants/variant_position/credible/roussos_2024/variant_figures/roussos_2024.childhood.GABA/rs3800231_count_position.png",4,220,900)</f>
        <v/>
      </c>
      <c r="T3589">
        <f>IMAGE("https://mitra.stanford.edu/kundaje/oak/projects/neuro-variants/variant_position/credible/roussos_2024/variant_figures/roussos_2024.childhood.GABA/rs3800231_profile_position.png",4,220,900)</f>
        <v/>
      </c>
    </row>
    <row r="3590">
      <c r="A3590" t="inlineStr">
        <is>
          <t>chr6</t>
        </is>
      </c>
      <c r="B3590" t="n">
        <v>108682786</v>
      </c>
      <c r="C3590" t="inlineStr">
        <is>
          <t>C</t>
        </is>
      </c>
      <c r="D3590" t="inlineStr">
        <is>
          <t>A</t>
        </is>
      </c>
      <c r="E3590" t="inlineStr">
        <is>
          <t>rs9400241</t>
        </is>
      </c>
      <c r="F3590" t="n">
        <v>-0.0858902322</v>
      </c>
      <c r="G3590" t="n">
        <v>0.0449191469792087</v>
      </c>
      <c r="H3590" t="n">
        <v>0.0214072365150271</v>
      </c>
      <c r="I3590" t="n">
        <v>0.063276660034986</v>
      </c>
      <c r="J3590" t="n">
        <v>0.2072344034679901</v>
      </c>
      <c r="K3590" t="n">
        <v>0.205943667381602</v>
      </c>
      <c r="L3590" t="b">
        <v>0</v>
      </c>
      <c r="M3590" t="b">
        <v>0</v>
      </c>
      <c r="N3590" t="inlineStr">
        <is>
          <t>ref</t>
        </is>
      </c>
      <c r="O3590" t="n">
        <v>-15</v>
      </c>
      <c r="P3590" t="n">
        <v>0.0002975</v>
      </c>
      <c r="Q3590" t="n">
        <v>-50</v>
      </c>
      <c r="R3590" t="n">
        <v>0.05273</v>
      </c>
      <c r="S3590">
        <f>IMAGE("https://mitra.stanford.edu/kundaje/oak/projects/neuro-variants/variant_position/credible/roussos_2024/variant_figures/roussos_2024.childhood.GABA/rs9400241_count_position.png",4,220,900)</f>
        <v/>
      </c>
      <c r="T3590">
        <f>IMAGE("https://mitra.stanford.edu/kundaje/oak/projects/neuro-variants/variant_position/credible/roussos_2024/variant_figures/roussos_2024.childhood.GABA/rs9400241_profile_position.png",4,220,900)</f>
        <v/>
      </c>
    </row>
    <row r="3591">
      <c r="A3591" t="inlineStr">
        <is>
          <t>chr6</t>
        </is>
      </c>
      <c r="B3591" t="n">
        <v>111460451</v>
      </c>
      <c r="C3591" t="inlineStr">
        <is>
          <t>A</t>
        </is>
      </c>
      <c r="D3591" t="inlineStr">
        <is>
          <t>G</t>
        </is>
      </c>
      <c r="E3591" t="inlineStr">
        <is>
          <t>rs112540208</t>
        </is>
      </c>
      <c r="F3591" t="n">
        <v>-0.01323538504</v>
      </c>
      <c r="G3591" t="n">
        <v>0.5272221599187832</v>
      </c>
      <c r="H3591" t="n">
        <v>0.0315192161326835</v>
      </c>
      <c r="I3591" t="n">
        <v>0.010064770590472</v>
      </c>
      <c r="J3591" t="n">
        <v>0.0081883101924566</v>
      </c>
      <c r="K3591" t="n">
        <v>0.7672155844724465</v>
      </c>
      <c r="L3591" t="b">
        <v>0</v>
      </c>
      <c r="M3591" t="b">
        <v>0</v>
      </c>
      <c r="N3591" t="inlineStr">
        <is>
          <t>ref</t>
        </is>
      </c>
      <c r="O3591" t="n">
        <v>10</v>
      </c>
      <c r="P3591" t="n">
        <v>0.0003052</v>
      </c>
      <c r="Q3591" t="n">
        <v>-40</v>
      </c>
      <c r="R3591" t="n">
        <v>0.013306</v>
      </c>
      <c r="S3591">
        <f>IMAGE("https://mitra.stanford.edu/kundaje/oak/projects/neuro-variants/variant_position/credible/roussos_2024/variant_figures/roussos_2024.childhood.GABA/rs112540208_count_position.png",4,220,900)</f>
        <v/>
      </c>
      <c r="T3591">
        <f>IMAGE("https://mitra.stanford.edu/kundaje/oak/projects/neuro-variants/variant_position/credible/roussos_2024/variant_figures/roussos_2024.childhood.GABA/rs112540208_profile_position.png",4,220,900)</f>
        <v/>
      </c>
    </row>
    <row r="3592">
      <c r="A3592" t="inlineStr">
        <is>
          <t>chr6</t>
        </is>
      </c>
      <c r="B3592" t="n">
        <v>111490719</v>
      </c>
      <c r="C3592" t="inlineStr">
        <is>
          <t>T</t>
        </is>
      </c>
      <c r="D3592" t="inlineStr">
        <is>
          <t>C</t>
        </is>
      </c>
      <c r="E3592" t="inlineStr">
        <is>
          <t>rs9320364</t>
        </is>
      </c>
      <c r="F3592" t="n">
        <v>-0.0251533886</v>
      </c>
      <c r="G3592" t="n">
        <v>0.3629940338807371</v>
      </c>
      <c r="H3592" t="n">
        <v>0.0142847347112875</v>
      </c>
      <c r="I3592" t="n">
        <v>0.2686891633599112</v>
      </c>
      <c r="J3592" t="n">
        <v>0.0117442566647818</v>
      </c>
      <c r="K3592" t="n">
        <v>0.7221921552151358</v>
      </c>
      <c r="L3592" t="b">
        <v>0</v>
      </c>
      <c r="M3592" t="b">
        <v>0</v>
      </c>
      <c r="N3592" t="inlineStr">
        <is>
          <t>ref</t>
        </is>
      </c>
      <c r="O3592" t="n">
        <v>100</v>
      </c>
      <c r="P3592" t="n">
        <v>0.08105</v>
      </c>
      <c r="Q3592" t="n">
        <v>-20</v>
      </c>
      <c r="R3592" t="n">
        <v>0.01166</v>
      </c>
      <c r="S3592">
        <f>IMAGE("https://mitra.stanford.edu/kundaje/oak/projects/neuro-variants/variant_position/credible/roussos_2024/variant_figures/roussos_2024.childhood.GABA/rs9320364_count_position.png",4,220,900)</f>
        <v/>
      </c>
      <c r="T3592">
        <f>IMAGE("https://mitra.stanford.edu/kundaje/oak/projects/neuro-variants/variant_position/credible/roussos_2024/variant_figures/roussos_2024.childhood.GABA/rs9320364_profile_position.png",4,220,900)</f>
        <v/>
      </c>
    </row>
    <row r="3593">
      <c r="A3593" t="inlineStr">
        <is>
          <t>chr6</t>
        </is>
      </c>
      <c r="B3593" t="n">
        <v>111501152</v>
      </c>
      <c r="C3593" t="inlineStr">
        <is>
          <t>G</t>
        </is>
      </c>
      <c r="D3593" t="inlineStr">
        <is>
          <t>A</t>
        </is>
      </c>
      <c r="E3593" t="inlineStr">
        <is>
          <t>rs7746225</t>
        </is>
      </c>
      <c r="F3593" t="n">
        <v>0.007713105612</v>
      </c>
      <c r="G3593" t="n">
        <v>0.6747631572908768</v>
      </c>
      <c r="H3593" t="n">
        <v>0.0480344858005605</v>
      </c>
      <c r="I3593" t="n">
        <v>0.0020444101317864</v>
      </c>
      <c r="J3593" t="n">
        <v>0.0719754560113923</v>
      </c>
      <c r="K3593" t="n">
        <v>0.4485702045702914</v>
      </c>
      <c r="L3593" t="b">
        <v>1</v>
      </c>
      <c r="M3593" t="b">
        <v>1</v>
      </c>
      <c r="N3593" t="inlineStr">
        <is>
          <t>alt</t>
        </is>
      </c>
      <c r="O3593" t="n">
        <v>-95</v>
      </c>
      <c r="P3593" t="n">
        <v>0.01315</v>
      </c>
      <c r="Q3593" t="n">
        <v>-100</v>
      </c>
      <c r="R3593" t="n">
        <v>0.04483</v>
      </c>
      <c r="S3593">
        <f>IMAGE("https://mitra.stanford.edu/kundaje/oak/projects/neuro-variants/variant_position/credible/roussos_2024/variant_figures/roussos_2024.childhood.GABA/rs7746225_count_position.png",4,220,900)</f>
        <v/>
      </c>
      <c r="T3593">
        <f>IMAGE("https://mitra.stanford.edu/kundaje/oak/projects/neuro-variants/variant_position/credible/roussos_2024/variant_figures/roussos_2024.childhood.GABA/rs7746225_profile_position.png",4,220,900)</f>
        <v/>
      </c>
    </row>
    <row r="3594">
      <c r="A3594" t="inlineStr">
        <is>
          <t>chr6</t>
        </is>
      </c>
      <c r="B3594" t="n">
        <v>111501486</v>
      </c>
      <c r="C3594" t="inlineStr">
        <is>
          <t>A</t>
        </is>
      </c>
      <c r="D3594" t="inlineStr">
        <is>
          <t>G</t>
        </is>
      </c>
      <c r="E3594" t="inlineStr">
        <is>
          <t>rs9487653</t>
        </is>
      </c>
      <c r="F3594" t="n">
        <v>0.0069987496</v>
      </c>
      <c r="G3594" t="n">
        <v>0.6658361328396356</v>
      </c>
      <c r="H3594" t="n">
        <v>0.0299468197937862</v>
      </c>
      <c r="I3594" t="n">
        <v>0.0129507582056007</v>
      </c>
      <c r="J3594" t="n">
        <v>0.0785062092940461</v>
      </c>
      <c r="K3594" t="n">
        <v>0.4365231555403149</v>
      </c>
      <c r="L3594" t="b">
        <v>1</v>
      </c>
      <c r="M3594" t="b">
        <v>0</v>
      </c>
      <c r="N3594" t="inlineStr">
        <is>
          <t>alt</t>
        </is>
      </c>
      <c r="O3594" t="n">
        <v>0</v>
      </c>
      <c r="P3594" t="n">
        <v>0</v>
      </c>
      <c r="Q3594" t="n">
        <v>65</v>
      </c>
      <c r="R3594" t="n">
        <v>0.02448</v>
      </c>
      <c r="S3594">
        <f>IMAGE("https://mitra.stanford.edu/kundaje/oak/projects/neuro-variants/variant_position/credible/roussos_2024/variant_figures/roussos_2024.childhood.GABA/rs9487653_count_position.png",4,220,900)</f>
        <v/>
      </c>
      <c r="T3594">
        <f>IMAGE("https://mitra.stanford.edu/kundaje/oak/projects/neuro-variants/variant_position/credible/roussos_2024/variant_figures/roussos_2024.childhood.GABA/rs9487653_profile_position.png",4,220,900)</f>
        <v/>
      </c>
    </row>
    <row r="3595">
      <c r="A3595" t="inlineStr">
        <is>
          <t>chr6</t>
        </is>
      </c>
      <c r="B3595" t="n">
        <v>111515841</v>
      </c>
      <c r="C3595" t="inlineStr">
        <is>
          <t>T</t>
        </is>
      </c>
      <c r="D3595" t="inlineStr">
        <is>
          <t>A</t>
        </is>
      </c>
      <c r="E3595" t="inlineStr">
        <is>
          <t>rs9320366</t>
        </is>
      </c>
      <c r="F3595" t="n">
        <v>-0.01009713208</v>
      </c>
      <c r="G3595" t="n">
        <v>0.6330625589501434</v>
      </c>
      <c r="H3595" t="n">
        <v>0.0331724953281601</v>
      </c>
      <c r="I3595" t="n">
        <v>0.008123400539760199</v>
      </c>
      <c r="J3595" t="n">
        <v>0.0052658583066322</v>
      </c>
      <c r="K3595" t="n">
        <v>0.8133849419976232</v>
      </c>
      <c r="L3595" t="b">
        <v>0</v>
      </c>
      <c r="M3595" t="b">
        <v>0</v>
      </c>
      <c r="N3595" t="inlineStr">
        <is>
          <t>ref</t>
        </is>
      </c>
      <c r="O3595" t="n">
        <v>0</v>
      </c>
      <c r="P3595" t="n">
        <v>0</v>
      </c>
      <c r="Q3595" t="n">
        <v>-95</v>
      </c>
      <c r="R3595" t="n">
        <v>0.1186</v>
      </c>
      <c r="S3595">
        <f>IMAGE("https://mitra.stanford.edu/kundaje/oak/projects/neuro-variants/variant_position/credible/roussos_2024/variant_figures/roussos_2024.childhood.GABA/rs9320366_count_position.png",4,220,900)</f>
        <v/>
      </c>
      <c r="T3595">
        <f>IMAGE("https://mitra.stanford.edu/kundaje/oak/projects/neuro-variants/variant_position/credible/roussos_2024/variant_figures/roussos_2024.childhood.GABA/rs9320366_profile_position.png",4,220,900)</f>
        <v/>
      </c>
    </row>
    <row r="3596">
      <c r="A3596" t="inlineStr">
        <is>
          <t>chr6</t>
        </is>
      </c>
      <c r="B3596" t="n">
        <v>111574657</v>
      </c>
      <c r="C3596" t="inlineStr">
        <is>
          <t>T</t>
        </is>
      </c>
      <c r="D3596" t="inlineStr">
        <is>
          <t>C</t>
        </is>
      </c>
      <c r="E3596" t="inlineStr">
        <is>
          <t>rs4945884</t>
        </is>
      </c>
      <c r="F3596" t="n">
        <v>0.1806342459999999</v>
      </c>
      <c r="G3596" t="n">
        <v>0.0061454223850486</v>
      </c>
      <c r="H3596" t="n">
        <v>0.0189910836269197</v>
      </c>
      <c r="I3596" t="n">
        <v>0.09844164944667309</v>
      </c>
      <c r="J3596" t="n">
        <v>0.1937551046051391</v>
      </c>
      <c r="K3596" t="n">
        <v>0.2236792614900631</v>
      </c>
      <c r="L3596" t="b">
        <v>1</v>
      </c>
      <c r="M3596" t="b">
        <v>1</v>
      </c>
      <c r="N3596" t="inlineStr">
        <is>
          <t>alt</t>
        </is>
      </c>
      <c r="O3596" t="n">
        <v>-75</v>
      </c>
      <c r="P3596" t="n">
        <v>0.003967</v>
      </c>
      <c r="Q3596" t="n">
        <v>-75</v>
      </c>
      <c r="R3596" t="n">
        <v>0.06128</v>
      </c>
      <c r="S3596">
        <f>IMAGE("https://mitra.stanford.edu/kundaje/oak/projects/neuro-variants/variant_position/credible/roussos_2024/variant_figures/roussos_2024.childhood.GABA/rs4945884_count_position.png",4,220,900)</f>
        <v/>
      </c>
      <c r="T3596">
        <f>IMAGE("https://mitra.stanford.edu/kundaje/oak/projects/neuro-variants/variant_position/credible/roussos_2024/variant_figures/roussos_2024.childhood.GABA/rs4945884_profile_position.png",4,220,900)</f>
        <v/>
      </c>
    </row>
    <row r="3597">
      <c r="A3597" t="inlineStr">
        <is>
          <t>chr6</t>
        </is>
      </c>
      <c r="B3597" t="n">
        <v>113065866</v>
      </c>
      <c r="C3597" t="inlineStr">
        <is>
          <t>C</t>
        </is>
      </c>
      <c r="D3597" t="inlineStr">
        <is>
          <t>T</t>
        </is>
      </c>
      <c r="E3597" t="inlineStr">
        <is>
          <t>rs12214623</t>
        </is>
      </c>
      <c r="F3597" t="n">
        <v>-0.033675662</v>
      </c>
      <c r="G3597" t="n">
        <v>0.2858666713518227</v>
      </c>
      <c r="H3597" t="n">
        <v>0.0095123226218132</v>
      </c>
      <c r="I3597" t="n">
        <v>0.6858317896788446</v>
      </c>
      <c r="J3597" t="n">
        <v>0.0175535590877677</v>
      </c>
      <c r="K3597" t="n">
        <v>0.6666778150006458</v>
      </c>
      <c r="L3597" t="b">
        <v>0</v>
      </c>
      <c r="M3597" t="b">
        <v>0</v>
      </c>
      <c r="N3597" t="inlineStr">
        <is>
          <t>ref</t>
        </is>
      </c>
      <c r="O3597" t="n">
        <v>30</v>
      </c>
      <c r="P3597" t="n">
        <v>0.003479</v>
      </c>
      <c r="Q3597" t="n">
        <v>15</v>
      </c>
      <c r="R3597" t="n">
        <v>0.03198</v>
      </c>
      <c r="S3597">
        <f>IMAGE("https://mitra.stanford.edu/kundaje/oak/projects/neuro-variants/variant_position/credible/roussos_2024/variant_figures/roussos_2024.childhood.GABA/rs12214623_count_position.png",4,220,900)</f>
        <v/>
      </c>
      <c r="T3597">
        <f>IMAGE("https://mitra.stanford.edu/kundaje/oak/projects/neuro-variants/variant_position/credible/roussos_2024/variant_figures/roussos_2024.childhood.GABA/rs12214623_profile_position.png",4,220,900)</f>
        <v/>
      </c>
    </row>
    <row r="3598">
      <c r="A3598" t="inlineStr">
        <is>
          <t>chr6</t>
        </is>
      </c>
      <c r="B3598" t="n">
        <v>113082872</v>
      </c>
      <c r="C3598" t="inlineStr">
        <is>
          <t>C</t>
        </is>
      </c>
      <c r="D3598" t="inlineStr">
        <is>
          <t>A</t>
        </is>
      </c>
      <c r="E3598" t="inlineStr">
        <is>
          <t>rs1592148</t>
        </is>
      </c>
      <c r="F3598" t="n">
        <v>-0.02602231032</v>
      </c>
      <c r="G3598" t="n">
        <v>0.3688905940749068</v>
      </c>
      <c r="H3598" t="n">
        <v>0.0123806341918435</v>
      </c>
      <c r="I3598" t="n">
        <v>0.4035725084770468</v>
      </c>
      <c r="J3598" t="n">
        <v>0.0288821176519863</v>
      </c>
      <c r="K3598" t="n">
        <v>0.5891146389367032</v>
      </c>
      <c r="L3598" t="b">
        <v>0</v>
      </c>
      <c r="M3598" t="b">
        <v>0</v>
      </c>
      <c r="N3598" t="inlineStr">
        <is>
          <t>ref</t>
        </is>
      </c>
      <c r="O3598" t="n">
        <v>-35</v>
      </c>
      <c r="P3598" t="n">
        <v>0.02698</v>
      </c>
      <c r="Q3598" t="n">
        <v>70</v>
      </c>
      <c r="R3598" t="n">
        <v>0.0747</v>
      </c>
      <c r="S3598">
        <f>IMAGE("https://mitra.stanford.edu/kundaje/oak/projects/neuro-variants/variant_position/credible/roussos_2024/variant_figures/roussos_2024.childhood.GABA/rs1592148_count_position.png",4,220,900)</f>
        <v/>
      </c>
      <c r="T3598">
        <f>IMAGE("https://mitra.stanford.edu/kundaje/oak/projects/neuro-variants/variant_position/credible/roussos_2024/variant_figures/roussos_2024.childhood.GABA/rs1592148_profile_position.png",4,220,900)</f>
        <v/>
      </c>
    </row>
    <row r="3599">
      <c r="A3599" t="inlineStr">
        <is>
          <t>chr6</t>
        </is>
      </c>
      <c r="B3599" t="n">
        <v>113086653</v>
      </c>
      <c r="C3599" t="inlineStr">
        <is>
          <t>C</t>
        </is>
      </c>
      <c r="D3599" t="inlineStr">
        <is>
          <t>A</t>
        </is>
      </c>
      <c r="E3599" t="inlineStr">
        <is>
          <t>rs6568750</t>
        </is>
      </c>
      <c r="F3599" t="n">
        <v>-0.03098384646</v>
      </c>
      <c r="G3599" t="n">
        <v>0.2581362689528668</v>
      </c>
      <c r="H3599" t="n">
        <v>0.0095664542246743</v>
      </c>
      <c r="I3599" t="n">
        <v>0.6902798864569295</v>
      </c>
      <c r="J3599" t="n">
        <v>0.0067998575946053</v>
      </c>
      <c r="K3599" t="n">
        <v>0.7810440677179215</v>
      </c>
      <c r="L3599" t="b">
        <v>0</v>
      </c>
      <c r="M3599" t="b">
        <v>0</v>
      </c>
      <c r="N3599" t="inlineStr">
        <is>
          <t>ref</t>
        </is>
      </c>
      <c r="O3599" t="n">
        <v>80</v>
      </c>
      <c r="P3599" t="n">
        <v>0.003439</v>
      </c>
      <c r="Q3599" t="n">
        <v>50</v>
      </c>
      <c r="R3599" t="n">
        <v>0.0384</v>
      </c>
      <c r="S3599">
        <f>IMAGE("https://mitra.stanford.edu/kundaje/oak/projects/neuro-variants/variant_position/credible/roussos_2024/variant_figures/roussos_2024.childhood.GABA/rs6568750_count_position.png",4,220,900)</f>
        <v/>
      </c>
      <c r="T3599">
        <f>IMAGE("https://mitra.stanford.edu/kundaje/oak/projects/neuro-variants/variant_position/credible/roussos_2024/variant_figures/roussos_2024.childhood.GABA/rs6568750_profile_position.png",4,220,900)</f>
        <v/>
      </c>
    </row>
    <row r="3600">
      <c r="A3600" t="inlineStr">
        <is>
          <t>chr6</t>
        </is>
      </c>
      <c r="B3600" t="n">
        <v>113092775</v>
      </c>
      <c r="C3600" t="inlineStr">
        <is>
          <t>C</t>
        </is>
      </c>
      <c r="D3600" t="inlineStr">
        <is>
          <t>T</t>
        </is>
      </c>
      <c r="E3600" t="inlineStr">
        <is>
          <t>rs7738702</t>
        </is>
      </c>
      <c r="F3600" t="n">
        <v>-0.0834267526</v>
      </c>
      <c r="G3600" t="n">
        <v>0.0495988122501487</v>
      </c>
      <c r="H3600" t="n">
        <v>0.0159905414516094</v>
      </c>
      <c r="I3600" t="n">
        <v>0.182699269013633</v>
      </c>
      <c r="J3600" t="n">
        <v>0.0386714414357813</v>
      </c>
      <c r="K3600" t="n">
        <v>0.5339685588762634</v>
      </c>
      <c r="L3600" t="b">
        <v>0</v>
      </c>
      <c r="M3600" t="b">
        <v>0</v>
      </c>
      <c r="N3600" t="inlineStr">
        <is>
          <t>ref</t>
        </is>
      </c>
      <c r="O3600" t="n">
        <v>-10</v>
      </c>
      <c r="P3600" t="n">
        <v>0.00522</v>
      </c>
      <c r="Q3600" t="n">
        <v>60</v>
      </c>
      <c r="R3600" t="n">
        <v>0.07006999999999999</v>
      </c>
      <c r="S3600">
        <f>IMAGE("https://mitra.stanford.edu/kundaje/oak/projects/neuro-variants/variant_position/credible/roussos_2024/variant_figures/roussos_2024.childhood.GABA/rs7738702_count_position.png",4,220,900)</f>
        <v/>
      </c>
      <c r="T3600">
        <f>IMAGE("https://mitra.stanford.edu/kundaje/oak/projects/neuro-variants/variant_position/credible/roussos_2024/variant_figures/roussos_2024.childhood.GABA/rs7738702_profile_position.png",4,220,900)</f>
        <v/>
      </c>
    </row>
    <row r="3601">
      <c r="A3601" t="inlineStr">
        <is>
          <t>chr6</t>
        </is>
      </c>
      <c r="B3601" t="n">
        <v>113140926</v>
      </c>
      <c r="C3601" t="inlineStr">
        <is>
          <t>T</t>
        </is>
      </c>
      <c r="D3601" t="inlineStr">
        <is>
          <t>A</t>
        </is>
      </c>
      <c r="E3601" t="inlineStr">
        <is>
          <t>rs6937893</t>
        </is>
      </c>
      <c r="F3601" t="n">
        <v>0.0274469336</v>
      </c>
      <c r="G3601" t="n">
        <v>0.3101897305185109</v>
      </c>
      <c r="H3601" t="n">
        <v>0.009057970750428</v>
      </c>
      <c r="I3601" t="n">
        <v>0.7259168892115173</v>
      </c>
      <c r="J3601" t="n">
        <v>0.0019434147975958</v>
      </c>
      <c r="K3601" t="n">
        <v>0.8812093904871836</v>
      </c>
      <c r="L3601" t="b">
        <v>0</v>
      </c>
      <c r="M3601" t="b">
        <v>0</v>
      </c>
      <c r="N3601" t="inlineStr">
        <is>
          <t>alt</t>
        </is>
      </c>
      <c r="O3601" t="n">
        <v>85</v>
      </c>
      <c r="P3601" t="n">
        <v>0.00923</v>
      </c>
      <c r="Q3601" t="n">
        <v>25</v>
      </c>
      <c r="R3601" t="n">
        <v>0.03757</v>
      </c>
      <c r="S3601">
        <f>IMAGE("https://mitra.stanford.edu/kundaje/oak/projects/neuro-variants/variant_position/credible/roussos_2024/variant_figures/roussos_2024.childhood.GABA/rs6937893_count_position.png",4,220,900)</f>
        <v/>
      </c>
      <c r="T3601">
        <f>IMAGE("https://mitra.stanford.edu/kundaje/oak/projects/neuro-variants/variant_position/credible/roussos_2024/variant_figures/roussos_2024.childhood.GABA/rs6937893_profile_position.png",4,220,900)</f>
        <v/>
      </c>
    </row>
    <row r="3602">
      <c r="A3602" t="inlineStr">
        <is>
          <t>chr6</t>
        </is>
      </c>
      <c r="B3602" t="n">
        <v>113142050</v>
      </c>
      <c r="C3602" t="inlineStr">
        <is>
          <t>C</t>
        </is>
      </c>
      <c r="D3602" t="inlineStr">
        <is>
          <t>T</t>
        </is>
      </c>
      <c r="E3602" t="inlineStr">
        <is>
          <t>rs13218679</t>
        </is>
      </c>
      <c r="F3602" t="n">
        <v>-0.0288821112</v>
      </c>
      <c r="G3602" t="n">
        <v>0.3170244257882287</v>
      </c>
      <c r="H3602" t="n">
        <v>0.0115287052201417</v>
      </c>
      <c r="I3602" t="n">
        <v>0.4822135805322433</v>
      </c>
      <c r="J3602" t="n">
        <v>0.0278716676090552</v>
      </c>
      <c r="K3602" t="n">
        <v>0.5945214183804232</v>
      </c>
      <c r="L3602" t="b">
        <v>0</v>
      </c>
      <c r="M3602" t="b">
        <v>0</v>
      </c>
      <c r="N3602" t="inlineStr">
        <is>
          <t>ref</t>
        </is>
      </c>
      <c r="O3602" t="n">
        <v>75</v>
      </c>
      <c r="P3602" t="n">
        <v>0.001045</v>
      </c>
      <c r="Q3602" t="n">
        <v>-100</v>
      </c>
      <c r="R3602" t="n">
        <v>0.0614</v>
      </c>
      <c r="S3602">
        <f>IMAGE("https://mitra.stanford.edu/kundaje/oak/projects/neuro-variants/variant_position/credible/roussos_2024/variant_figures/roussos_2024.childhood.GABA/rs13218679_count_position.png",4,220,900)</f>
        <v/>
      </c>
      <c r="T3602">
        <f>IMAGE("https://mitra.stanford.edu/kundaje/oak/projects/neuro-variants/variant_position/credible/roussos_2024/variant_figures/roussos_2024.childhood.GABA/rs13218679_profile_position.png",4,220,900)</f>
        <v/>
      </c>
    </row>
    <row r="3603">
      <c r="A3603" t="inlineStr">
        <is>
          <t>chr6</t>
        </is>
      </c>
      <c r="B3603" t="n">
        <v>113147292</v>
      </c>
      <c r="C3603" t="inlineStr">
        <is>
          <t>G</t>
        </is>
      </c>
      <c r="D3603" t="inlineStr">
        <is>
          <t>A</t>
        </is>
      </c>
      <c r="E3603" t="inlineStr">
        <is>
          <t>rs2502388</t>
        </is>
      </c>
      <c r="F3603" t="n">
        <v>-0.061623402</v>
      </c>
      <c r="G3603" t="n">
        <v>0.09627677768567269</v>
      </c>
      <c r="H3603" t="n">
        <v>0.0098533582800497</v>
      </c>
      <c r="I3603" t="n">
        <v>0.6455987311681129</v>
      </c>
      <c r="J3603" t="n">
        <v>0.141709074155515</v>
      </c>
      <c r="K3603" t="n">
        <v>0.2810567236562284</v>
      </c>
      <c r="L3603" t="b">
        <v>0</v>
      </c>
      <c r="M3603" t="b">
        <v>0</v>
      </c>
      <c r="N3603" t="inlineStr">
        <is>
          <t>ref</t>
        </is>
      </c>
      <c r="O3603" t="n">
        <v>85</v>
      </c>
      <c r="P3603" t="n">
        <v>0.02902</v>
      </c>
      <c r="Q3603" t="n">
        <v>85</v>
      </c>
      <c r="R3603" t="n">
        <v>0.06510000000000001</v>
      </c>
      <c r="S3603">
        <f>IMAGE("https://mitra.stanford.edu/kundaje/oak/projects/neuro-variants/variant_position/credible/roussos_2024/variant_figures/roussos_2024.childhood.GABA/rs2502388_count_position.png",4,220,900)</f>
        <v/>
      </c>
      <c r="T3603">
        <f>IMAGE("https://mitra.stanford.edu/kundaje/oak/projects/neuro-variants/variant_position/credible/roussos_2024/variant_figures/roussos_2024.childhood.GABA/rs2502388_profile_position.png",4,220,900)</f>
        <v/>
      </c>
    </row>
    <row r="3604">
      <c r="A3604" t="inlineStr">
        <is>
          <t>chr6</t>
        </is>
      </c>
      <c r="B3604" t="n">
        <v>113155934</v>
      </c>
      <c r="C3604" t="inlineStr">
        <is>
          <t>C</t>
        </is>
      </c>
      <c r="D3604" t="inlineStr">
        <is>
          <t>G</t>
        </is>
      </c>
      <c r="E3604" t="inlineStr">
        <is>
          <t>rs13195261</t>
        </is>
      </c>
      <c r="F3604" t="n">
        <v>0.138658726</v>
      </c>
      <c r="G3604" t="n">
        <v>0.0125629166371609</v>
      </c>
      <c r="H3604" t="n">
        <v>0.0226790436653385</v>
      </c>
      <c r="I3604" t="n">
        <v>0.0445405600617443</v>
      </c>
      <c r="J3604" t="n">
        <v>0.0735335385646373</v>
      </c>
      <c r="K3604" t="n">
        <v>0.4241668992814741</v>
      </c>
      <c r="L3604" t="b">
        <v>1</v>
      </c>
      <c r="M3604" t="b">
        <v>0</v>
      </c>
      <c r="N3604" t="inlineStr">
        <is>
          <t>alt</t>
        </is>
      </c>
      <c r="O3604" t="n">
        <v>-15</v>
      </c>
      <c r="P3604" t="n">
        <v>0.0047</v>
      </c>
      <c r="Q3604" t="n">
        <v>70</v>
      </c>
      <c r="R3604" t="n">
        <v>0.05713</v>
      </c>
      <c r="S3604">
        <f>IMAGE("https://mitra.stanford.edu/kundaje/oak/projects/neuro-variants/variant_position/credible/roussos_2024/variant_figures/roussos_2024.childhood.GABA/rs13195261_count_position.png",4,220,900)</f>
        <v/>
      </c>
      <c r="T3604">
        <f>IMAGE("https://mitra.stanford.edu/kundaje/oak/projects/neuro-variants/variant_position/credible/roussos_2024/variant_figures/roussos_2024.childhood.GABA/rs13195261_profile_position.png",4,220,900)</f>
        <v/>
      </c>
    </row>
    <row r="3605">
      <c r="A3605" t="inlineStr">
        <is>
          <t>chr6</t>
        </is>
      </c>
      <c r="B3605" t="n">
        <v>113170851</v>
      </c>
      <c r="C3605" t="inlineStr">
        <is>
          <t>A</t>
        </is>
      </c>
      <c r="D3605" t="inlineStr">
        <is>
          <t>G</t>
        </is>
      </c>
      <c r="E3605" t="inlineStr">
        <is>
          <t>rs1321026</t>
        </is>
      </c>
      <c r="F3605" t="n">
        <v>-0.0222211109999999</v>
      </c>
      <c r="G3605" t="n">
        <v>0.3996111936152032</v>
      </c>
      <c r="H3605" t="n">
        <v>0.0218426996559255</v>
      </c>
      <c r="I3605" t="n">
        <v>0.0520344949381133</v>
      </c>
      <c r="J3605" t="n">
        <v>0.0027004670059265</v>
      </c>
      <c r="K3605" t="n">
        <v>0.8625004796785708</v>
      </c>
      <c r="L3605" t="b">
        <v>0</v>
      </c>
      <c r="M3605" t="b">
        <v>0</v>
      </c>
      <c r="N3605" t="inlineStr">
        <is>
          <t>ref</t>
        </is>
      </c>
      <c r="O3605" t="n">
        <v>100</v>
      </c>
      <c r="P3605" t="n">
        <v>0.00787</v>
      </c>
      <c r="Q3605" t="n">
        <v>50</v>
      </c>
      <c r="R3605" t="n">
        <v>0.0386</v>
      </c>
      <c r="S3605">
        <f>IMAGE("https://mitra.stanford.edu/kundaje/oak/projects/neuro-variants/variant_position/credible/roussos_2024/variant_figures/roussos_2024.childhood.GABA/rs1321026_count_position.png",4,220,900)</f>
        <v/>
      </c>
      <c r="T3605">
        <f>IMAGE("https://mitra.stanford.edu/kundaje/oak/projects/neuro-variants/variant_position/credible/roussos_2024/variant_figures/roussos_2024.childhood.GABA/rs1321026_profile_position.png",4,220,900)</f>
        <v/>
      </c>
    </row>
    <row r="3606">
      <c r="A3606" t="inlineStr">
        <is>
          <t>chr6</t>
        </is>
      </c>
      <c r="B3606" t="n">
        <v>118787200</v>
      </c>
      <c r="C3606" t="inlineStr">
        <is>
          <t>T</t>
        </is>
      </c>
      <c r="D3606" t="inlineStr">
        <is>
          <t>C</t>
        </is>
      </c>
      <c r="E3606" t="inlineStr">
        <is>
          <t>rs902780</t>
        </is>
      </c>
      <c r="F3606" t="n">
        <v>0.0563257431999999</v>
      </c>
      <c r="G3606" t="n">
        <v>0.1018643290009757</v>
      </c>
      <c r="H3606" t="n">
        <v>0.0229070372127288</v>
      </c>
      <c r="I3606" t="n">
        <v>0.0445874498819635</v>
      </c>
      <c r="J3606" t="n">
        <v>0.0899708906619756</v>
      </c>
      <c r="K3606" t="n">
        <v>0.3932179788604631</v>
      </c>
      <c r="L3606" t="b">
        <v>0</v>
      </c>
      <c r="M3606" t="b">
        <v>0</v>
      </c>
      <c r="N3606" t="inlineStr">
        <is>
          <t>alt</t>
        </is>
      </c>
      <c r="O3606" t="n">
        <v>-100</v>
      </c>
      <c r="P3606" t="n">
        <v>0.00734</v>
      </c>
      <c r="Q3606" t="n">
        <v>-100</v>
      </c>
      <c r="R3606" t="n">
        <v>0.1322</v>
      </c>
      <c r="S3606">
        <f>IMAGE("https://mitra.stanford.edu/kundaje/oak/projects/neuro-variants/variant_position/credible/roussos_2024/variant_figures/roussos_2024.childhood.GABA/rs902780_count_position.png",4,220,900)</f>
        <v/>
      </c>
      <c r="T3606">
        <f>IMAGE("https://mitra.stanford.edu/kundaje/oak/projects/neuro-variants/variant_position/credible/roussos_2024/variant_figures/roussos_2024.childhood.GABA/rs902780_profile_position.png",4,220,900)</f>
        <v/>
      </c>
    </row>
    <row r="3607">
      <c r="A3607" t="inlineStr">
        <is>
          <t>chr6</t>
        </is>
      </c>
      <c r="B3607" t="n">
        <v>118935167</v>
      </c>
      <c r="C3607" t="inlineStr">
        <is>
          <t>A</t>
        </is>
      </c>
      <c r="D3607" t="inlineStr">
        <is>
          <t>C</t>
        </is>
      </c>
      <c r="E3607" t="inlineStr">
        <is>
          <t>rs114000233</t>
        </is>
      </c>
      <c r="F3607" t="n">
        <v>0.0422964802</v>
      </c>
      <c r="G3607" t="n">
        <v>0.1879153389711675</v>
      </c>
      <c r="H3607" t="n">
        <v>0.0256211751284846</v>
      </c>
      <c r="I3607" t="n">
        <v>0.0262313179873283</v>
      </c>
      <c r="J3607" t="n">
        <v>0.946035685116542</v>
      </c>
      <c r="K3607" t="n">
        <v>0.0003241382275987</v>
      </c>
      <c r="L3607" t="b">
        <v>0</v>
      </c>
      <c r="M3607" t="b">
        <v>0</v>
      </c>
      <c r="N3607" t="inlineStr">
        <is>
          <t>alt</t>
        </is>
      </c>
      <c r="O3607" t="n">
        <v>-85</v>
      </c>
      <c r="P3607" t="n">
        <v>0.04913</v>
      </c>
      <c r="Q3607" t="n">
        <v>-55</v>
      </c>
      <c r="R3607" t="n">
        <v>0.19</v>
      </c>
      <c r="S3607">
        <f>IMAGE("https://mitra.stanford.edu/kundaje/oak/projects/neuro-variants/variant_position/credible/roussos_2024/variant_figures/roussos_2024.childhood.GABA/rs114000233_count_position.png",4,220,900)</f>
        <v/>
      </c>
      <c r="T3607">
        <f>IMAGE("https://mitra.stanford.edu/kundaje/oak/projects/neuro-variants/variant_position/credible/roussos_2024/variant_figures/roussos_2024.childhood.GABA/rs114000233_profile_position.png",4,220,900)</f>
        <v/>
      </c>
    </row>
    <row r="3608">
      <c r="A3608" t="inlineStr">
        <is>
          <t>chr6</t>
        </is>
      </c>
      <c r="B3608" t="n">
        <v>118945469</v>
      </c>
      <c r="C3608" t="inlineStr">
        <is>
          <t>C</t>
        </is>
      </c>
      <c r="D3608" t="inlineStr">
        <is>
          <t>T</t>
        </is>
      </c>
      <c r="E3608" t="inlineStr">
        <is>
          <t>rs6901738</t>
        </is>
      </c>
      <c r="F3608" t="n">
        <v>-0.0251779264</v>
      </c>
      <c r="G3608" t="n">
        <v>0.3613792697718592</v>
      </c>
      <c r="H3608" t="n">
        <v>0.0186893072254924</v>
      </c>
      <c r="I3608" t="n">
        <v>0.1003449946649963</v>
      </c>
      <c r="J3608" t="n">
        <v>0.0008198781177356</v>
      </c>
      <c r="K3608" t="n">
        <v>0.9284864105628712</v>
      </c>
      <c r="L3608" t="b">
        <v>0</v>
      </c>
      <c r="M3608" t="b">
        <v>0</v>
      </c>
      <c r="N3608" t="inlineStr">
        <is>
          <t>ref</t>
        </is>
      </c>
      <c r="O3608" t="n">
        <v>-75</v>
      </c>
      <c r="P3608" t="n">
        <v>0.01146</v>
      </c>
      <c r="Q3608" t="n">
        <v>100</v>
      </c>
      <c r="R3608" t="n">
        <v>0.01697</v>
      </c>
      <c r="S3608">
        <f>IMAGE("https://mitra.stanford.edu/kundaje/oak/projects/neuro-variants/variant_position/credible/roussos_2024/variant_figures/roussos_2024.childhood.GABA/rs6901738_count_position.png",4,220,900)</f>
        <v/>
      </c>
      <c r="T3608">
        <f>IMAGE("https://mitra.stanford.edu/kundaje/oak/projects/neuro-variants/variant_position/credible/roussos_2024/variant_figures/roussos_2024.childhood.GABA/rs6901738_profile_position.png",4,220,900)</f>
        <v/>
      </c>
    </row>
    <row r="3609">
      <c r="A3609" t="inlineStr">
        <is>
          <t>chr6</t>
        </is>
      </c>
      <c r="B3609" t="n">
        <v>118979312</v>
      </c>
      <c r="C3609" t="inlineStr">
        <is>
          <t>A</t>
        </is>
      </c>
      <c r="D3609" t="inlineStr">
        <is>
          <t>G</t>
        </is>
      </c>
      <c r="E3609" t="inlineStr">
        <is>
          <t>rs4946382</t>
        </is>
      </c>
      <c r="F3609" t="n">
        <v>0.00568222329</v>
      </c>
      <c r="G3609" t="n">
        <v>0.6820576747367487</v>
      </c>
      <c r="H3609" t="n">
        <v>0.029966622436904</v>
      </c>
      <c r="I3609" t="n">
        <v>0.0125256133074021</v>
      </c>
      <c r="J3609" t="n">
        <v>0.024702100479571</v>
      </c>
      <c r="K3609" t="n">
        <v>0.6147862512247474</v>
      </c>
      <c r="L3609" t="b">
        <v>1</v>
      </c>
      <c r="M3609" t="b">
        <v>0</v>
      </c>
      <c r="N3609" t="inlineStr">
        <is>
          <t>alt</t>
        </is>
      </c>
      <c r="O3609" t="n">
        <v>75</v>
      </c>
      <c r="P3609" t="n">
        <v>0.0112</v>
      </c>
      <c r="Q3609" t="n">
        <v>85</v>
      </c>
      <c r="R3609" t="n">
        <v>0.2196</v>
      </c>
      <c r="S3609">
        <f>IMAGE("https://mitra.stanford.edu/kundaje/oak/projects/neuro-variants/variant_position/credible/roussos_2024/variant_figures/roussos_2024.childhood.GABA/rs4946382_count_position.png",4,220,900)</f>
        <v/>
      </c>
      <c r="T3609">
        <f>IMAGE("https://mitra.stanford.edu/kundaje/oak/projects/neuro-variants/variant_position/credible/roussos_2024/variant_figures/roussos_2024.childhood.GABA/rs4946382_profile_position.png",4,220,900)</f>
        <v/>
      </c>
    </row>
    <row r="3610">
      <c r="A3610" t="inlineStr">
        <is>
          <t>chr6</t>
        </is>
      </c>
      <c r="B3610" t="n">
        <v>119012273</v>
      </c>
      <c r="C3610" t="inlineStr">
        <is>
          <t>A</t>
        </is>
      </c>
      <c r="D3610" t="inlineStr">
        <is>
          <t>T</t>
        </is>
      </c>
      <c r="E3610" t="inlineStr">
        <is>
          <t>rs1775620</t>
        </is>
      </c>
      <c r="F3610" t="n">
        <v>0.0162064644</v>
      </c>
      <c r="G3610" t="n">
        <v>0.4639207231053515</v>
      </c>
      <c r="H3610" t="n">
        <v>0.009285537802156799</v>
      </c>
      <c r="I3610" t="n">
        <v>0.7187554331942115</v>
      </c>
      <c r="J3610" t="n">
        <v>0.009140122719943</v>
      </c>
      <c r="K3610" t="n">
        <v>0.7557071593434995</v>
      </c>
      <c r="L3610" t="b">
        <v>0</v>
      </c>
      <c r="M3610" t="b">
        <v>0</v>
      </c>
      <c r="N3610" t="inlineStr">
        <is>
          <t>alt</t>
        </is>
      </c>
      <c r="O3610" t="n">
        <v>100</v>
      </c>
      <c r="P3610" t="n">
        <v>0.002792</v>
      </c>
      <c r="Q3610" t="n">
        <v>-100</v>
      </c>
      <c r="R3610" t="n">
        <v>0.01349</v>
      </c>
      <c r="S3610">
        <f>IMAGE("https://mitra.stanford.edu/kundaje/oak/projects/neuro-variants/variant_position/credible/roussos_2024/variant_figures/roussos_2024.childhood.GABA/rs1775620_count_position.png",4,220,900)</f>
        <v/>
      </c>
      <c r="T3610">
        <f>IMAGE("https://mitra.stanford.edu/kundaje/oak/projects/neuro-variants/variant_position/credible/roussos_2024/variant_figures/roussos_2024.childhood.GABA/rs1775620_profile_position.png",4,220,900)</f>
        <v/>
      </c>
    </row>
    <row r="3611">
      <c r="A3611" t="inlineStr">
        <is>
          <t>chr6</t>
        </is>
      </c>
      <c r="B3611" t="n">
        <v>119020840</v>
      </c>
      <c r="C3611" t="inlineStr">
        <is>
          <t>C</t>
        </is>
      </c>
      <c r="D3611" t="inlineStr">
        <is>
          <t>G</t>
        </is>
      </c>
      <c r="E3611" t="inlineStr">
        <is>
          <t>rs6931074</t>
        </is>
      </c>
      <c r="F3611" t="n">
        <v>0.0819308992</v>
      </c>
      <c r="G3611" t="n">
        <v>0.0534299880720347</v>
      </c>
      <c r="H3611" t="n">
        <v>0.0161565262427027</v>
      </c>
      <c r="I3611" t="n">
        <v>0.1689230586965271</v>
      </c>
      <c r="J3611" t="n">
        <v>0.0366117987057861</v>
      </c>
      <c r="K3611" t="n">
        <v>0.5520462346193302</v>
      </c>
      <c r="L3611" t="b">
        <v>0</v>
      </c>
      <c r="M3611" t="b">
        <v>0</v>
      </c>
      <c r="N3611" t="inlineStr">
        <is>
          <t>alt</t>
        </is>
      </c>
      <c r="O3611" t="n">
        <v>-100</v>
      </c>
      <c r="P3611" t="n">
        <v>0.02367</v>
      </c>
      <c r="Q3611" t="n">
        <v>-80</v>
      </c>
      <c r="R3611" t="n">
        <v>0.0958</v>
      </c>
      <c r="S3611">
        <f>IMAGE("https://mitra.stanford.edu/kundaje/oak/projects/neuro-variants/variant_position/credible/roussos_2024/variant_figures/roussos_2024.childhood.GABA/rs6931074_count_position.png",4,220,900)</f>
        <v/>
      </c>
      <c r="T3611">
        <f>IMAGE("https://mitra.stanford.edu/kundaje/oak/projects/neuro-variants/variant_position/credible/roussos_2024/variant_figures/roussos_2024.childhood.GABA/rs6931074_profile_position.png",4,220,900)</f>
        <v/>
      </c>
    </row>
    <row r="3612">
      <c r="A3612" t="inlineStr">
        <is>
          <t>chr6</t>
        </is>
      </c>
      <c r="B3612" t="n">
        <v>119023364</v>
      </c>
      <c r="C3612" t="inlineStr">
        <is>
          <t>C</t>
        </is>
      </c>
      <c r="D3612" t="inlineStr">
        <is>
          <t>T</t>
        </is>
      </c>
      <c r="E3612" t="inlineStr">
        <is>
          <t>rs2357023</t>
        </is>
      </c>
      <c r="F3612" t="n">
        <v>-0.11025355</v>
      </c>
      <c r="G3612" t="n">
        <v>0.0234972876060161</v>
      </c>
      <c r="H3612" t="n">
        <v>0.0161815110656745</v>
      </c>
      <c r="I3612" t="n">
        <v>0.1725386820319719</v>
      </c>
      <c r="J3612" t="n">
        <v>0.0403855416640488</v>
      </c>
      <c r="K3612" t="n">
        <v>0.5283282624641495</v>
      </c>
      <c r="L3612" t="b">
        <v>0</v>
      </c>
      <c r="M3612" t="b">
        <v>0</v>
      </c>
      <c r="N3612" t="inlineStr">
        <is>
          <t>ref</t>
        </is>
      </c>
      <c r="O3612" t="n">
        <v>100</v>
      </c>
      <c r="P3612" t="n">
        <v>0.0017395</v>
      </c>
      <c r="Q3612" t="n">
        <v>100</v>
      </c>
      <c r="R3612" t="n">
        <v>0.1484</v>
      </c>
      <c r="S3612">
        <f>IMAGE("https://mitra.stanford.edu/kundaje/oak/projects/neuro-variants/variant_position/credible/roussos_2024/variant_figures/roussos_2024.childhood.GABA/rs2357023_count_position.png",4,220,900)</f>
        <v/>
      </c>
      <c r="T3612">
        <f>IMAGE("https://mitra.stanford.edu/kundaje/oak/projects/neuro-variants/variant_position/credible/roussos_2024/variant_figures/roussos_2024.childhood.GABA/rs2357023_profile_position.png",4,220,900)</f>
        <v/>
      </c>
    </row>
    <row r="3613">
      <c r="A3613" t="inlineStr">
        <is>
          <t>chr6</t>
        </is>
      </c>
      <c r="B3613" t="n">
        <v>119025747</v>
      </c>
      <c r="C3613" t="inlineStr">
        <is>
          <t>G</t>
        </is>
      </c>
      <c r="D3613" t="inlineStr">
        <is>
          <t>A</t>
        </is>
      </c>
      <c r="E3613" t="inlineStr">
        <is>
          <t>rs6929403</t>
        </is>
      </c>
      <c r="F3613" t="n">
        <v>-0.0766920962</v>
      </c>
      <c r="G3613" t="n">
        <v>0.0569720081650836</v>
      </c>
      <c r="H3613" t="n">
        <v>0.0132001070888865</v>
      </c>
      <c r="I3613" t="n">
        <v>0.3439324112759404</v>
      </c>
      <c r="J3613" t="n">
        <v>0.4198802119327343</v>
      </c>
      <c r="K3613" t="n">
        <v>0.0781404134033685</v>
      </c>
      <c r="L3613" t="b">
        <v>0</v>
      </c>
      <c r="M3613" t="b">
        <v>0</v>
      </c>
      <c r="N3613" t="inlineStr">
        <is>
          <t>ref</t>
        </is>
      </c>
      <c r="O3613" t="n">
        <v>50</v>
      </c>
      <c r="P3613" t="n">
        <v>0.0332</v>
      </c>
      <c r="Q3613" t="n">
        <v>90</v>
      </c>
      <c r="R3613" t="n">
        <v>0.1709</v>
      </c>
      <c r="S3613">
        <f>IMAGE("https://mitra.stanford.edu/kundaje/oak/projects/neuro-variants/variant_position/credible/roussos_2024/variant_figures/roussos_2024.childhood.GABA/rs6929403_count_position.png",4,220,900)</f>
        <v/>
      </c>
      <c r="T3613">
        <f>IMAGE("https://mitra.stanford.edu/kundaje/oak/projects/neuro-variants/variant_position/credible/roussos_2024/variant_figures/roussos_2024.childhood.GABA/rs6929403_profile_position.png",4,220,900)</f>
        <v/>
      </c>
    </row>
    <row r="3614">
      <c r="A3614" t="inlineStr">
        <is>
          <t>chr6</t>
        </is>
      </c>
      <c r="B3614" t="n">
        <v>119027102</v>
      </c>
      <c r="C3614" t="inlineStr">
        <is>
          <t>C</t>
        </is>
      </c>
      <c r="D3614" t="inlineStr">
        <is>
          <t>A</t>
        </is>
      </c>
      <c r="E3614" t="inlineStr">
        <is>
          <t>rs794249</t>
        </is>
      </c>
      <c r="F3614" t="n">
        <v>0.0261606954</v>
      </c>
      <c r="G3614" t="n">
        <v>0.3281501729926168</v>
      </c>
      <c r="H3614" t="n">
        <v>0.0146087280166148</v>
      </c>
      <c r="I3614" t="n">
        <v>0.2453684871146706</v>
      </c>
      <c r="J3614" t="n">
        <v>0.0219021591170865</v>
      </c>
      <c r="K3614" t="n">
        <v>0.6552089632528391</v>
      </c>
      <c r="L3614" t="b">
        <v>0</v>
      </c>
      <c r="M3614" t="b">
        <v>0</v>
      </c>
      <c r="N3614" t="inlineStr">
        <is>
          <t>alt</t>
        </is>
      </c>
      <c r="O3614" t="n">
        <v>-85</v>
      </c>
      <c r="P3614" t="n">
        <v>0.002745</v>
      </c>
      <c r="Q3614" t="n">
        <v>-100</v>
      </c>
      <c r="R3614" t="n">
        <v>0.062</v>
      </c>
      <c r="S3614">
        <f>IMAGE("https://mitra.stanford.edu/kundaje/oak/projects/neuro-variants/variant_position/credible/roussos_2024/variant_figures/roussos_2024.childhood.GABA/rs794249_count_position.png",4,220,900)</f>
        <v/>
      </c>
      <c r="T3614">
        <f>IMAGE("https://mitra.stanford.edu/kundaje/oak/projects/neuro-variants/variant_position/credible/roussos_2024/variant_figures/roussos_2024.childhood.GABA/rs794249_profile_position.png",4,220,900)</f>
        <v/>
      </c>
    </row>
    <row r="3615">
      <c r="A3615" t="inlineStr">
        <is>
          <t>chr6</t>
        </is>
      </c>
      <c r="B3615" t="n">
        <v>143306931</v>
      </c>
      <c r="C3615" t="inlineStr">
        <is>
          <t>C</t>
        </is>
      </c>
      <c r="D3615" t="inlineStr">
        <is>
          <t>T</t>
        </is>
      </c>
      <c r="E3615" t="inlineStr">
        <is>
          <t>rs7451540</t>
        </is>
      </c>
      <c r="F3615" t="n">
        <v>0.0085753442</v>
      </c>
      <c r="G3615" t="n">
        <v>0.6386373415483582</v>
      </c>
      <c r="H3615" t="n">
        <v>0.0151424054332891</v>
      </c>
      <c r="I3615" t="n">
        <v>0.221077194808046</v>
      </c>
      <c r="J3615" t="n">
        <v>0.0545370777575338</v>
      </c>
      <c r="K3615" t="n">
        <v>0.5056552394697019</v>
      </c>
      <c r="L3615" t="b">
        <v>0</v>
      </c>
      <c r="M3615" t="b">
        <v>0</v>
      </c>
      <c r="N3615" t="inlineStr">
        <is>
          <t>alt</t>
        </is>
      </c>
      <c r="O3615" t="n">
        <v>100</v>
      </c>
      <c r="P3615" t="n">
        <v>0.0035</v>
      </c>
      <c r="Q3615" t="n">
        <v>100</v>
      </c>
      <c r="R3615" t="n">
        <v>0.02277</v>
      </c>
      <c r="S3615">
        <f>IMAGE("https://mitra.stanford.edu/kundaje/oak/projects/neuro-variants/variant_position/credible/roussos_2024/variant_figures/roussos_2024.childhood.GABA/rs7451540_count_position.png",4,220,900)</f>
        <v/>
      </c>
      <c r="T3615">
        <f>IMAGE("https://mitra.stanford.edu/kundaje/oak/projects/neuro-variants/variant_position/credible/roussos_2024/variant_figures/roussos_2024.childhood.GABA/rs7451540_profile_position.png",4,220,900)</f>
        <v/>
      </c>
    </row>
    <row r="3616">
      <c r="A3616" t="inlineStr">
        <is>
          <t>chr6</t>
        </is>
      </c>
      <c r="B3616" t="n">
        <v>143323898</v>
      </c>
      <c r="C3616" t="inlineStr">
        <is>
          <t>G</t>
        </is>
      </c>
      <c r="D3616" t="inlineStr">
        <is>
          <t>T</t>
        </is>
      </c>
      <c r="E3616" t="inlineStr">
        <is>
          <t>rs9376742</t>
        </is>
      </c>
      <c r="F3616" t="n">
        <v>-0.0556401751999999</v>
      </c>
      <c r="G3616" t="n">
        <v>0.1403950379180773</v>
      </c>
      <c r="H3616" t="n">
        <v>0.015718997948246</v>
      </c>
      <c r="I3616" t="n">
        <v>0.1920753337100053</v>
      </c>
      <c r="J3616" t="n">
        <v>0.1164059391426357</v>
      </c>
      <c r="K3616" t="n">
        <v>0.3174253819338345</v>
      </c>
      <c r="L3616" t="b">
        <v>0</v>
      </c>
      <c r="M3616" t="b">
        <v>0</v>
      </c>
      <c r="N3616" t="inlineStr">
        <is>
          <t>ref</t>
        </is>
      </c>
      <c r="O3616" t="n">
        <v>30</v>
      </c>
      <c r="P3616" t="n">
        <v>0.001831</v>
      </c>
      <c r="Q3616" t="n">
        <v>-90</v>
      </c>
      <c r="R3616" t="n">
        <v>0.1295</v>
      </c>
      <c r="S3616">
        <f>IMAGE("https://mitra.stanford.edu/kundaje/oak/projects/neuro-variants/variant_position/credible/roussos_2024/variant_figures/roussos_2024.childhood.GABA/rs9376742_count_position.png",4,220,900)</f>
        <v/>
      </c>
      <c r="T3616">
        <f>IMAGE("https://mitra.stanford.edu/kundaje/oak/projects/neuro-variants/variant_position/credible/roussos_2024/variant_figures/roussos_2024.childhood.GABA/rs9376742_profile_position.png",4,220,900)</f>
        <v/>
      </c>
    </row>
    <row r="3617">
      <c r="A3617" t="inlineStr">
        <is>
          <t>chr6</t>
        </is>
      </c>
      <c r="B3617" t="n">
        <v>143333488</v>
      </c>
      <c r="C3617" t="inlineStr">
        <is>
          <t>C</t>
        </is>
      </c>
      <c r="D3617" t="inlineStr">
        <is>
          <t>T</t>
        </is>
      </c>
      <c r="E3617" t="inlineStr">
        <is>
          <t>rs2303386</t>
        </is>
      </c>
      <c r="F3617" t="n">
        <v>-0.02201085166</v>
      </c>
      <c r="G3617" t="n">
        <v>0.3727761025863201</v>
      </c>
      <c r="H3617" t="n">
        <v>0.0148475201961705</v>
      </c>
      <c r="I3617" t="n">
        <v>0.234248586816033</v>
      </c>
      <c r="J3617" t="n">
        <v>0.1120615275072773</v>
      </c>
      <c r="K3617" t="n">
        <v>0.3304549512958345</v>
      </c>
      <c r="L3617" t="b">
        <v>0</v>
      </c>
      <c r="M3617" t="b">
        <v>0</v>
      </c>
      <c r="N3617" t="inlineStr">
        <is>
          <t>ref</t>
        </is>
      </c>
      <c r="O3617" t="n">
        <v>90</v>
      </c>
      <c r="P3617" t="n">
        <v>0.01569</v>
      </c>
      <c r="Q3617" t="n">
        <v>-10</v>
      </c>
      <c r="R3617" t="n">
        <v>0.0443</v>
      </c>
      <c r="S3617">
        <f>IMAGE("https://mitra.stanford.edu/kundaje/oak/projects/neuro-variants/variant_position/credible/roussos_2024/variant_figures/roussos_2024.childhood.GABA/rs2303386_count_position.png",4,220,900)</f>
        <v/>
      </c>
      <c r="T3617">
        <f>IMAGE("https://mitra.stanford.edu/kundaje/oak/projects/neuro-variants/variant_position/credible/roussos_2024/variant_figures/roussos_2024.childhood.GABA/rs2303386_profile_position.png",4,220,900)</f>
        <v/>
      </c>
    </row>
    <row r="3618">
      <c r="A3618" t="inlineStr">
        <is>
          <t>chr6</t>
        </is>
      </c>
      <c r="B3618" t="n">
        <v>144569896</v>
      </c>
      <c r="C3618" t="inlineStr">
        <is>
          <t>A</t>
        </is>
      </c>
      <c r="D3618" t="inlineStr">
        <is>
          <t>G</t>
        </is>
      </c>
      <c r="E3618" t="inlineStr">
        <is>
          <t>rs9376824</t>
        </is>
      </c>
      <c r="F3618" t="n">
        <v>-0.01076832086</v>
      </c>
      <c r="G3618" t="n">
        <v>0.504369104659858</v>
      </c>
      <c r="H3618" t="n">
        <v>0.0152640411840747</v>
      </c>
      <c r="I3618" t="n">
        <v>0.2038263150391261</v>
      </c>
      <c r="J3618" t="n">
        <v>0.000237691357249</v>
      </c>
      <c r="K3618" t="n">
        <v>0.9567745135775068</v>
      </c>
      <c r="L3618" t="b">
        <v>0</v>
      </c>
      <c r="M3618" t="b">
        <v>0</v>
      </c>
      <c r="N3618" t="inlineStr">
        <is>
          <t>ref</t>
        </is>
      </c>
      <c r="O3618" t="n">
        <v>45</v>
      </c>
      <c r="P3618" t="n">
        <v>0.002823</v>
      </c>
      <c r="Q3618" t="n">
        <v>-5</v>
      </c>
      <c r="R3618" t="n">
        <v>0.002136</v>
      </c>
      <c r="S3618">
        <f>IMAGE("https://mitra.stanford.edu/kundaje/oak/projects/neuro-variants/variant_position/credible/roussos_2024/variant_figures/roussos_2024.childhood.GABA/rs9376824_count_position.png",4,220,900)</f>
        <v/>
      </c>
      <c r="T3618">
        <f>IMAGE("https://mitra.stanford.edu/kundaje/oak/projects/neuro-variants/variant_position/credible/roussos_2024/variant_figures/roussos_2024.childhood.GABA/rs9376824_profile_position.png",4,220,900)</f>
        <v/>
      </c>
    </row>
    <row r="3619">
      <c r="A3619" t="inlineStr">
        <is>
          <t>chr6</t>
        </is>
      </c>
      <c r="B3619" t="n">
        <v>144588611</v>
      </c>
      <c r="C3619" t="inlineStr">
        <is>
          <t>G</t>
        </is>
      </c>
      <c r="D3619" t="inlineStr">
        <is>
          <t>A</t>
        </is>
      </c>
      <c r="E3619" t="inlineStr">
        <is>
          <t>rs4896728</t>
        </is>
      </c>
      <c r="F3619" t="n">
        <v>-0.00582562856</v>
      </c>
      <c r="G3619" t="n">
        <v>0.7766516553175068</v>
      </c>
      <c r="H3619" t="n">
        <v>0.0185017388962043</v>
      </c>
      <c r="I3619" t="n">
        <v>0.1020655384699461</v>
      </c>
      <c r="J3619" t="n">
        <v>0.0077244455613494</v>
      </c>
      <c r="K3619" t="n">
        <v>0.7774067015067494</v>
      </c>
      <c r="L3619" t="b">
        <v>0</v>
      </c>
      <c r="M3619" t="b">
        <v>0</v>
      </c>
      <c r="N3619" t="inlineStr">
        <is>
          <t>ref</t>
        </is>
      </c>
      <c r="O3619" t="n">
        <v>-50</v>
      </c>
      <c r="P3619" t="n">
        <v>0.00118</v>
      </c>
      <c r="Q3619" t="n">
        <v>70</v>
      </c>
      <c r="R3619" t="n">
        <v>0.05957</v>
      </c>
      <c r="S3619">
        <f>IMAGE("https://mitra.stanford.edu/kundaje/oak/projects/neuro-variants/variant_position/credible/roussos_2024/variant_figures/roussos_2024.childhood.GABA/rs4896728_count_position.png",4,220,900)</f>
        <v/>
      </c>
      <c r="T3619">
        <f>IMAGE("https://mitra.stanford.edu/kundaje/oak/projects/neuro-variants/variant_position/credible/roussos_2024/variant_figures/roussos_2024.childhood.GABA/rs4896728_profile_position.png",4,220,900)</f>
        <v/>
      </c>
    </row>
    <row r="3620">
      <c r="A3620" t="inlineStr">
        <is>
          <t>chr6</t>
        </is>
      </c>
      <c r="B3620" t="n">
        <v>144593189</v>
      </c>
      <c r="C3620" t="inlineStr">
        <is>
          <t>A</t>
        </is>
      </c>
      <c r="D3620" t="inlineStr">
        <is>
          <t>G</t>
        </is>
      </c>
      <c r="E3620" t="inlineStr">
        <is>
          <t>rs9376826</t>
        </is>
      </c>
      <c r="F3620" t="n">
        <v>0.009576004480000001</v>
      </c>
      <c r="G3620" t="n">
        <v>0.5938290047886676</v>
      </c>
      <c r="H3620" t="n">
        <v>0.0118419186785707</v>
      </c>
      <c r="I3620" t="n">
        <v>0.4516133416395795</v>
      </c>
      <c r="J3620" t="n">
        <v>0.3931090448367573</v>
      </c>
      <c r="K3620" t="n">
        <v>0.0879144430754728</v>
      </c>
      <c r="L3620" t="b">
        <v>0</v>
      </c>
      <c r="M3620" t="b">
        <v>0</v>
      </c>
      <c r="N3620" t="inlineStr">
        <is>
          <t>alt</t>
        </is>
      </c>
      <c r="O3620" t="n">
        <v>100</v>
      </c>
      <c r="P3620" t="n">
        <v>0.064</v>
      </c>
      <c r="Q3620" t="n">
        <v>100</v>
      </c>
      <c r="R3620" t="n">
        <v>0.04425</v>
      </c>
      <c r="S3620">
        <f>IMAGE("https://mitra.stanford.edu/kundaje/oak/projects/neuro-variants/variant_position/credible/roussos_2024/variant_figures/roussos_2024.childhood.GABA/rs9376826_count_position.png",4,220,900)</f>
        <v/>
      </c>
      <c r="T3620">
        <f>IMAGE("https://mitra.stanford.edu/kundaje/oak/projects/neuro-variants/variant_position/credible/roussos_2024/variant_figures/roussos_2024.childhood.GABA/rs9376826_profile_position.png",4,220,900)</f>
        <v/>
      </c>
    </row>
    <row r="3621">
      <c r="A3621" t="inlineStr">
        <is>
          <t>chr6</t>
        </is>
      </c>
      <c r="B3621" t="n">
        <v>144674342</v>
      </c>
      <c r="C3621" t="inlineStr">
        <is>
          <t>A</t>
        </is>
      </c>
      <c r="D3621" t="inlineStr">
        <is>
          <t>C</t>
        </is>
      </c>
      <c r="E3621" t="inlineStr">
        <is>
          <t>rs9399485</t>
        </is>
      </c>
      <c r="F3621" t="n">
        <v>0.0035626280799999</v>
      </c>
      <c r="G3621" t="n">
        <v>0.6741311653378357</v>
      </c>
      <c r="H3621" t="n">
        <v>0.0202668242489294</v>
      </c>
      <c r="I3621" t="n">
        <v>0.0722402005909067</v>
      </c>
      <c r="J3621" t="n">
        <v>0.0014931624468596</v>
      </c>
      <c r="K3621" t="n">
        <v>0.8998459571010805</v>
      </c>
      <c r="L3621" t="b">
        <v>0</v>
      </c>
      <c r="M3621" t="b">
        <v>0</v>
      </c>
      <c r="N3621" t="inlineStr">
        <is>
          <t>alt</t>
        </is>
      </c>
      <c r="O3621" t="n">
        <v>-100</v>
      </c>
      <c r="P3621" t="n">
        <v>0.00702</v>
      </c>
      <c r="Q3621" t="n">
        <v>70</v>
      </c>
      <c r="R3621" t="n">
        <v>0.03195</v>
      </c>
      <c r="S3621">
        <f>IMAGE("https://mitra.stanford.edu/kundaje/oak/projects/neuro-variants/variant_position/credible/roussos_2024/variant_figures/roussos_2024.childhood.GABA/rs9399485_count_position.png",4,220,900)</f>
        <v/>
      </c>
      <c r="T3621">
        <f>IMAGE("https://mitra.stanford.edu/kundaje/oak/projects/neuro-variants/variant_position/credible/roussos_2024/variant_figures/roussos_2024.childhood.GABA/rs9399485_profile_position.png",4,220,900)</f>
        <v/>
      </c>
    </row>
    <row r="3622">
      <c r="A3622" t="inlineStr">
        <is>
          <t>chr6</t>
        </is>
      </c>
      <c r="B3622" t="n">
        <v>144730672</v>
      </c>
      <c r="C3622" t="inlineStr">
        <is>
          <t>A</t>
        </is>
      </c>
      <c r="D3622" t="inlineStr">
        <is>
          <t>C</t>
        </is>
      </c>
      <c r="E3622" t="inlineStr">
        <is>
          <t>rs9403593</t>
        </is>
      </c>
      <c r="F3622" t="n">
        <v>-0.00427468724</v>
      </c>
      <c r="G3622" t="n">
        <v>0.8122280661151182</v>
      </c>
      <c r="H3622" t="n">
        <v>0.0341806751400034</v>
      </c>
      <c r="I3622" t="n">
        <v>0.0072189583217634</v>
      </c>
      <c r="J3622" t="n">
        <v>9.947435655794374e-05</v>
      </c>
      <c r="K3622" t="n">
        <v>0.9772822971491846</v>
      </c>
      <c r="L3622" t="b">
        <v>0</v>
      </c>
      <c r="M3622" t="b">
        <v>0</v>
      </c>
      <c r="N3622" t="inlineStr">
        <is>
          <t>ref</t>
        </is>
      </c>
      <c r="O3622" t="n">
        <v>0</v>
      </c>
      <c r="P3622" t="n">
        <v>0</v>
      </c>
      <c r="Q3622" t="n">
        <v>-100</v>
      </c>
      <c r="R3622" t="n">
        <v>0.0116</v>
      </c>
      <c r="S3622">
        <f>IMAGE("https://mitra.stanford.edu/kundaje/oak/projects/neuro-variants/variant_position/credible/roussos_2024/variant_figures/roussos_2024.childhood.GABA/rs9403593_count_position.png",4,220,900)</f>
        <v/>
      </c>
      <c r="T3622">
        <f>IMAGE("https://mitra.stanford.edu/kundaje/oak/projects/neuro-variants/variant_position/credible/roussos_2024/variant_figures/roussos_2024.childhood.GABA/rs9403593_profile_position.png",4,220,900)</f>
        <v/>
      </c>
    </row>
    <row r="3623">
      <c r="A3623" t="inlineStr">
        <is>
          <t>chr6</t>
        </is>
      </c>
      <c r="B3623" t="n">
        <v>144752704</v>
      </c>
      <c r="C3623" t="inlineStr">
        <is>
          <t>A</t>
        </is>
      </c>
      <c r="D3623" t="inlineStr">
        <is>
          <t>G</t>
        </is>
      </c>
      <c r="E3623" t="inlineStr">
        <is>
          <t>rs4131500</t>
        </is>
      </c>
      <c r="F3623" t="n">
        <v>0.0124226903</v>
      </c>
      <c r="G3623" t="n">
        <v>0.547371095190414</v>
      </c>
      <c r="H3623" t="n">
        <v>0.0119054546914669</v>
      </c>
      <c r="I3623" t="n">
        <v>0.4491980868775966</v>
      </c>
      <c r="J3623" t="n">
        <v>0.0037014931624468</v>
      </c>
      <c r="K3623" t="n">
        <v>0.8434103889783274</v>
      </c>
      <c r="L3623" t="b">
        <v>0</v>
      </c>
      <c r="M3623" t="b">
        <v>0</v>
      </c>
      <c r="N3623" t="inlineStr">
        <is>
          <t>alt</t>
        </is>
      </c>
      <c r="O3623" t="n">
        <v>-50</v>
      </c>
      <c r="P3623" t="n">
        <v>0.001781</v>
      </c>
      <c r="Q3623" t="n">
        <v>100</v>
      </c>
      <c r="R3623" t="n">
        <v>0.0752</v>
      </c>
      <c r="S3623">
        <f>IMAGE("https://mitra.stanford.edu/kundaje/oak/projects/neuro-variants/variant_position/credible/roussos_2024/variant_figures/roussos_2024.childhood.GABA/rs4131500_count_position.png",4,220,900)</f>
        <v/>
      </c>
      <c r="T3623">
        <f>IMAGE("https://mitra.stanford.edu/kundaje/oak/projects/neuro-variants/variant_position/credible/roussos_2024/variant_figures/roussos_2024.childhood.GABA/rs4131500_profile_position.png",4,220,900)</f>
        <v/>
      </c>
    </row>
    <row r="3624">
      <c r="A3624" t="inlineStr">
        <is>
          <t>chr6</t>
        </is>
      </c>
      <c r="B3624" t="n">
        <v>144757558</v>
      </c>
      <c r="C3624" t="inlineStr">
        <is>
          <t>T</t>
        </is>
      </c>
      <c r="D3624" t="inlineStr">
        <is>
          <t>C</t>
        </is>
      </c>
      <c r="E3624" t="inlineStr">
        <is>
          <t>rs6927442</t>
        </is>
      </c>
      <c r="F3624" t="n">
        <v>0.07028800659999999</v>
      </c>
      <c r="G3624" t="n">
        <v>0.0657142738974206</v>
      </c>
      <c r="H3624" t="n">
        <v>0.0176111192273627</v>
      </c>
      <c r="I3624" t="n">
        <v>0.1251961066820746</v>
      </c>
      <c r="J3624" t="n">
        <v>0.0291627400473287</v>
      </c>
      <c r="K3624" t="n">
        <v>0.5820422385107424</v>
      </c>
      <c r="L3624" t="b">
        <v>0</v>
      </c>
      <c r="M3624" t="b">
        <v>0</v>
      </c>
      <c r="N3624" t="inlineStr">
        <is>
          <t>alt</t>
        </is>
      </c>
      <c r="O3624" t="n">
        <v>40</v>
      </c>
      <c r="P3624" t="n">
        <v>0.002937</v>
      </c>
      <c r="Q3624" t="n">
        <v>-100</v>
      </c>
      <c r="R3624" t="n">
        <v>0.1009</v>
      </c>
      <c r="S3624">
        <f>IMAGE("https://mitra.stanford.edu/kundaje/oak/projects/neuro-variants/variant_position/credible/roussos_2024/variant_figures/roussos_2024.childhood.GABA/rs6927442_count_position.png",4,220,900)</f>
        <v/>
      </c>
      <c r="T3624">
        <f>IMAGE("https://mitra.stanford.edu/kundaje/oak/projects/neuro-variants/variant_position/credible/roussos_2024/variant_figures/roussos_2024.childhood.GABA/rs6927442_profile_position.png",4,220,900)</f>
        <v/>
      </c>
    </row>
    <row r="3625">
      <c r="A3625" t="inlineStr">
        <is>
          <t>chr6</t>
        </is>
      </c>
      <c r="B3625" t="n">
        <v>144799546</v>
      </c>
      <c r="C3625" t="inlineStr">
        <is>
          <t>A</t>
        </is>
      </c>
      <c r="D3625" t="inlineStr">
        <is>
          <t>G</t>
        </is>
      </c>
      <c r="E3625" t="inlineStr">
        <is>
          <t>rs9376859</t>
        </is>
      </c>
      <c r="F3625" t="n">
        <v>0.01059736528</v>
      </c>
      <c r="G3625" t="n">
        <v>0.6333778379900099</v>
      </c>
      <c r="H3625" t="n">
        <v>0.0082101908087095</v>
      </c>
      <c r="I3625" t="n">
        <v>0.8409893038701594</v>
      </c>
      <c r="J3625" t="n">
        <v>0.0072951351804149</v>
      </c>
      <c r="K3625" t="n">
        <v>0.7730333276630513</v>
      </c>
      <c r="L3625" t="b">
        <v>0</v>
      </c>
      <c r="M3625" t="b">
        <v>0</v>
      </c>
      <c r="N3625" t="inlineStr">
        <is>
          <t>alt</t>
        </is>
      </c>
      <c r="O3625" t="n">
        <v>-90</v>
      </c>
      <c r="P3625" t="n">
        <v>0.0095</v>
      </c>
      <c r="Q3625" t="n">
        <v>-30</v>
      </c>
      <c r="R3625" t="n">
        <v>0.03256</v>
      </c>
      <c r="S3625">
        <f>IMAGE("https://mitra.stanford.edu/kundaje/oak/projects/neuro-variants/variant_position/credible/roussos_2024/variant_figures/roussos_2024.childhood.GABA/rs9376859_count_position.png",4,220,900)</f>
        <v/>
      </c>
      <c r="T3625">
        <f>IMAGE("https://mitra.stanford.edu/kundaje/oak/projects/neuro-variants/variant_position/credible/roussos_2024/variant_figures/roussos_2024.childhood.GABA/rs9376859_profile_position.png",4,220,900)</f>
        <v/>
      </c>
    </row>
    <row r="3626">
      <c r="A3626" t="inlineStr">
        <is>
          <t>chr6</t>
        </is>
      </c>
      <c r="B3626" t="n">
        <v>146424720</v>
      </c>
      <c r="C3626" t="inlineStr">
        <is>
          <t>C</t>
        </is>
      </c>
      <c r="D3626" t="inlineStr">
        <is>
          <t>T</t>
        </is>
      </c>
      <c r="E3626" t="inlineStr">
        <is>
          <t>rs2268665</t>
        </is>
      </c>
      <c r="F3626" t="n">
        <v>-0.00411710342</v>
      </c>
      <c r="G3626" t="n">
        <v>0.7300504718443503</v>
      </c>
      <c r="H3626" t="n">
        <v>0.008747274069414401</v>
      </c>
      <c r="I3626" t="n">
        <v>0.7808483871018697</v>
      </c>
      <c r="J3626" t="n">
        <v>0.0704854348600028</v>
      </c>
      <c r="K3626" t="n">
        <v>0.4500416757552801</v>
      </c>
      <c r="L3626" t="b">
        <v>0</v>
      </c>
      <c r="M3626" t="b">
        <v>0</v>
      </c>
      <c r="N3626" t="inlineStr">
        <is>
          <t>ref</t>
        </is>
      </c>
      <c r="O3626" t="n">
        <v>-85</v>
      </c>
      <c r="P3626" t="n">
        <v>0.02122</v>
      </c>
      <c r="Q3626" t="n">
        <v>-90</v>
      </c>
      <c r="R3626" t="n">
        <v>0.0907</v>
      </c>
      <c r="S3626">
        <f>IMAGE("https://mitra.stanford.edu/kundaje/oak/projects/neuro-variants/variant_position/credible/roussos_2024/variant_figures/roussos_2024.childhood.GABA/rs2268665_count_position.png",4,220,900)</f>
        <v/>
      </c>
      <c r="T3626">
        <f>IMAGE("https://mitra.stanford.edu/kundaje/oak/projects/neuro-variants/variant_position/credible/roussos_2024/variant_figures/roussos_2024.childhood.GABA/rs2268665_profile_position.png",4,220,900)</f>
        <v/>
      </c>
    </row>
    <row r="3627">
      <c r="A3627" t="inlineStr">
        <is>
          <t>chr6</t>
        </is>
      </c>
      <c r="B3627" t="n">
        <v>146426194</v>
      </c>
      <c r="C3627" t="inlineStr">
        <is>
          <t>G</t>
        </is>
      </c>
      <c r="D3627" t="inlineStr">
        <is>
          <t>A</t>
        </is>
      </c>
      <c r="E3627" t="inlineStr">
        <is>
          <t>rs4896868</t>
        </is>
      </c>
      <c r="F3627" t="n">
        <v>0.00389249293</v>
      </c>
      <c r="G3627" t="n">
        <v>0.7662658852522322</v>
      </c>
      <c r="H3627" t="n">
        <v>0.011591280445019</v>
      </c>
      <c r="I3627" t="n">
        <v>0.4648893640906887</v>
      </c>
      <c r="J3627" t="n">
        <v>0.1813427991036836</v>
      </c>
      <c r="K3627" t="n">
        <v>0.2360862292486444</v>
      </c>
      <c r="L3627" t="b">
        <v>0</v>
      </c>
      <c r="M3627" t="b">
        <v>0</v>
      </c>
      <c r="N3627" t="inlineStr">
        <is>
          <t>alt</t>
        </is>
      </c>
      <c r="O3627" t="n">
        <v>90</v>
      </c>
      <c r="P3627" t="n">
        <v>0.015305</v>
      </c>
      <c r="Q3627" t="n">
        <v>100</v>
      </c>
      <c r="R3627" t="n">
        <v>0.05823</v>
      </c>
      <c r="S3627">
        <f>IMAGE("https://mitra.stanford.edu/kundaje/oak/projects/neuro-variants/variant_position/credible/roussos_2024/variant_figures/roussos_2024.childhood.GABA/rs4896868_count_position.png",4,220,900)</f>
        <v/>
      </c>
      <c r="T3627">
        <f>IMAGE("https://mitra.stanford.edu/kundaje/oak/projects/neuro-variants/variant_position/credible/roussos_2024/variant_figures/roussos_2024.childhood.GABA/rs4896868_profile_position.png",4,220,900)</f>
        <v/>
      </c>
    </row>
    <row r="3628">
      <c r="A3628" t="inlineStr">
        <is>
          <t>chr6</t>
        </is>
      </c>
      <c r="B3628" t="n">
        <v>146430879</v>
      </c>
      <c r="C3628" t="inlineStr">
        <is>
          <t>T</t>
        </is>
      </c>
      <c r="D3628" t="inlineStr">
        <is>
          <t>A</t>
        </is>
      </c>
      <c r="E3628" t="inlineStr">
        <is>
          <t>rs2206959</t>
        </is>
      </c>
      <c r="F3628" t="n">
        <v>-0.0165518784799999</v>
      </c>
      <c r="G3628" t="n">
        <v>0.4634895925510033</v>
      </c>
      <c r="H3628" t="n">
        <v>0.0063593960347787</v>
      </c>
      <c r="I3628" t="n">
        <v>0.9329420570385132</v>
      </c>
      <c r="J3628" t="n">
        <v>0.008363175640300599</v>
      </c>
      <c r="K3628" t="n">
        <v>0.7586708228665792</v>
      </c>
      <c r="L3628" t="b">
        <v>0</v>
      </c>
      <c r="M3628" t="b">
        <v>0</v>
      </c>
      <c r="N3628" t="inlineStr">
        <is>
          <t>ref</t>
        </is>
      </c>
      <c r="O3628" t="n">
        <v>100</v>
      </c>
      <c r="P3628" t="n">
        <v>0.00361</v>
      </c>
      <c r="Q3628" t="n">
        <v>65</v>
      </c>
      <c r="R3628" t="n">
        <v>0.06232</v>
      </c>
      <c r="S3628">
        <f>IMAGE("https://mitra.stanford.edu/kundaje/oak/projects/neuro-variants/variant_position/credible/roussos_2024/variant_figures/roussos_2024.childhood.GABA/rs2206959_count_position.png",4,220,900)</f>
        <v/>
      </c>
      <c r="T3628">
        <f>IMAGE("https://mitra.stanford.edu/kundaje/oak/projects/neuro-variants/variant_position/credible/roussos_2024/variant_figures/roussos_2024.childhood.GABA/rs2206959_profile_position.png",4,220,900)</f>
        <v/>
      </c>
    </row>
    <row r="3629">
      <c r="A3629" t="inlineStr">
        <is>
          <t>chr6</t>
        </is>
      </c>
      <c r="B3629" t="n">
        <v>156835433</v>
      </c>
      <c r="C3629" t="inlineStr">
        <is>
          <t>A</t>
        </is>
      </c>
      <c r="D3629" t="inlineStr">
        <is>
          <t>G</t>
        </is>
      </c>
      <c r="E3629" t="inlineStr">
        <is>
          <t>rs9372017</t>
        </is>
      </c>
      <c r="F3629" t="n">
        <v>0.0124288892</v>
      </c>
      <c r="G3629" t="n">
        <v>0.5423778602941731</v>
      </c>
      <c r="H3629" t="n">
        <v>0.0194144366188017</v>
      </c>
      <c r="I3629" t="n">
        <v>0.0840700237761525</v>
      </c>
      <c r="J3629" t="n">
        <v>0.0239220121044585</v>
      </c>
      <c r="K3629" t="n">
        <v>0.626168383417803</v>
      </c>
      <c r="L3629" t="b">
        <v>0</v>
      </c>
      <c r="M3629" t="b">
        <v>0</v>
      </c>
      <c r="N3629" t="inlineStr">
        <is>
          <t>alt</t>
        </is>
      </c>
      <c r="O3629" t="n">
        <v>-100</v>
      </c>
      <c r="P3629" t="n">
        <v>0.08513999999999999</v>
      </c>
      <c r="Q3629" t="n">
        <v>65</v>
      </c>
      <c r="R3629" t="n">
        <v>0.09130000000000001</v>
      </c>
      <c r="S3629">
        <f>IMAGE("https://mitra.stanford.edu/kundaje/oak/projects/neuro-variants/variant_position/credible/roussos_2024/variant_figures/roussos_2024.childhood.GABA/rs9372017_count_position.png",4,220,900)</f>
        <v/>
      </c>
      <c r="T3629">
        <f>IMAGE("https://mitra.stanford.edu/kundaje/oak/projects/neuro-variants/variant_position/credible/roussos_2024/variant_figures/roussos_2024.childhood.GABA/rs9372017_profile_position.png",4,220,900)</f>
        <v/>
      </c>
    </row>
    <row r="3630">
      <c r="A3630" t="inlineStr">
        <is>
          <t>chr6</t>
        </is>
      </c>
      <c r="B3630" t="n">
        <v>156903078</v>
      </c>
      <c r="C3630" t="inlineStr">
        <is>
          <t>T</t>
        </is>
      </c>
      <c r="D3630" t="inlineStr">
        <is>
          <t>G</t>
        </is>
      </c>
      <c r="E3630" t="inlineStr">
        <is>
          <t>rs287943</t>
        </is>
      </c>
      <c r="F3630" t="n">
        <v>0.0075460267999999</v>
      </c>
      <c r="G3630" t="n">
        <v>0.3435196249223742</v>
      </c>
      <c r="H3630" t="n">
        <v>0.0119982350690461</v>
      </c>
      <c r="I3630" t="n">
        <v>0.4347500554654918</v>
      </c>
      <c r="J3630" t="n">
        <v>0.0064941048355007</v>
      </c>
      <c r="K3630" t="n">
        <v>0.7914756950712891</v>
      </c>
      <c r="L3630" t="b">
        <v>0</v>
      </c>
      <c r="M3630" t="b">
        <v>0</v>
      </c>
      <c r="N3630" t="inlineStr">
        <is>
          <t>alt</t>
        </is>
      </c>
      <c r="O3630" t="n">
        <v>100</v>
      </c>
      <c r="P3630" t="n">
        <v>0.00336</v>
      </c>
      <c r="Q3630" t="n">
        <v>-65</v>
      </c>
      <c r="R3630" t="n">
        <v>0.02771</v>
      </c>
      <c r="S3630">
        <f>IMAGE("https://mitra.stanford.edu/kundaje/oak/projects/neuro-variants/variant_position/credible/roussos_2024/variant_figures/roussos_2024.childhood.GABA/rs287943_count_position.png",4,220,900)</f>
        <v/>
      </c>
      <c r="T3630">
        <f>IMAGE("https://mitra.stanford.edu/kundaje/oak/projects/neuro-variants/variant_position/credible/roussos_2024/variant_figures/roussos_2024.childhood.GABA/rs287943_profile_position.png",4,220,900)</f>
        <v/>
      </c>
    </row>
    <row r="3631">
      <c r="A3631" t="inlineStr">
        <is>
          <t>chr6</t>
        </is>
      </c>
      <c r="B3631" t="n">
        <v>157015101</v>
      </c>
      <c r="C3631" t="inlineStr">
        <is>
          <t>G</t>
        </is>
      </c>
      <c r="D3631" t="inlineStr">
        <is>
          <t>A</t>
        </is>
      </c>
      <c r="E3631" t="inlineStr">
        <is>
          <t>rs6928411</t>
        </is>
      </c>
      <c r="F3631" t="n">
        <v>0.01107789226</v>
      </c>
      <c r="G3631" t="n">
        <v>0.3496795114479266</v>
      </c>
      <c r="H3631" t="n">
        <v>0.0132990641223036</v>
      </c>
      <c r="I3631" t="n">
        <v>0.3300018352429028</v>
      </c>
      <c r="J3631" t="n">
        <v>0.0592594919478125</v>
      </c>
      <c r="K3631" t="n">
        <v>0.4704867668070257</v>
      </c>
      <c r="L3631" t="b">
        <v>0</v>
      </c>
      <c r="M3631" t="b">
        <v>0</v>
      </c>
      <c r="N3631" t="inlineStr">
        <is>
          <t>alt</t>
        </is>
      </c>
      <c r="O3631" t="n">
        <v>-85</v>
      </c>
      <c r="P3631" t="n">
        <v>0.012276</v>
      </c>
      <c r="Q3631" t="n">
        <v>15</v>
      </c>
      <c r="R3631" t="n">
        <v>0.01746</v>
      </c>
      <c r="S3631">
        <f>IMAGE("https://mitra.stanford.edu/kundaje/oak/projects/neuro-variants/variant_position/credible/roussos_2024/variant_figures/roussos_2024.childhood.GABA/rs6928411_count_position.png",4,220,900)</f>
        <v/>
      </c>
      <c r="T3631">
        <f>IMAGE("https://mitra.stanford.edu/kundaje/oak/projects/neuro-variants/variant_position/credible/roussos_2024/variant_figures/roussos_2024.childhood.GABA/rs6928411_profile_position.png",4,220,900)</f>
        <v/>
      </c>
    </row>
    <row r="3632">
      <c r="A3632" t="inlineStr">
        <is>
          <t>chr6</t>
        </is>
      </c>
      <c r="B3632" t="n">
        <v>157019196</v>
      </c>
      <c r="C3632" t="inlineStr">
        <is>
          <t>T</t>
        </is>
      </c>
      <c r="D3632" t="inlineStr">
        <is>
          <t>C</t>
        </is>
      </c>
      <c r="E3632" t="inlineStr">
        <is>
          <t>rs1407509</t>
        </is>
      </c>
      <c r="F3632" t="n">
        <v>0.0122859824</v>
      </c>
      <c r="G3632" t="n">
        <v>0.3030094330753407</v>
      </c>
      <c r="H3632" t="n">
        <v>0.0112095481130239</v>
      </c>
      <c r="I3632" t="n">
        <v>0.4929005525131367</v>
      </c>
      <c r="J3632" t="n">
        <v>0.1417781826558605</v>
      </c>
      <c r="K3632" t="n">
        <v>0.2823963096251047</v>
      </c>
      <c r="L3632" t="b">
        <v>0</v>
      </c>
      <c r="M3632" t="b">
        <v>0</v>
      </c>
      <c r="N3632" t="inlineStr">
        <is>
          <t>alt</t>
        </is>
      </c>
      <c r="O3632" t="n">
        <v>80</v>
      </c>
      <c r="P3632" t="n">
        <v>0.01277</v>
      </c>
      <c r="Q3632" t="n">
        <v>100</v>
      </c>
      <c r="R3632" t="n">
        <v>0.2246</v>
      </c>
      <c r="S3632">
        <f>IMAGE("https://mitra.stanford.edu/kundaje/oak/projects/neuro-variants/variant_position/credible/roussos_2024/variant_figures/roussos_2024.childhood.GABA/rs1407509_count_position.png",4,220,900)</f>
        <v/>
      </c>
      <c r="T3632">
        <f>IMAGE("https://mitra.stanford.edu/kundaje/oak/projects/neuro-variants/variant_position/credible/roussos_2024/variant_figures/roussos_2024.childhood.GABA/rs1407509_profile_position.png",4,220,900)</f>
        <v/>
      </c>
    </row>
    <row r="3633">
      <c r="A3633" t="inlineStr">
        <is>
          <t>chr6</t>
        </is>
      </c>
      <c r="B3633" t="n">
        <v>164657500</v>
      </c>
      <c r="C3633" t="inlineStr">
        <is>
          <t>G</t>
        </is>
      </c>
      <c r="D3633" t="inlineStr">
        <is>
          <t>A</t>
        </is>
      </c>
      <c r="E3633" t="inlineStr">
        <is>
          <t>rs147044092</t>
        </is>
      </c>
      <c r="F3633" t="n">
        <v>-0.0794727795999999</v>
      </c>
      <c r="G3633" t="n">
        <v>0.0553104177242302</v>
      </c>
      <c r="H3633" t="n">
        <v>0.0128851499510816</v>
      </c>
      <c r="I3633" t="n">
        <v>0.3634651888319438</v>
      </c>
      <c r="J3633" t="n">
        <v>0.2401499445037799</v>
      </c>
      <c r="K3633" t="n">
        <v>0.1823692315933491</v>
      </c>
      <c r="L3633" t="b">
        <v>0</v>
      </c>
      <c r="M3633" t="b">
        <v>0</v>
      </c>
      <c r="N3633" t="inlineStr">
        <is>
          <t>ref</t>
        </is>
      </c>
      <c r="O3633" t="n">
        <v>-100</v>
      </c>
      <c r="P3633" t="n">
        <v>0.006874</v>
      </c>
      <c r="Q3633" t="n">
        <v>-100</v>
      </c>
      <c r="R3633" t="n">
        <v>0.1475</v>
      </c>
      <c r="S3633">
        <f>IMAGE("https://mitra.stanford.edu/kundaje/oak/projects/neuro-variants/variant_position/credible/roussos_2024/variant_figures/roussos_2024.childhood.GABA/rs147044092_count_position.png",4,220,900)</f>
        <v/>
      </c>
      <c r="T3633">
        <f>IMAGE("https://mitra.stanford.edu/kundaje/oak/projects/neuro-variants/variant_position/credible/roussos_2024/variant_figures/roussos_2024.childhood.GABA/rs147044092_profile_position.png",4,220,900)</f>
        <v/>
      </c>
    </row>
    <row r="3634">
      <c r="A3634" t="inlineStr">
        <is>
          <t>chr6</t>
        </is>
      </c>
      <c r="B3634" t="n">
        <v>164660964</v>
      </c>
      <c r="C3634" t="inlineStr">
        <is>
          <t>A</t>
        </is>
      </c>
      <c r="D3634" t="inlineStr">
        <is>
          <t>G</t>
        </is>
      </c>
      <c r="E3634" t="inlineStr">
        <is>
          <t>rs59034682</t>
        </is>
      </c>
      <c r="F3634" t="n">
        <v>-0.0100052281</v>
      </c>
      <c r="G3634" t="n">
        <v>0.5661005184678648</v>
      </c>
      <c r="H3634" t="n">
        <v>0.0108909571215679</v>
      </c>
      <c r="I3634" t="n">
        <v>0.5402342866078529</v>
      </c>
      <c r="J3634" t="n">
        <v>0.0113055223974366</v>
      </c>
      <c r="K3634" t="n">
        <v>0.742656366489031</v>
      </c>
      <c r="L3634" t="b">
        <v>0</v>
      </c>
      <c r="M3634" t="b">
        <v>0</v>
      </c>
      <c r="N3634" t="inlineStr">
        <is>
          <t>ref</t>
        </is>
      </c>
      <c r="O3634" t="n">
        <v>-60</v>
      </c>
      <c r="P3634" t="n">
        <v>0.003845</v>
      </c>
      <c r="Q3634" t="n">
        <v>-10</v>
      </c>
      <c r="R3634" t="n">
        <v>0.009766</v>
      </c>
      <c r="S3634">
        <f>IMAGE("https://mitra.stanford.edu/kundaje/oak/projects/neuro-variants/variant_position/credible/roussos_2024/variant_figures/roussos_2024.childhood.GABA/rs59034682_count_position.png",4,220,900)</f>
        <v/>
      </c>
      <c r="T3634">
        <f>IMAGE("https://mitra.stanford.edu/kundaje/oak/projects/neuro-variants/variant_position/credible/roussos_2024/variant_figures/roussos_2024.childhood.GABA/rs59034682_profile_position.png",4,220,900)</f>
        <v/>
      </c>
    </row>
    <row r="3635">
      <c r="A3635" t="inlineStr">
        <is>
          <t>chr6</t>
        </is>
      </c>
      <c r="B3635" t="n">
        <v>164665028</v>
      </c>
      <c r="C3635" t="inlineStr">
        <is>
          <t>C</t>
        </is>
      </c>
      <c r="D3635" t="inlineStr">
        <is>
          <t>A</t>
        </is>
      </c>
      <c r="E3635" t="inlineStr">
        <is>
          <t>rs113650580</t>
        </is>
      </c>
      <c r="F3635" t="n">
        <v>-0.014528965854</v>
      </c>
      <c r="G3635" t="n">
        <v>0.4105344105966071</v>
      </c>
      <c r="H3635" t="n">
        <v>0.0120273725995632</v>
      </c>
      <c r="I3635" t="n">
        <v>0.4303565998271447</v>
      </c>
      <c r="J3635" t="n">
        <v>0.09774978534480951</v>
      </c>
      <c r="K3635" t="n">
        <v>0.3664631027591321</v>
      </c>
      <c r="L3635" t="b">
        <v>0</v>
      </c>
      <c r="M3635" t="b">
        <v>0</v>
      </c>
      <c r="N3635" t="inlineStr">
        <is>
          <t>ref</t>
        </is>
      </c>
      <c r="O3635" t="n">
        <v>100</v>
      </c>
      <c r="P3635" t="n">
        <v>0.009605000000000001</v>
      </c>
      <c r="Q3635" t="n">
        <v>-70</v>
      </c>
      <c r="R3635" t="n">
        <v>0.05524</v>
      </c>
      <c r="S3635">
        <f>IMAGE("https://mitra.stanford.edu/kundaje/oak/projects/neuro-variants/variant_position/credible/roussos_2024/variant_figures/roussos_2024.childhood.GABA/rs113650580_count_position.png",4,220,900)</f>
        <v/>
      </c>
      <c r="T3635">
        <f>IMAGE("https://mitra.stanford.edu/kundaje/oak/projects/neuro-variants/variant_position/credible/roussos_2024/variant_figures/roussos_2024.childhood.GABA/rs113650580_profile_position.png",4,220,900)</f>
        <v/>
      </c>
    </row>
    <row r="3636">
      <c r="A3636" t="inlineStr">
        <is>
          <t>chr6</t>
        </is>
      </c>
      <c r="B3636" t="n">
        <v>164687522</v>
      </c>
      <c r="C3636" t="inlineStr">
        <is>
          <t>T</t>
        </is>
      </c>
      <c r="D3636" t="inlineStr">
        <is>
          <t>G</t>
        </is>
      </c>
      <c r="E3636" t="inlineStr">
        <is>
          <t>rs79222572</t>
        </is>
      </c>
      <c r="F3636" t="n">
        <v>0.06464785720000001</v>
      </c>
      <c r="G3636" t="n">
        <v>0.08113826766611409</v>
      </c>
      <c r="H3636" t="n">
        <v>0.0151867303178239</v>
      </c>
      <c r="I3636" t="n">
        <v>0.2192755532076371</v>
      </c>
      <c r="J3636" t="n">
        <v>0.0088877719838327</v>
      </c>
      <c r="K3636" t="n">
        <v>0.7647173241634153</v>
      </c>
      <c r="L3636" t="b">
        <v>0</v>
      </c>
      <c r="M3636" t="b">
        <v>0</v>
      </c>
      <c r="N3636" t="inlineStr">
        <is>
          <t>alt</t>
        </is>
      </c>
      <c r="O3636" t="n">
        <v>45</v>
      </c>
      <c r="P3636" t="n">
        <v>0.00415</v>
      </c>
      <c r="Q3636" t="n">
        <v>90</v>
      </c>
      <c r="R3636" t="n">
        <v>0.08307</v>
      </c>
      <c r="S3636">
        <f>IMAGE("https://mitra.stanford.edu/kundaje/oak/projects/neuro-variants/variant_position/credible/roussos_2024/variant_figures/roussos_2024.childhood.GABA/rs79222572_count_position.png",4,220,900)</f>
        <v/>
      </c>
      <c r="T3636">
        <f>IMAGE("https://mitra.stanford.edu/kundaje/oak/projects/neuro-variants/variant_position/credible/roussos_2024/variant_figures/roussos_2024.childhood.GABA/rs79222572_profile_position.png",4,220,900)</f>
        <v/>
      </c>
    </row>
    <row r="3637">
      <c r="A3637" t="inlineStr">
        <is>
          <t>chr6</t>
        </is>
      </c>
      <c r="B3637" t="n">
        <v>164715189</v>
      </c>
      <c r="C3637" t="inlineStr">
        <is>
          <t>A</t>
        </is>
      </c>
      <c r="D3637" t="inlineStr">
        <is>
          <t>G</t>
        </is>
      </c>
      <c r="E3637" t="inlineStr">
        <is>
          <t>rs55855028</t>
        </is>
      </c>
      <c r="F3637" t="n">
        <v>0.01371661398</v>
      </c>
      <c r="G3637" t="n">
        <v>0.4666040422105116</v>
      </c>
      <c r="H3637" t="n">
        <v>0.0170696903097814</v>
      </c>
      <c r="I3637" t="n">
        <v>0.1405289496801082</v>
      </c>
      <c r="J3637" t="n">
        <v>0.0043391761429079</v>
      </c>
      <c r="K3637" t="n">
        <v>0.8291631015972774</v>
      </c>
      <c r="L3637" t="b">
        <v>0</v>
      </c>
      <c r="M3637" t="b">
        <v>0</v>
      </c>
      <c r="N3637" t="inlineStr">
        <is>
          <t>alt</t>
        </is>
      </c>
      <c r="O3637" t="n">
        <v>35</v>
      </c>
      <c r="P3637" t="n">
        <v>0.0017395</v>
      </c>
      <c r="Q3637" t="n">
        <v>25</v>
      </c>
      <c r="R3637" t="n">
        <v>0.03613</v>
      </c>
      <c r="S3637">
        <f>IMAGE("https://mitra.stanford.edu/kundaje/oak/projects/neuro-variants/variant_position/credible/roussos_2024/variant_figures/roussos_2024.childhood.GABA/rs55855028_count_position.png",4,220,900)</f>
        <v/>
      </c>
      <c r="T3637">
        <f>IMAGE("https://mitra.stanford.edu/kundaje/oak/projects/neuro-variants/variant_position/credible/roussos_2024/variant_figures/roussos_2024.childhood.GABA/rs55855028_profile_position.png",4,220,900)</f>
        <v/>
      </c>
    </row>
    <row r="3638">
      <c r="A3638" t="inlineStr">
        <is>
          <t>chr6</t>
        </is>
      </c>
      <c r="B3638" t="n">
        <v>164716933</v>
      </c>
      <c r="C3638" t="inlineStr">
        <is>
          <t>A</t>
        </is>
      </c>
      <c r="D3638" t="inlineStr">
        <is>
          <t>G</t>
        </is>
      </c>
      <c r="E3638" t="inlineStr">
        <is>
          <t>rs75952763</t>
        </is>
      </c>
      <c r="F3638" t="n">
        <v>0.0111729867</v>
      </c>
      <c r="G3638" t="n">
        <v>0.5819889467375111</v>
      </c>
      <c r="H3638" t="n">
        <v>0.009937144739319399</v>
      </c>
      <c r="I3638" t="n">
        <v>0.6513097834958681</v>
      </c>
      <c r="J3638" t="n">
        <v>0.0006303532910305</v>
      </c>
      <c r="K3638" t="n">
        <v>0.9339600257156964</v>
      </c>
      <c r="L3638" t="b">
        <v>0</v>
      </c>
      <c r="M3638" t="b">
        <v>0</v>
      </c>
      <c r="N3638" t="inlineStr">
        <is>
          <t>alt</t>
        </is>
      </c>
      <c r="O3638" t="n">
        <v>100</v>
      </c>
      <c r="P3638" t="n">
        <v>0.02922</v>
      </c>
      <c r="Q3638" t="n">
        <v>10</v>
      </c>
      <c r="R3638" t="n">
        <v>0.02246</v>
      </c>
      <c r="S3638">
        <f>IMAGE("https://mitra.stanford.edu/kundaje/oak/projects/neuro-variants/variant_position/credible/roussos_2024/variant_figures/roussos_2024.childhood.GABA/rs75952763_count_position.png",4,220,900)</f>
        <v/>
      </c>
      <c r="T3638">
        <f>IMAGE("https://mitra.stanford.edu/kundaje/oak/projects/neuro-variants/variant_position/credible/roussos_2024/variant_figures/roussos_2024.childhood.GABA/rs75952763_profile_position.png",4,220,900)</f>
        <v/>
      </c>
    </row>
    <row r="3639">
      <c r="A3639" t="inlineStr">
        <is>
          <t>chr6</t>
        </is>
      </c>
      <c r="B3639" t="n">
        <v>164718895</v>
      </c>
      <c r="C3639" t="inlineStr">
        <is>
          <t>A</t>
        </is>
      </c>
      <c r="D3639" t="inlineStr">
        <is>
          <t>G</t>
        </is>
      </c>
      <c r="E3639" t="inlineStr">
        <is>
          <t>rs9347029</t>
        </is>
      </c>
      <c r="F3639" t="n">
        <v>-0.0008875586599999</v>
      </c>
      <c r="G3639" t="n">
        <v>0.8089929153342841</v>
      </c>
      <c r="H3639" t="n">
        <v>0.0230371933156595</v>
      </c>
      <c r="I3639" t="n">
        <v>0.0414481103525787</v>
      </c>
      <c r="J3639" t="n">
        <v>0.0003507779941781</v>
      </c>
      <c r="K3639" t="n">
        <v>0.9499983421650086</v>
      </c>
      <c r="L3639" t="b">
        <v>0</v>
      </c>
      <c r="M3639" t="b">
        <v>0</v>
      </c>
      <c r="N3639" t="inlineStr">
        <is>
          <t>ref</t>
        </is>
      </c>
      <c r="O3639" t="n">
        <v>0</v>
      </c>
      <c r="P3639" t="n">
        <v>0</v>
      </c>
      <c r="Q3639" t="n">
        <v>-100</v>
      </c>
      <c r="R3639" t="n">
        <v>0.02812</v>
      </c>
      <c r="S3639">
        <f>IMAGE("https://mitra.stanford.edu/kundaje/oak/projects/neuro-variants/variant_position/credible/roussos_2024/variant_figures/roussos_2024.childhood.GABA/rs9347029_count_position.png",4,220,900)</f>
        <v/>
      </c>
      <c r="T3639">
        <f>IMAGE("https://mitra.stanford.edu/kundaje/oak/projects/neuro-variants/variant_position/credible/roussos_2024/variant_figures/roussos_2024.childhood.GABA/rs9347029_profile_position.png",4,220,900)</f>
        <v/>
      </c>
    </row>
    <row r="3640">
      <c r="A3640" t="inlineStr">
        <is>
          <t>chr6</t>
        </is>
      </c>
      <c r="B3640" t="n">
        <v>164734384</v>
      </c>
      <c r="C3640" t="inlineStr">
        <is>
          <t>G</t>
        </is>
      </c>
      <c r="D3640" t="inlineStr">
        <is>
          <t>A</t>
        </is>
      </c>
      <c r="E3640" t="inlineStr">
        <is>
          <t>rs1912669</t>
        </is>
      </c>
      <c r="F3640" t="n">
        <v>-0.177219826</v>
      </c>
      <c r="G3640" t="n">
        <v>0.0076538575747848</v>
      </c>
      <c r="H3640" t="n">
        <v>0.0214452982786274</v>
      </c>
      <c r="I3640" t="n">
        <v>0.06778774523271019</v>
      </c>
      <c r="J3640" t="n">
        <v>0.08140562501308859</v>
      </c>
      <c r="K3640" t="n">
        <v>0.4286215341382031</v>
      </c>
      <c r="L3640" t="b">
        <v>1</v>
      </c>
      <c r="M3640" t="b">
        <v>1</v>
      </c>
      <c r="N3640" t="inlineStr">
        <is>
          <t>ref</t>
        </is>
      </c>
      <c r="O3640" t="n">
        <v>65</v>
      </c>
      <c r="P3640" t="n">
        <v>0.0645</v>
      </c>
      <c r="Q3640" t="n">
        <v>-30</v>
      </c>
      <c r="R3640" t="n">
        <v>0.02173</v>
      </c>
      <c r="S3640">
        <f>IMAGE("https://mitra.stanford.edu/kundaje/oak/projects/neuro-variants/variant_position/credible/roussos_2024/variant_figures/roussos_2024.childhood.GABA/rs1912669_count_position.png",4,220,900)</f>
        <v/>
      </c>
      <c r="T3640">
        <f>IMAGE("https://mitra.stanford.edu/kundaje/oak/projects/neuro-variants/variant_position/credible/roussos_2024/variant_figures/roussos_2024.childhood.GABA/rs1912669_profile_position.png",4,220,900)</f>
        <v/>
      </c>
    </row>
    <row r="3641">
      <c r="A3641" t="inlineStr">
        <is>
          <t>chr6</t>
        </is>
      </c>
      <c r="B3641" t="n">
        <v>164751626</v>
      </c>
      <c r="C3641" t="inlineStr">
        <is>
          <t>G</t>
        </is>
      </c>
      <c r="D3641" t="inlineStr">
        <is>
          <t>A</t>
        </is>
      </c>
      <c r="E3641" t="inlineStr">
        <is>
          <t>rs978164</t>
        </is>
      </c>
      <c r="F3641" t="n">
        <v>-0.0423373254</v>
      </c>
      <c r="G3641" t="n">
        <v>0.1940453484167103</v>
      </c>
      <c r="H3641" t="n">
        <v>0.0118363852940826</v>
      </c>
      <c r="I3641" t="n">
        <v>0.4522834574597967</v>
      </c>
      <c r="J3641" t="n">
        <v>0.4527025612029067</v>
      </c>
      <c r="K3641" t="n">
        <v>0.0668759143844878</v>
      </c>
      <c r="L3641" t="b">
        <v>0</v>
      </c>
      <c r="M3641" t="b">
        <v>0</v>
      </c>
      <c r="N3641" t="inlineStr">
        <is>
          <t>ref</t>
        </is>
      </c>
      <c r="O3641" t="n">
        <v>100</v>
      </c>
      <c r="P3641" t="n">
        <v>0.01727</v>
      </c>
      <c r="Q3641" t="n">
        <v>85</v>
      </c>
      <c r="R3641" t="n">
        <v>0.05737</v>
      </c>
      <c r="S3641">
        <f>IMAGE("https://mitra.stanford.edu/kundaje/oak/projects/neuro-variants/variant_position/credible/roussos_2024/variant_figures/roussos_2024.childhood.GABA/rs978164_count_position.png",4,220,900)</f>
        <v/>
      </c>
      <c r="T3641">
        <f>IMAGE("https://mitra.stanford.edu/kundaje/oak/projects/neuro-variants/variant_position/credible/roussos_2024/variant_figures/roussos_2024.childhood.GABA/rs978164_profile_position.png",4,220,900)</f>
        <v/>
      </c>
    </row>
    <row r="3642">
      <c r="A3642" t="inlineStr">
        <is>
          <t>chr6</t>
        </is>
      </c>
      <c r="B3642" t="n">
        <v>164753774</v>
      </c>
      <c r="C3642" t="inlineStr">
        <is>
          <t>G</t>
        </is>
      </c>
      <c r="D3642" t="inlineStr">
        <is>
          <t>A</t>
        </is>
      </c>
      <c r="E3642" t="inlineStr">
        <is>
          <t>rs1467085</t>
        </is>
      </c>
      <c r="F3642" t="n">
        <v>-0.0630671746</v>
      </c>
      <c r="G3642" t="n">
        <v>0.1232923001150501</v>
      </c>
      <c r="H3642" t="n">
        <v>0.0149519698045559</v>
      </c>
      <c r="I3642" t="n">
        <v>0.2184396226778981</v>
      </c>
      <c r="J3642" t="n">
        <v>0.0346715252036606</v>
      </c>
      <c r="K3642" t="n">
        <v>0.5634101403476116</v>
      </c>
      <c r="L3642" t="b">
        <v>0</v>
      </c>
      <c r="M3642" t="b">
        <v>0</v>
      </c>
      <c r="N3642" t="inlineStr">
        <is>
          <t>ref</t>
        </is>
      </c>
      <c r="O3642" t="n">
        <v>-35</v>
      </c>
      <c r="P3642" t="n">
        <v>0.005005</v>
      </c>
      <c r="Q3642" t="n">
        <v>40</v>
      </c>
      <c r="R3642" t="n">
        <v>0.05396</v>
      </c>
      <c r="S3642">
        <f>IMAGE("https://mitra.stanford.edu/kundaje/oak/projects/neuro-variants/variant_position/credible/roussos_2024/variant_figures/roussos_2024.childhood.GABA/rs1467085_count_position.png",4,220,900)</f>
        <v/>
      </c>
      <c r="T3642">
        <f>IMAGE("https://mitra.stanford.edu/kundaje/oak/projects/neuro-variants/variant_position/credible/roussos_2024/variant_figures/roussos_2024.childhood.GABA/rs1467085_profile_position.png",4,220,900)</f>
        <v/>
      </c>
    </row>
    <row r="3643">
      <c r="A3643" t="inlineStr">
        <is>
          <t>chr6</t>
        </is>
      </c>
      <c r="B3643" t="n">
        <v>164757079</v>
      </c>
      <c r="C3643" t="inlineStr">
        <is>
          <t>C</t>
        </is>
      </c>
      <c r="D3643" t="inlineStr">
        <is>
          <t>A</t>
        </is>
      </c>
      <c r="E3643" t="inlineStr">
        <is>
          <t>rs1995942</t>
        </is>
      </c>
      <c r="F3643" t="n">
        <v>0.0574258509999999</v>
      </c>
      <c r="G3643" t="n">
        <v>0.1185197617149964</v>
      </c>
      <c r="H3643" t="n">
        <v>0.0307682701457568</v>
      </c>
      <c r="I3643" t="n">
        <v>0.0114114201200639</v>
      </c>
      <c r="J3643" t="n">
        <v>0.0877081108249041</v>
      </c>
      <c r="K3643" t="n">
        <v>0.3775940198521059</v>
      </c>
      <c r="L3643" t="b">
        <v>1</v>
      </c>
      <c r="M3643" t="b">
        <v>0</v>
      </c>
      <c r="N3643" t="inlineStr">
        <is>
          <t>alt</t>
        </is>
      </c>
      <c r="O3643" t="n">
        <v>40</v>
      </c>
      <c r="P3643" t="n">
        <v>0.003448</v>
      </c>
      <c r="Q3643" t="n">
        <v>-75</v>
      </c>
      <c r="R3643" t="n">
        <v>0.0558</v>
      </c>
      <c r="S3643">
        <f>IMAGE("https://mitra.stanford.edu/kundaje/oak/projects/neuro-variants/variant_position/credible/roussos_2024/variant_figures/roussos_2024.childhood.GABA/rs1995942_count_position.png",4,220,900)</f>
        <v/>
      </c>
      <c r="T3643">
        <f>IMAGE("https://mitra.stanford.edu/kundaje/oak/projects/neuro-variants/variant_position/credible/roussos_2024/variant_figures/roussos_2024.childhood.GABA/rs1995942_profile_position.png",4,220,900)</f>
        <v/>
      </c>
    </row>
    <row r="3644">
      <c r="A3644" t="inlineStr">
        <is>
          <t>chr6</t>
        </is>
      </c>
      <c r="B3644" t="n">
        <v>170341644</v>
      </c>
      <c r="C3644" t="inlineStr">
        <is>
          <t>T</t>
        </is>
      </c>
      <c r="D3644" t="inlineStr">
        <is>
          <t>C</t>
        </is>
      </c>
      <c r="E3644" t="inlineStr">
        <is>
          <t>rs2092778</t>
        </is>
      </c>
      <c r="F3644" t="n">
        <v>-0.01631809422</v>
      </c>
      <c r="G3644" t="n">
        <v>0.4920208529473223</v>
      </c>
      <c r="H3644" t="n">
        <v>0.0101876530487125</v>
      </c>
      <c r="I3644" t="n">
        <v>0.6181765542291676</v>
      </c>
      <c r="J3644" t="n">
        <v>0.3557600887939519</v>
      </c>
      <c r="K3644" t="n">
        <v>0.1065661315513122</v>
      </c>
      <c r="L3644" t="b">
        <v>0</v>
      </c>
      <c r="M3644" t="b">
        <v>0</v>
      </c>
      <c r="N3644" t="inlineStr">
        <is>
          <t>ref</t>
        </is>
      </c>
      <c r="O3644" t="n">
        <v>-80</v>
      </c>
      <c r="P3644" t="n">
        <v>0.005775</v>
      </c>
      <c r="Q3644" t="n">
        <v>-20</v>
      </c>
      <c r="R3644" t="n">
        <v>0.004272</v>
      </c>
      <c r="S3644">
        <f>IMAGE("https://mitra.stanford.edu/kundaje/oak/projects/neuro-variants/variant_position/credible/roussos_2024/variant_figures/roussos_2024.childhood.GABA/rs2092778_count_position.png",4,220,900)</f>
        <v/>
      </c>
      <c r="T3644">
        <f>IMAGE("https://mitra.stanford.edu/kundaje/oak/projects/neuro-variants/variant_position/credible/roussos_2024/variant_figures/roussos_2024.childhood.GABA/rs2092778_profile_position.png",4,220,900)</f>
        <v/>
      </c>
    </row>
    <row r="3645">
      <c r="A3645" t="inlineStr">
        <is>
          <t>chr6</t>
        </is>
      </c>
      <c r="B3645" t="n">
        <v>170365688</v>
      </c>
      <c r="C3645" t="inlineStr">
        <is>
          <t>T</t>
        </is>
      </c>
      <c r="D3645" t="inlineStr">
        <is>
          <t>C</t>
        </is>
      </c>
      <c r="E3645" t="inlineStr">
        <is>
          <t>rs6914386</t>
        </is>
      </c>
      <c r="F3645" t="n">
        <v>-0.00540297738</v>
      </c>
      <c r="G3645" t="n">
        <v>0.5540377018244154</v>
      </c>
      <c r="H3645" t="n">
        <v>0.010166941321238</v>
      </c>
      <c r="I3645" t="n">
        <v>0.6187466871906457</v>
      </c>
      <c r="J3645" t="n">
        <v>0.4519633096689074</v>
      </c>
      <c r="K3645" t="n">
        <v>0.06673890041396011</v>
      </c>
      <c r="L3645" t="b">
        <v>0</v>
      </c>
      <c r="M3645" t="b">
        <v>0</v>
      </c>
      <c r="N3645" t="inlineStr">
        <is>
          <t>ref</t>
        </is>
      </c>
      <c r="O3645" t="n">
        <v>5</v>
      </c>
      <c r="P3645" t="n">
        <v>0.0002213</v>
      </c>
      <c r="Q3645" t="n">
        <v>100</v>
      </c>
      <c r="R3645" t="n">
        <v>0.008059999999999999</v>
      </c>
      <c r="S3645">
        <f>IMAGE("https://mitra.stanford.edu/kundaje/oak/projects/neuro-variants/variant_position/credible/roussos_2024/variant_figures/roussos_2024.childhood.GABA/rs6914386_count_position.png",4,220,900)</f>
        <v/>
      </c>
      <c r="T3645">
        <f>IMAGE("https://mitra.stanford.edu/kundaje/oak/projects/neuro-variants/variant_position/credible/roussos_2024/variant_figures/roussos_2024.childhood.GABA/rs6914386_profile_position.png",4,220,900)</f>
        <v/>
      </c>
    </row>
    <row r="3646">
      <c r="A3646" t="inlineStr">
        <is>
          <t>chr6</t>
        </is>
      </c>
      <c r="B3646" t="n">
        <v>170374845</v>
      </c>
      <c r="C3646" t="inlineStr">
        <is>
          <t>C</t>
        </is>
      </c>
      <c r="D3646" t="inlineStr">
        <is>
          <t>T</t>
        </is>
      </c>
      <c r="E3646" t="inlineStr">
        <is>
          <t>rs78450636</t>
        </is>
      </c>
      <c r="F3646" t="n">
        <v>-0.041467353</v>
      </c>
      <c r="G3646" t="n">
        <v>0.2048208400622614</v>
      </c>
      <c r="H3646" t="n">
        <v>0.0162144420361805</v>
      </c>
      <c r="I3646" t="n">
        <v>0.1711317064054172</v>
      </c>
      <c r="J3646" t="n">
        <v>0.0725346066050972</v>
      </c>
      <c r="K3646" t="n">
        <v>0.4283274651992022</v>
      </c>
      <c r="L3646" t="b">
        <v>0</v>
      </c>
      <c r="M3646" t="b">
        <v>0</v>
      </c>
      <c r="N3646" t="inlineStr">
        <is>
          <t>ref</t>
        </is>
      </c>
      <c r="O3646" t="n">
        <v>85</v>
      </c>
      <c r="P3646" t="n">
        <v>0.001276</v>
      </c>
      <c r="Q3646" t="n">
        <v>-85</v>
      </c>
      <c r="R3646" t="n">
        <v>0.03345</v>
      </c>
      <c r="S3646">
        <f>IMAGE("https://mitra.stanford.edu/kundaje/oak/projects/neuro-variants/variant_position/credible/roussos_2024/variant_figures/roussos_2024.childhood.GABA/rs78450636_count_position.png",4,220,900)</f>
        <v/>
      </c>
      <c r="T3646">
        <f>IMAGE("https://mitra.stanford.edu/kundaje/oak/projects/neuro-variants/variant_position/credible/roussos_2024/variant_figures/roussos_2024.childhood.GABA/rs78450636_profile_position.png",4,220,900)</f>
        <v/>
      </c>
    </row>
    <row r="3647">
      <c r="A3647" t="inlineStr">
        <is>
          <t>chr6</t>
        </is>
      </c>
      <c r="B3647" t="n">
        <v>170378583</v>
      </c>
      <c r="C3647" t="inlineStr">
        <is>
          <t>G</t>
        </is>
      </c>
      <c r="D3647" t="inlineStr">
        <is>
          <t>A</t>
        </is>
      </c>
      <c r="E3647" t="inlineStr">
        <is>
          <t>rs9366218</t>
        </is>
      </c>
      <c r="F3647" t="n">
        <v>-0.08641395960000001</v>
      </c>
      <c r="G3647" t="n">
        <v>0.059973890916742</v>
      </c>
      <c r="H3647" t="n">
        <v>0.0153416258327672</v>
      </c>
      <c r="I3647" t="n">
        <v>0.2153627829154098</v>
      </c>
      <c r="J3647" t="n">
        <v>0.5312380892546752</v>
      </c>
      <c r="K3647" t="n">
        <v>0.0430463023501651</v>
      </c>
      <c r="L3647" t="b">
        <v>0</v>
      </c>
      <c r="M3647" t="b">
        <v>0</v>
      </c>
      <c r="N3647" t="inlineStr">
        <is>
          <t>ref</t>
        </is>
      </c>
      <c r="O3647" t="n">
        <v>-20</v>
      </c>
      <c r="P3647" t="n">
        <v>0.001045</v>
      </c>
      <c r="Q3647" t="n">
        <v>85</v>
      </c>
      <c r="R3647" t="n">
        <v>0.0769</v>
      </c>
      <c r="S3647">
        <f>IMAGE("https://mitra.stanford.edu/kundaje/oak/projects/neuro-variants/variant_position/credible/roussos_2024/variant_figures/roussos_2024.childhood.GABA/rs9366218_count_position.png",4,220,900)</f>
        <v/>
      </c>
      <c r="T3647">
        <f>IMAGE("https://mitra.stanford.edu/kundaje/oak/projects/neuro-variants/variant_position/credible/roussos_2024/variant_figures/roussos_2024.childhood.GABA/rs9366218_profile_position.png",4,220,900)</f>
        <v/>
      </c>
    </row>
    <row r="3648">
      <c r="A3648" t="inlineStr">
        <is>
          <t>chr6</t>
        </is>
      </c>
      <c r="B3648" t="n">
        <v>170407171</v>
      </c>
      <c r="C3648" t="inlineStr">
        <is>
          <t>C</t>
        </is>
      </c>
      <c r="D3648" t="inlineStr">
        <is>
          <t>T</t>
        </is>
      </c>
      <c r="E3648" t="inlineStr">
        <is>
          <t>rs10081152</t>
        </is>
      </c>
      <c r="F3648" t="n">
        <v>-0.0552052444</v>
      </c>
      <c r="G3648" t="n">
        <v>0.1236076048437075</v>
      </c>
      <c r="H3648" t="n">
        <v>0.0119028406237453</v>
      </c>
      <c r="I3648" t="n">
        <v>0.4508959912964677</v>
      </c>
      <c r="J3648" t="n">
        <v>0.1050878515633179</v>
      </c>
      <c r="K3648" t="n">
        <v>0.3605412123261214</v>
      </c>
      <c r="L3648" t="b">
        <v>0</v>
      </c>
      <c r="M3648" t="b">
        <v>0</v>
      </c>
      <c r="N3648" t="inlineStr">
        <is>
          <t>ref</t>
        </is>
      </c>
      <c r="O3648" t="n">
        <v>-95</v>
      </c>
      <c r="P3648" t="n">
        <v>0.02046</v>
      </c>
      <c r="Q3648" t="n">
        <v>85</v>
      </c>
      <c r="R3648" t="n">
        <v>0.1743</v>
      </c>
      <c r="S3648">
        <f>IMAGE("https://mitra.stanford.edu/kundaje/oak/projects/neuro-variants/variant_position/credible/roussos_2024/variant_figures/roussos_2024.childhood.GABA/rs10081152_count_position.png",4,220,900)</f>
        <v/>
      </c>
      <c r="T3648">
        <f>IMAGE("https://mitra.stanford.edu/kundaje/oak/projects/neuro-variants/variant_position/credible/roussos_2024/variant_figures/roussos_2024.childhood.GABA/rs10081152_profile_position.png",4,220,900)</f>
        <v/>
      </c>
    </row>
    <row r="3649">
      <c r="A3649" t="inlineStr">
        <is>
          <t>chr7</t>
        </is>
      </c>
      <c r="B3649" t="n">
        <v>1885818</v>
      </c>
      <c r="C3649" t="inlineStr">
        <is>
          <t>T</t>
        </is>
      </c>
      <c r="D3649" t="inlineStr">
        <is>
          <t>C</t>
        </is>
      </c>
      <c r="E3649" t="inlineStr">
        <is>
          <t>rs12532128</t>
        </is>
      </c>
      <c r="F3649" t="n">
        <v>0.0448891428</v>
      </c>
      <c r="G3649" t="n">
        <v>0.1622400048994931</v>
      </c>
      <c r="H3649" t="n">
        <v>0.0134679139247909</v>
      </c>
      <c r="I3649" t="n">
        <v>0.3190974798743828</v>
      </c>
      <c r="J3649" t="n">
        <v>0.6335678833951122</v>
      </c>
      <c r="K3649" t="n">
        <v>0.0229935403331873</v>
      </c>
      <c r="L3649" t="b">
        <v>0</v>
      </c>
      <c r="M3649" t="b">
        <v>0</v>
      </c>
      <c r="N3649" t="inlineStr">
        <is>
          <t>alt</t>
        </is>
      </c>
      <c r="O3649" t="n">
        <v>-30</v>
      </c>
      <c r="P3649" t="n">
        <v>0.01587</v>
      </c>
      <c r="Q3649" t="n">
        <v>-100</v>
      </c>
      <c r="R3649" t="n">
        <v>0.303</v>
      </c>
      <c r="S3649">
        <f>IMAGE("https://mitra.stanford.edu/kundaje/oak/projects/neuro-variants/variant_position/credible/roussos_2024/variant_figures/roussos_2024.childhood.GABA/rs12532128_count_position.png",4,220,900)</f>
        <v/>
      </c>
      <c r="T3649">
        <f>IMAGE("https://mitra.stanford.edu/kundaje/oak/projects/neuro-variants/variant_position/credible/roussos_2024/variant_figures/roussos_2024.childhood.GABA/rs12532128_profile_position.png",4,220,900)</f>
        <v/>
      </c>
    </row>
    <row r="3650">
      <c r="A3650" t="inlineStr">
        <is>
          <t>chr7</t>
        </is>
      </c>
      <c r="B3650" t="n">
        <v>1902634</v>
      </c>
      <c r="C3650" t="inlineStr">
        <is>
          <t>C</t>
        </is>
      </c>
      <c r="D3650" t="inlineStr">
        <is>
          <t>T</t>
        </is>
      </c>
      <c r="E3650" t="inlineStr">
        <is>
          <t>rs4236277</t>
        </is>
      </c>
      <c r="F3650" t="n">
        <v>-0.0368224829999999</v>
      </c>
      <c r="G3650" t="n">
        <v>0.2330122844198305</v>
      </c>
      <c r="H3650" t="n">
        <v>0.0147323999379955</v>
      </c>
      <c r="I3650" t="n">
        <v>0.240385045255659</v>
      </c>
      <c r="J3650" t="n">
        <v>0.7265020627840255</v>
      </c>
      <c r="K3650" t="n">
        <v>0.0121955645053379</v>
      </c>
      <c r="L3650" t="b">
        <v>0</v>
      </c>
      <c r="M3650" t="b">
        <v>0</v>
      </c>
      <c r="N3650" t="inlineStr">
        <is>
          <t>ref</t>
        </is>
      </c>
      <c r="O3650" t="n">
        <v>95</v>
      </c>
      <c r="P3650" t="n">
        <v>0.00743</v>
      </c>
      <c r="Q3650" t="n">
        <v>95</v>
      </c>
      <c r="R3650" t="n">
        <v>0.06909999999999999</v>
      </c>
      <c r="S3650">
        <f>IMAGE("https://mitra.stanford.edu/kundaje/oak/projects/neuro-variants/variant_position/credible/roussos_2024/variant_figures/roussos_2024.childhood.GABA/rs4236277_count_position.png",4,220,900)</f>
        <v/>
      </c>
      <c r="T3650">
        <f>IMAGE("https://mitra.stanford.edu/kundaje/oak/projects/neuro-variants/variant_position/credible/roussos_2024/variant_figures/roussos_2024.childhood.GABA/rs4236277_profile_position.png",4,220,900)</f>
        <v/>
      </c>
    </row>
    <row r="3651">
      <c r="A3651" t="inlineStr">
        <is>
          <t>chr7</t>
        </is>
      </c>
      <c r="B3651" t="n">
        <v>1903230</v>
      </c>
      <c r="C3651" t="inlineStr">
        <is>
          <t>T</t>
        </is>
      </c>
      <c r="D3651" t="inlineStr">
        <is>
          <t>C</t>
        </is>
      </c>
      <c r="E3651" t="inlineStr">
        <is>
          <t>rs12699439</t>
        </is>
      </c>
      <c r="F3651" t="n">
        <v>0.0105598004314</v>
      </c>
      <c r="G3651" t="n">
        <v>0.5786575260986615</v>
      </c>
      <c r="H3651" t="n">
        <v>0.0107865539238613</v>
      </c>
      <c r="I3651" t="n">
        <v>0.5517417675892783</v>
      </c>
      <c r="J3651" t="n">
        <v>0.7823501078511444</v>
      </c>
      <c r="K3651" t="n">
        <v>0.0077157574575771</v>
      </c>
      <c r="L3651" t="b">
        <v>0</v>
      </c>
      <c r="M3651" t="b">
        <v>0</v>
      </c>
      <c r="N3651" t="inlineStr">
        <is>
          <t>alt</t>
        </is>
      </c>
      <c r="O3651" t="n">
        <v>85</v>
      </c>
      <c r="P3651" t="n">
        <v>0.00237</v>
      </c>
      <c r="Q3651" t="n">
        <v>-20</v>
      </c>
      <c r="R3651" t="n">
        <v>0.013794</v>
      </c>
      <c r="S3651">
        <f>IMAGE("https://mitra.stanford.edu/kundaje/oak/projects/neuro-variants/variant_position/credible/roussos_2024/variant_figures/roussos_2024.childhood.GABA/rs12699439_count_position.png",4,220,900)</f>
        <v/>
      </c>
      <c r="T3651">
        <f>IMAGE("https://mitra.stanford.edu/kundaje/oak/projects/neuro-variants/variant_position/credible/roussos_2024/variant_figures/roussos_2024.childhood.GABA/rs12699439_profile_position.png",4,220,900)</f>
        <v/>
      </c>
    </row>
    <row r="3652">
      <c r="A3652" t="inlineStr">
        <is>
          <t>chr7</t>
        </is>
      </c>
      <c r="B3652" t="n">
        <v>2444663</v>
      </c>
      <c r="C3652" t="inlineStr">
        <is>
          <t>A</t>
        </is>
      </c>
      <c r="D3652" t="inlineStr">
        <is>
          <t>G</t>
        </is>
      </c>
      <c r="E3652" t="inlineStr">
        <is>
          <t>rs79606759</t>
        </is>
      </c>
      <c r="F3652" t="n">
        <v>0.0408160436</v>
      </c>
      <c r="G3652" t="n">
        <v>0.1882628832719589</v>
      </c>
      <c r="H3652" t="n">
        <v>0.007477691768362</v>
      </c>
      <c r="I3652" t="n">
        <v>0.9054645994674176</v>
      </c>
      <c r="J3652" t="n">
        <v>0.3835563653117212</v>
      </c>
      <c r="K3652" t="n">
        <v>0.0935892524237415</v>
      </c>
      <c r="L3652" t="b">
        <v>0</v>
      </c>
      <c r="M3652" t="b">
        <v>0</v>
      </c>
      <c r="N3652" t="inlineStr">
        <is>
          <t>alt</t>
        </is>
      </c>
      <c r="O3652" t="n">
        <v>100</v>
      </c>
      <c r="P3652" t="n">
        <v>0.00595</v>
      </c>
      <c r="Q3652" t="n">
        <v>30</v>
      </c>
      <c r="R3652" t="n">
        <v>0.008514000000000001</v>
      </c>
      <c r="S3652">
        <f>IMAGE("https://mitra.stanford.edu/kundaje/oak/projects/neuro-variants/variant_position/credible/roussos_2024/variant_figures/roussos_2024.childhood.GABA/rs79606759_count_position.png",4,220,900)</f>
        <v/>
      </c>
      <c r="T3652">
        <f>IMAGE("https://mitra.stanford.edu/kundaje/oak/projects/neuro-variants/variant_position/credible/roussos_2024/variant_figures/roussos_2024.childhood.GABA/rs79606759_profile_position.png",4,220,900)</f>
        <v/>
      </c>
    </row>
    <row r="3653">
      <c r="A3653" t="inlineStr">
        <is>
          <t>chr7</t>
        </is>
      </c>
      <c r="B3653" t="n">
        <v>2444919</v>
      </c>
      <c r="C3653" t="inlineStr">
        <is>
          <t>T</t>
        </is>
      </c>
      <c r="D3653" t="inlineStr">
        <is>
          <t>A</t>
        </is>
      </c>
      <c r="E3653" t="inlineStr">
        <is>
          <t>rs76150572</t>
        </is>
      </c>
      <c r="F3653" t="n">
        <v>-0.01107307968</v>
      </c>
      <c r="G3653" t="n">
        <v>0.6122059161311806</v>
      </c>
      <c r="H3653" t="n">
        <v>0.0273193771982887</v>
      </c>
      <c r="I3653" t="n">
        <v>0.0196042717578778</v>
      </c>
      <c r="J3653" t="n">
        <v>0.4220759774664405</v>
      </c>
      <c r="K3653" t="n">
        <v>0.0777411013477039</v>
      </c>
      <c r="L3653" t="b">
        <v>1</v>
      </c>
      <c r="M3653" t="b">
        <v>0</v>
      </c>
      <c r="N3653" t="inlineStr">
        <is>
          <t>ref</t>
        </is>
      </c>
      <c r="O3653" t="n">
        <v>45</v>
      </c>
      <c r="P3653" t="n">
        <v>0.003845</v>
      </c>
      <c r="Q3653" t="n">
        <v>-65</v>
      </c>
      <c r="R3653" t="n">
        <v>0.0818</v>
      </c>
      <c r="S3653">
        <f>IMAGE("https://mitra.stanford.edu/kundaje/oak/projects/neuro-variants/variant_position/credible/roussos_2024/variant_figures/roussos_2024.childhood.GABA/rs76150572_count_position.png",4,220,900)</f>
        <v/>
      </c>
      <c r="T3653">
        <f>IMAGE("https://mitra.stanford.edu/kundaje/oak/projects/neuro-variants/variant_position/credible/roussos_2024/variant_figures/roussos_2024.childhood.GABA/rs76150572_profile_position.png",4,220,900)</f>
        <v/>
      </c>
    </row>
    <row r="3654">
      <c r="A3654" t="inlineStr">
        <is>
          <t>chr7</t>
        </is>
      </c>
      <c r="B3654" t="n">
        <v>6003864</v>
      </c>
      <c r="C3654" t="inlineStr">
        <is>
          <t>T</t>
        </is>
      </c>
      <c r="D3654" t="inlineStr">
        <is>
          <t>C</t>
        </is>
      </c>
      <c r="E3654" t="inlineStr">
        <is>
          <t>rs117831773</t>
        </is>
      </c>
      <c r="F3654" t="n">
        <v>0.0542773208</v>
      </c>
      <c r="G3654" t="n">
        <v>0.1206718185075756</v>
      </c>
      <c r="H3654" t="n">
        <v>0.0148365174656894</v>
      </c>
      <c r="I3654" t="n">
        <v>0.2411354476915455</v>
      </c>
      <c r="J3654" t="n">
        <v>0.0057684655818726</v>
      </c>
      <c r="K3654" t="n">
        <v>0.8019696796638288</v>
      </c>
      <c r="L3654" t="b">
        <v>0</v>
      </c>
      <c r="M3654" t="b">
        <v>0</v>
      </c>
      <c r="N3654" t="inlineStr">
        <is>
          <t>alt</t>
        </is>
      </c>
      <c r="O3654" t="n">
        <v>-25</v>
      </c>
      <c r="P3654" t="n">
        <v>0.002245</v>
      </c>
      <c r="Q3654" t="n">
        <v>-55</v>
      </c>
      <c r="R3654" t="n">
        <v>0.06759999999999999</v>
      </c>
      <c r="S3654">
        <f>IMAGE("https://mitra.stanford.edu/kundaje/oak/projects/neuro-variants/variant_position/credible/roussos_2024/variant_figures/roussos_2024.childhood.GABA/rs117831773_count_position.png",4,220,900)</f>
        <v/>
      </c>
      <c r="T3654">
        <f>IMAGE("https://mitra.stanford.edu/kundaje/oak/projects/neuro-variants/variant_position/credible/roussos_2024/variant_figures/roussos_2024.childhood.GABA/rs117831773_profile_position.png",4,220,900)</f>
        <v/>
      </c>
    </row>
    <row r="3655">
      <c r="A3655" t="inlineStr">
        <is>
          <t>chr7</t>
        </is>
      </c>
      <c r="B3655" t="n">
        <v>6011278</v>
      </c>
      <c r="C3655" t="inlineStr">
        <is>
          <t>C</t>
        </is>
      </c>
      <c r="D3655" t="inlineStr">
        <is>
          <t>A</t>
        </is>
      </c>
      <c r="E3655" t="inlineStr">
        <is>
          <t>rs75285243</t>
        </is>
      </c>
      <c r="F3655" t="n">
        <v>-0.0053577600252</v>
      </c>
      <c r="G3655" t="n">
        <v>0.500833548718156</v>
      </c>
      <c r="H3655" t="n">
        <v>0.0147783187273015</v>
      </c>
      <c r="I3655" t="n">
        <v>0.2367533577473009</v>
      </c>
      <c r="J3655" t="n">
        <v>0.0974105254340222</v>
      </c>
      <c r="K3655" t="n">
        <v>0.3652960054488502</v>
      </c>
      <c r="L3655" t="b">
        <v>0</v>
      </c>
      <c r="M3655" t="b">
        <v>0</v>
      </c>
      <c r="N3655" t="inlineStr">
        <is>
          <t>ref</t>
        </is>
      </c>
      <c r="O3655" t="n">
        <v>-100</v>
      </c>
      <c r="P3655" t="n">
        <v>0.004353</v>
      </c>
      <c r="Q3655" t="n">
        <v>-65</v>
      </c>
      <c r="R3655" t="n">
        <v>0.0924</v>
      </c>
      <c r="S3655">
        <f>IMAGE("https://mitra.stanford.edu/kundaje/oak/projects/neuro-variants/variant_position/credible/roussos_2024/variant_figures/roussos_2024.childhood.GABA/rs75285243_count_position.png",4,220,900)</f>
        <v/>
      </c>
      <c r="T3655">
        <f>IMAGE("https://mitra.stanford.edu/kundaje/oak/projects/neuro-variants/variant_position/credible/roussos_2024/variant_figures/roussos_2024.childhood.GABA/rs75285243_profile_position.png",4,220,900)</f>
        <v/>
      </c>
    </row>
    <row r="3656">
      <c r="A3656" t="inlineStr">
        <is>
          <t>chr7</t>
        </is>
      </c>
      <c r="B3656" t="n">
        <v>6011649</v>
      </c>
      <c r="C3656" t="inlineStr">
        <is>
          <t>A</t>
        </is>
      </c>
      <c r="D3656" t="inlineStr">
        <is>
          <t>G</t>
        </is>
      </c>
      <c r="E3656" t="inlineStr">
        <is>
          <t>rs76124438</t>
        </is>
      </c>
      <c r="F3656" t="n">
        <v>0.1000356448</v>
      </c>
      <c r="G3656" t="n">
        <v>0.0281292380945531</v>
      </c>
      <c r="H3656" t="n">
        <v>0.0141454971853802</v>
      </c>
      <c r="I3656" t="n">
        <v>0.2764052926529612</v>
      </c>
      <c r="J3656" t="n">
        <v>0.0544564511737973</v>
      </c>
      <c r="K3656" t="n">
        <v>0.4797080509536889</v>
      </c>
      <c r="L3656" t="b">
        <v>0</v>
      </c>
      <c r="M3656" t="b">
        <v>0</v>
      </c>
      <c r="N3656" t="inlineStr">
        <is>
          <t>alt</t>
        </is>
      </c>
      <c r="O3656" t="n">
        <v>25</v>
      </c>
      <c r="P3656" t="n">
        <v>0.002077</v>
      </c>
      <c r="Q3656" t="n">
        <v>-100</v>
      </c>
      <c r="R3656" t="n">
        <v>0.02621</v>
      </c>
      <c r="S3656">
        <f>IMAGE("https://mitra.stanford.edu/kundaje/oak/projects/neuro-variants/variant_position/credible/roussos_2024/variant_figures/roussos_2024.childhood.GABA/rs76124438_count_position.png",4,220,900)</f>
        <v/>
      </c>
      <c r="T3656">
        <f>IMAGE("https://mitra.stanford.edu/kundaje/oak/projects/neuro-variants/variant_position/credible/roussos_2024/variant_figures/roussos_2024.childhood.GABA/rs76124438_profile_position.png",4,220,900)</f>
        <v/>
      </c>
    </row>
    <row r="3657">
      <c r="A3657" t="inlineStr">
        <is>
          <t>chr7</t>
        </is>
      </c>
      <c r="B3657" t="n">
        <v>6016571</v>
      </c>
      <c r="C3657" t="inlineStr">
        <is>
          <t>G</t>
        </is>
      </c>
      <c r="D3657" t="inlineStr">
        <is>
          <t>A</t>
        </is>
      </c>
      <c r="E3657" t="inlineStr">
        <is>
          <t>rs112393694</t>
        </is>
      </c>
      <c r="F3657" t="n">
        <v>-0.219731834</v>
      </c>
      <c r="G3657" t="n">
        <v>0.0037387330868041</v>
      </c>
      <c r="H3657" t="n">
        <v>0.0332453045287821</v>
      </c>
      <c r="I3657" t="n">
        <v>0.009456338572817399</v>
      </c>
      <c r="J3657" t="n">
        <v>0.3790611714937907</v>
      </c>
      <c r="K3657" t="n">
        <v>0.0944624659391804</v>
      </c>
      <c r="L3657" t="b">
        <v>1</v>
      </c>
      <c r="M3657" t="b">
        <v>1</v>
      </c>
      <c r="N3657" t="inlineStr">
        <is>
          <t>ref</t>
        </is>
      </c>
      <c r="O3657" t="n">
        <v>30</v>
      </c>
      <c r="P3657" t="n">
        <v>0.0009193</v>
      </c>
      <c r="Q3657" t="n">
        <v>95</v>
      </c>
      <c r="R3657" t="n">
        <v>0.1335</v>
      </c>
      <c r="S3657">
        <f>IMAGE("https://mitra.stanford.edu/kundaje/oak/projects/neuro-variants/variant_position/credible/roussos_2024/variant_figures/roussos_2024.childhood.GABA/rs112393694_count_position.png",4,220,900)</f>
        <v/>
      </c>
      <c r="T3657">
        <f>IMAGE("https://mitra.stanford.edu/kundaje/oak/projects/neuro-variants/variant_position/credible/roussos_2024/variant_figures/roussos_2024.childhood.GABA/rs112393694_profile_position.png",4,220,900)</f>
        <v/>
      </c>
    </row>
    <row r="3658">
      <c r="A3658" t="inlineStr">
        <is>
          <t>chr7</t>
        </is>
      </c>
      <c r="B3658" t="n">
        <v>6019143</v>
      </c>
      <c r="C3658" t="inlineStr">
        <is>
          <t>T</t>
        </is>
      </c>
      <c r="D3658" t="inlineStr">
        <is>
          <t>C</t>
        </is>
      </c>
      <c r="E3658" t="inlineStr">
        <is>
          <t>rs79231966</t>
        </is>
      </c>
      <c r="F3658" t="n">
        <v>-0.212612552</v>
      </c>
      <c r="G3658" t="n">
        <v>0.0038371761767065</v>
      </c>
      <c r="H3658" t="n">
        <v>0.0340875535073079</v>
      </c>
      <c r="I3658" t="n">
        <v>0.0075846819560818</v>
      </c>
      <c r="J3658" t="n">
        <v>0.2368233126007831</v>
      </c>
      <c r="K3658" t="n">
        <v>0.1808680206445827</v>
      </c>
      <c r="L3658" t="b">
        <v>1</v>
      </c>
      <c r="M3658" t="b">
        <v>1</v>
      </c>
      <c r="N3658" t="inlineStr">
        <is>
          <t>ref</t>
        </is>
      </c>
      <c r="O3658" t="n">
        <v>80</v>
      </c>
      <c r="P3658" t="n">
        <v>0.03406</v>
      </c>
      <c r="Q3658" t="n">
        <v>0</v>
      </c>
      <c r="R3658" t="n">
        <v>0</v>
      </c>
      <c r="S3658">
        <f>IMAGE("https://mitra.stanford.edu/kundaje/oak/projects/neuro-variants/variant_position/credible/roussos_2024/variant_figures/roussos_2024.childhood.GABA/rs79231966_count_position.png",4,220,900)</f>
        <v/>
      </c>
      <c r="T3658">
        <f>IMAGE("https://mitra.stanford.edu/kundaje/oak/projects/neuro-variants/variant_position/credible/roussos_2024/variant_figures/roussos_2024.childhood.GABA/rs79231966_profile_position.png",4,220,900)</f>
        <v/>
      </c>
    </row>
    <row r="3659">
      <c r="A3659" t="inlineStr">
        <is>
          <t>chr7</t>
        </is>
      </c>
      <c r="B3659" t="n">
        <v>8509557</v>
      </c>
      <c r="C3659" t="inlineStr">
        <is>
          <t>C</t>
        </is>
      </c>
      <c r="D3659" t="inlineStr">
        <is>
          <t>G</t>
        </is>
      </c>
      <c r="E3659" t="inlineStr">
        <is>
          <t>rs11972718</t>
        </is>
      </c>
      <c r="F3659" t="n">
        <v>0.011518641356</v>
      </c>
      <c r="G3659" t="n">
        <v>0.5805094196887235</v>
      </c>
      <c r="H3659" t="n">
        <v>0.0070587434363435</v>
      </c>
      <c r="I3659" t="n">
        <v>0.931598006036068</v>
      </c>
      <c r="J3659" t="n">
        <v>0.0579453833427571</v>
      </c>
      <c r="K3659" t="n">
        <v>0.4547607628667961</v>
      </c>
      <c r="L3659" t="b">
        <v>0</v>
      </c>
      <c r="M3659" t="b">
        <v>0</v>
      </c>
      <c r="N3659" t="inlineStr">
        <is>
          <t>alt</t>
        </is>
      </c>
      <c r="O3659" t="n">
        <v>-30</v>
      </c>
      <c r="P3659" t="n">
        <v>0.004616</v>
      </c>
      <c r="Q3659" t="n">
        <v>50</v>
      </c>
      <c r="R3659" t="n">
        <v>0.001099</v>
      </c>
      <c r="S3659">
        <f>IMAGE("https://mitra.stanford.edu/kundaje/oak/projects/neuro-variants/variant_position/credible/roussos_2024/variant_figures/roussos_2024.childhood.GABA/rs11972718_count_position.png",4,220,900)</f>
        <v/>
      </c>
      <c r="T3659">
        <f>IMAGE("https://mitra.stanford.edu/kundaje/oak/projects/neuro-variants/variant_position/credible/roussos_2024/variant_figures/roussos_2024.childhood.GABA/rs11972718_profile_position.png",4,220,900)</f>
        <v/>
      </c>
    </row>
    <row r="3660">
      <c r="A3660" t="inlineStr">
        <is>
          <t>chr7</t>
        </is>
      </c>
      <c r="B3660" t="n">
        <v>8522315</v>
      </c>
      <c r="C3660" t="inlineStr">
        <is>
          <t>T</t>
        </is>
      </c>
      <c r="D3660" t="inlineStr">
        <is>
          <t>C</t>
        </is>
      </c>
      <c r="E3660" t="inlineStr">
        <is>
          <t>rs2040765</t>
        </is>
      </c>
      <c r="F3660" t="n">
        <v>0.0370112284</v>
      </c>
      <c r="G3660" t="n">
        <v>0.1613737670913401</v>
      </c>
      <c r="H3660" t="n">
        <v>0.0148277257725669</v>
      </c>
      <c r="I3660" t="n">
        <v>0.2363815162734726</v>
      </c>
      <c r="J3660" t="n">
        <v>0.1049862830097798</v>
      </c>
      <c r="K3660" t="n">
        <v>0.3387957307254136</v>
      </c>
      <c r="L3660" t="b">
        <v>0</v>
      </c>
      <c r="M3660" t="b">
        <v>0</v>
      </c>
      <c r="N3660" t="inlineStr">
        <is>
          <t>alt</t>
        </is>
      </c>
      <c r="O3660" t="n">
        <v>100</v>
      </c>
      <c r="P3660" t="n">
        <v>0.00812</v>
      </c>
      <c r="Q3660" t="n">
        <v>5</v>
      </c>
      <c r="R3660" t="n">
        <v>0.004883</v>
      </c>
      <c r="S3660">
        <f>IMAGE("https://mitra.stanford.edu/kundaje/oak/projects/neuro-variants/variant_position/credible/roussos_2024/variant_figures/roussos_2024.childhood.GABA/rs2040765_count_position.png",4,220,900)</f>
        <v/>
      </c>
      <c r="T3660">
        <f>IMAGE("https://mitra.stanford.edu/kundaje/oak/projects/neuro-variants/variant_position/credible/roussos_2024/variant_figures/roussos_2024.childhood.GABA/rs2040765_profile_position.png",4,220,900)</f>
        <v/>
      </c>
    </row>
    <row r="3661">
      <c r="A3661" t="inlineStr">
        <is>
          <t>chr7</t>
        </is>
      </c>
      <c r="B3661" t="n">
        <v>8522330</v>
      </c>
      <c r="C3661" t="inlineStr">
        <is>
          <t>A</t>
        </is>
      </c>
      <c r="D3661" t="inlineStr">
        <is>
          <t>G</t>
        </is>
      </c>
      <c r="E3661" t="inlineStr">
        <is>
          <t>rs2040766</t>
        </is>
      </c>
      <c r="F3661" t="n">
        <v>-0.00249275156</v>
      </c>
      <c r="G3661" t="n">
        <v>0.4426107640231992</v>
      </c>
      <c r="H3661" t="n">
        <v>0.0139953412264338</v>
      </c>
      <c r="I3661" t="n">
        <v>0.2841058770889118</v>
      </c>
      <c r="J3661" t="n">
        <v>0.0964011224895813</v>
      </c>
      <c r="K3661" t="n">
        <v>0.3565857765600811</v>
      </c>
      <c r="L3661" t="b">
        <v>0</v>
      </c>
      <c r="M3661" t="b">
        <v>0</v>
      </c>
      <c r="N3661" t="inlineStr">
        <is>
          <t>ref</t>
        </is>
      </c>
      <c r="O3661" t="n">
        <v>100</v>
      </c>
      <c r="P3661" t="n">
        <v>0.014366</v>
      </c>
      <c r="Q3661" t="n">
        <v>-55</v>
      </c>
      <c r="R3661" t="n">
        <v>0.009766</v>
      </c>
      <c r="S3661">
        <f>IMAGE("https://mitra.stanford.edu/kundaje/oak/projects/neuro-variants/variant_position/credible/roussos_2024/variant_figures/roussos_2024.childhood.GABA/rs2040766_count_position.png",4,220,900)</f>
        <v/>
      </c>
      <c r="T3661">
        <f>IMAGE("https://mitra.stanford.edu/kundaje/oak/projects/neuro-variants/variant_position/credible/roussos_2024/variant_figures/roussos_2024.childhood.GABA/rs2040766_profile_position.png",4,220,900)</f>
        <v/>
      </c>
    </row>
    <row r="3662">
      <c r="A3662" t="inlineStr">
        <is>
          <t>chr7</t>
        </is>
      </c>
      <c r="B3662" t="n">
        <v>8522348</v>
      </c>
      <c r="C3662" t="inlineStr">
        <is>
          <t>T</t>
        </is>
      </c>
      <c r="D3662" t="inlineStr">
        <is>
          <t>C</t>
        </is>
      </c>
      <c r="E3662" t="inlineStr">
        <is>
          <t>rs2040767</t>
        </is>
      </c>
      <c r="F3662" t="n">
        <v>0.0479344862</v>
      </c>
      <c r="G3662" t="n">
        <v>0.1506647352202287</v>
      </c>
      <c r="H3662" t="n">
        <v>0.011689053928424</v>
      </c>
      <c r="I3662" t="n">
        <v>0.4666041270884247</v>
      </c>
      <c r="J3662" t="n">
        <v>0.1089568804841783</v>
      </c>
      <c r="K3662" t="n">
        <v>0.3307146302059769</v>
      </c>
      <c r="L3662" t="b">
        <v>0</v>
      </c>
      <c r="M3662" t="b">
        <v>0</v>
      </c>
      <c r="N3662" t="inlineStr">
        <is>
          <t>alt</t>
        </is>
      </c>
      <c r="O3662" t="n">
        <v>100</v>
      </c>
      <c r="P3662" t="n">
        <v>0.01712</v>
      </c>
      <c r="Q3662" t="n">
        <v>-25</v>
      </c>
      <c r="R3662" t="n">
        <v>0.01001</v>
      </c>
      <c r="S3662">
        <f>IMAGE("https://mitra.stanford.edu/kundaje/oak/projects/neuro-variants/variant_position/credible/roussos_2024/variant_figures/roussos_2024.childhood.GABA/rs2040767_count_position.png",4,220,900)</f>
        <v/>
      </c>
      <c r="T3662">
        <f>IMAGE("https://mitra.stanford.edu/kundaje/oak/projects/neuro-variants/variant_position/credible/roussos_2024/variant_figures/roussos_2024.childhood.GABA/rs2040767_profile_position.png",4,220,900)</f>
        <v/>
      </c>
    </row>
    <row r="3663">
      <c r="A3663" t="inlineStr">
        <is>
          <t>chr7</t>
        </is>
      </c>
      <c r="B3663" t="n">
        <v>8527374</v>
      </c>
      <c r="C3663" t="inlineStr">
        <is>
          <t>G</t>
        </is>
      </c>
      <c r="D3663" t="inlineStr">
        <is>
          <t>T</t>
        </is>
      </c>
      <c r="E3663" t="inlineStr">
        <is>
          <t>rs1557841</t>
        </is>
      </c>
      <c r="F3663" t="n">
        <v>0.0204436753999999</v>
      </c>
      <c r="G3663" t="n">
        <v>0.2608180291655816</v>
      </c>
      <c r="H3663" t="n">
        <v>0.0121330303189521</v>
      </c>
      <c r="I3663" t="n">
        <v>0.4205384997599059</v>
      </c>
      <c r="J3663" t="n">
        <v>0.2737136395049318</v>
      </c>
      <c r="K3663" t="n">
        <v>0.1551258263596689</v>
      </c>
      <c r="L3663" t="b">
        <v>0</v>
      </c>
      <c r="M3663" t="b">
        <v>0</v>
      </c>
      <c r="N3663" t="inlineStr">
        <is>
          <t>alt</t>
        </is>
      </c>
      <c r="O3663" t="n">
        <v>-20</v>
      </c>
      <c r="P3663" t="n">
        <v>0.001068</v>
      </c>
      <c r="Q3663" t="n">
        <v>-75</v>
      </c>
      <c r="R3663" t="n">
        <v>0.1245</v>
      </c>
      <c r="S3663">
        <f>IMAGE("https://mitra.stanford.edu/kundaje/oak/projects/neuro-variants/variant_position/credible/roussos_2024/variant_figures/roussos_2024.childhood.GABA/rs1557841_count_position.png",4,220,900)</f>
        <v/>
      </c>
      <c r="T3663">
        <f>IMAGE("https://mitra.stanford.edu/kundaje/oak/projects/neuro-variants/variant_position/credible/roussos_2024/variant_figures/roussos_2024.childhood.GABA/rs1557841_profile_position.png",4,220,900)</f>
        <v/>
      </c>
    </row>
    <row r="3664">
      <c r="A3664" t="inlineStr">
        <is>
          <t>chr7</t>
        </is>
      </c>
      <c r="B3664" t="n">
        <v>16524243</v>
      </c>
      <c r="C3664" t="inlineStr">
        <is>
          <t>T</t>
        </is>
      </c>
      <c r="D3664" t="inlineStr">
        <is>
          <t>G</t>
        </is>
      </c>
      <c r="E3664" t="inlineStr">
        <is>
          <t>rs17464820</t>
        </is>
      </c>
      <c r="F3664" t="n">
        <v>0.0513167498</v>
      </c>
      <c r="G3664" t="n">
        <v>0.1374256408621545</v>
      </c>
      <c r="H3664" t="n">
        <v>0.0177668272885122</v>
      </c>
      <c r="I3664" t="n">
        <v>0.1210039907448557</v>
      </c>
      <c r="J3664" t="n">
        <v>0.0028156478398357</v>
      </c>
      <c r="K3664" t="n">
        <v>0.8544711729130853</v>
      </c>
      <c r="L3664" t="b">
        <v>0</v>
      </c>
      <c r="M3664" t="b">
        <v>0</v>
      </c>
      <c r="N3664" t="inlineStr">
        <is>
          <t>alt</t>
        </is>
      </c>
      <c r="O3664" t="n">
        <v>-35</v>
      </c>
      <c r="P3664" t="n">
        <v>0.00556</v>
      </c>
      <c r="Q3664" t="n">
        <v>-100</v>
      </c>
      <c r="R3664" t="n">
        <v>0.04224</v>
      </c>
      <c r="S3664">
        <f>IMAGE("https://mitra.stanford.edu/kundaje/oak/projects/neuro-variants/variant_position/credible/roussos_2024/variant_figures/roussos_2024.childhood.GABA/rs17464820_count_position.png",4,220,900)</f>
        <v/>
      </c>
      <c r="T3664">
        <f>IMAGE("https://mitra.stanford.edu/kundaje/oak/projects/neuro-variants/variant_position/credible/roussos_2024/variant_figures/roussos_2024.childhood.GABA/rs17464820_profile_position.png",4,220,900)</f>
        <v/>
      </c>
    </row>
    <row r="3665">
      <c r="A3665" t="inlineStr">
        <is>
          <t>chr7</t>
        </is>
      </c>
      <c r="B3665" t="n">
        <v>21439273</v>
      </c>
      <c r="C3665" t="inlineStr">
        <is>
          <t>G</t>
        </is>
      </c>
      <c r="D3665" t="inlineStr">
        <is>
          <t>T</t>
        </is>
      </c>
      <c r="E3665" t="inlineStr">
        <is>
          <t>rs9639377</t>
        </is>
      </c>
      <c r="F3665" t="n">
        <v>-0.20011458</v>
      </c>
      <c r="G3665" t="n">
        <v>0.0053400061448714</v>
      </c>
      <c r="H3665" t="n">
        <v>0.0315866215127505</v>
      </c>
      <c r="I3665" t="n">
        <v>0.0113110732525357</v>
      </c>
      <c r="J3665" t="n">
        <v>0.1025999455508784</v>
      </c>
      <c r="K3665" t="n">
        <v>0.3444944378714412</v>
      </c>
      <c r="L3665" t="b">
        <v>1</v>
      </c>
      <c r="M3665" t="b">
        <v>1</v>
      </c>
      <c r="N3665" t="inlineStr">
        <is>
          <t>ref</t>
        </is>
      </c>
      <c r="O3665" t="n">
        <v>55</v>
      </c>
      <c r="P3665" t="n">
        <v>0.006042</v>
      </c>
      <c r="Q3665" t="n">
        <v>55</v>
      </c>
      <c r="R3665" t="n">
        <v>0.1199</v>
      </c>
      <c r="S3665">
        <f>IMAGE("https://mitra.stanford.edu/kundaje/oak/projects/neuro-variants/variant_position/credible/roussos_2024/variant_figures/roussos_2024.childhood.GABA/rs9639377_count_position.png",4,220,900)</f>
        <v/>
      </c>
      <c r="T3665">
        <f>IMAGE("https://mitra.stanford.edu/kundaje/oak/projects/neuro-variants/variant_position/credible/roussos_2024/variant_figures/roussos_2024.childhood.GABA/rs9639377_profile_position.png",4,220,900)</f>
        <v/>
      </c>
    </row>
    <row r="3666">
      <c r="A3666" t="inlineStr">
        <is>
          <t>chr7</t>
        </is>
      </c>
      <c r="B3666" t="n">
        <v>21460239</v>
      </c>
      <c r="C3666" t="inlineStr">
        <is>
          <t>A</t>
        </is>
      </c>
      <c r="D3666" t="inlineStr">
        <is>
          <t>G</t>
        </is>
      </c>
      <c r="E3666" t="inlineStr">
        <is>
          <t>rs7796796</t>
        </is>
      </c>
      <c r="F3666" t="n">
        <v>0.0533336692</v>
      </c>
      <c r="G3666" t="n">
        <v>0.1275585401957599</v>
      </c>
      <c r="H3666" t="n">
        <v>0.0108744627724555</v>
      </c>
      <c r="I3666" t="n">
        <v>0.5414671706001699</v>
      </c>
      <c r="J3666" t="n">
        <v>0.2264277187912295</v>
      </c>
      <c r="K3666" t="n">
        <v>0.195605583352075</v>
      </c>
      <c r="L3666" t="b">
        <v>0</v>
      </c>
      <c r="M3666" t="b">
        <v>0</v>
      </c>
      <c r="N3666" t="inlineStr">
        <is>
          <t>alt</t>
        </is>
      </c>
      <c r="O3666" t="n">
        <v>60</v>
      </c>
      <c r="P3666" t="n">
        <v>0.001766</v>
      </c>
      <c r="Q3666" t="n">
        <v>95</v>
      </c>
      <c r="R3666" t="n">
        <v>0.1395</v>
      </c>
      <c r="S3666">
        <f>IMAGE("https://mitra.stanford.edu/kundaje/oak/projects/neuro-variants/variant_position/credible/roussos_2024/variant_figures/roussos_2024.childhood.GABA/rs7796796_count_position.png",4,220,900)</f>
        <v/>
      </c>
      <c r="T3666">
        <f>IMAGE("https://mitra.stanford.edu/kundaje/oak/projects/neuro-variants/variant_position/credible/roussos_2024/variant_figures/roussos_2024.childhood.GABA/rs7796796_profile_position.png",4,220,900)</f>
        <v/>
      </c>
    </row>
    <row r="3667">
      <c r="A3667" t="inlineStr">
        <is>
          <t>chr7</t>
        </is>
      </c>
      <c r="B3667" t="n">
        <v>21483576</v>
      </c>
      <c r="C3667" t="inlineStr">
        <is>
          <t>T</t>
        </is>
      </c>
      <c r="D3667" t="inlineStr">
        <is>
          <t>C</t>
        </is>
      </c>
      <c r="E3667" t="inlineStr">
        <is>
          <t>rs6948810</t>
        </is>
      </c>
      <c r="F3667" t="n">
        <v>0.0180115094</v>
      </c>
      <c r="G3667" t="n">
        <v>0.4529542356336988</v>
      </c>
      <c r="H3667" t="n">
        <v>0.0130580512070851</v>
      </c>
      <c r="I3667" t="n">
        <v>0.3488526212561584</v>
      </c>
      <c r="J3667" t="n">
        <v>0.0002314087663085</v>
      </c>
      <c r="K3667" t="n">
        <v>0.9642735264625684</v>
      </c>
      <c r="L3667" t="b">
        <v>0</v>
      </c>
      <c r="M3667" t="b">
        <v>0</v>
      </c>
      <c r="N3667" t="inlineStr">
        <is>
          <t>alt</t>
        </is>
      </c>
      <c r="O3667" t="n">
        <v>100</v>
      </c>
      <c r="P3667" t="n">
        <v>0.008789999999999999</v>
      </c>
      <c r="Q3667" t="n">
        <v>70</v>
      </c>
      <c r="R3667" t="n">
        <v>0.06058</v>
      </c>
      <c r="S3667">
        <f>IMAGE("https://mitra.stanford.edu/kundaje/oak/projects/neuro-variants/variant_position/credible/roussos_2024/variant_figures/roussos_2024.childhood.GABA/rs6948810_count_position.png",4,220,900)</f>
        <v/>
      </c>
      <c r="T3667">
        <f>IMAGE("https://mitra.stanford.edu/kundaje/oak/projects/neuro-variants/variant_position/credible/roussos_2024/variant_figures/roussos_2024.childhood.GABA/rs6948810_profile_position.png",4,220,900)</f>
        <v/>
      </c>
    </row>
    <row r="3668">
      <c r="A3668" t="inlineStr">
        <is>
          <t>chr7</t>
        </is>
      </c>
      <c r="B3668" t="n">
        <v>23680160</v>
      </c>
      <c r="C3668" t="inlineStr">
        <is>
          <t>G</t>
        </is>
      </c>
      <c r="D3668" t="inlineStr">
        <is>
          <t>A</t>
        </is>
      </c>
      <c r="E3668" t="inlineStr">
        <is>
          <t>rs56359038</t>
        </is>
      </c>
      <c r="F3668" t="n">
        <v>-0.09435063319999989</v>
      </c>
      <c r="G3668" t="n">
        <v>0.042537463014077</v>
      </c>
      <c r="H3668" t="n">
        <v>0.0289508179089641</v>
      </c>
      <c r="I3668" t="n">
        <v>0.01576244849937</v>
      </c>
      <c r="J3668" t="n">
        <v>0.894201168561915</v>
      </c>
      <c r="K3668" t="n">
        <v>0.0017928018856802</v>
      </c>
      <c r="L3668" t="b">
        <v>1</v>
      </c>
      <c r="M3668" t="b">
        <v>0</v>
      </c>
      <c r="N3668" t="inlineStr">
        <is>
          <t>ref</t>
        </is>
      </c>
      <c r="O3668" t="n">
        <v>-30</v>
      </c>
      <c r="P3668" t="n">
        <v>0.01782</v>
      </c>
      <c r="Q3668" t="n">
        <v>-30</v>
      </c>
      <c r="R3668" t="n">
        <v>0.1309</v>
      </c>
      <c r="S3668">
        <f>IMAGE("https://mitra.stanford.edu/kundaje/oak/projects/neuro-variants/variant_position/credible/roussos_2024/variant_figures/roussos_2024.childhood.GABA/rs56359038_count_position.png",4,220,900)</f>
        <v/>
      </c>
      <c r="T3668">
        <f>IMAGE("https://mitra.stanford.edu/kundaje/oak/projects/neuro-variants/variant_position/credible/roussos_2024/variant_figures/roussos_2024.childhood.GABA/rs56359038_profile_position.png",4,220,900)</f>
        <v/>
      </c>
    </row>
    <row r="3669">
      <c r="A3669" t="inlineStr">
        <is>
          <t>chr7</t>
        </is>
      </c>
      <c r="B3669" t="n">
        <v>23867010</v>
      </c>
      <c r="C3669" t="inlineStr">
        <is>
          <t>G</t>
        </is>
      </c>
      <c r="D3669" t="inlineStr">
        <is>
          <t>T</t>
        </is>
      </c>
      <c r="E3669" t="inlineStr">
        <is>
          <t>rs6966655</t>
        </is>
      </c>
      <c r="F3669" t="n">
        <v>-0.0701510036</v>
      </c>
      <c r="G3669" t="n">
        <v>0.0749709584930368</v>
      </c>
      <c r="H3669" t="n">
        <v>0.0191574752978697</v>
      </c>
      <c r="I3669" t="n">
        <v>0.0894769520807436</v>
      </c>
      <c r="J3669" t="n">
        <v>0.0039601264894975</v>
      </c>
      <c r="K3669" t="n">
        <v>0.834185241089765</v>
      </c>
      <c r="L3669" t="b">
        <v>0</v>
      </c>
      <c r="M3669" t="b">
        <v>0</v>
      </c>
      <c r="N3669" t="inlineStr">
        <is>
          <t>ref</t>
        </is>
      </c>
      <c r="O3669" t="n">
        <v>-70</v>
      </c>
      <c r="P3669" t="n">
        <v>0.007812</v>
      </c>
      <c r="Q3669" t="n">
        <v>-100</v>
      </c>
      <c r="R3669" t="n">
        <v>0.0567</v>
      </c>
      <c r="S3669">
        <f>IMAGE("https://mitra.stanford.edu/kundaje/oak/projects/neuro-variants/variant_position/credible/roussos_2024/variant_figures/roussos_2024.childhood.GABA/rs6966655_count_position.png",4,220,900)</f>
        <v/>
      </c>
      <c r="T3669">
        <f>IMAGE("https://mitra.stanford.edu/kundaje/oak/projects/neuro-variants/variant_position/credible/roussos_2024/variant_figures/roussos_2024.childhood.GABA/rs6966655_profile_position.png",4,220,900)</f>
        <v/>
      </c>
    </row>
    <row r="3670">
      <c r="A3670" t="inlineStr">
        <is>
          <t>chr7</t>
        </is>
      </c>
      <c r="B3670" t="n">
        <v>23871880</v>
      </c>
      <c r="C3670" t="inlineStr">
        <is>
          <t>A</t>
        </is>
      </c>
      <c r="D3670" t="inlineStr">
        <is>
          <t>G</t>
        </is>
      </c>
      <c r="E3670" t="inlineStr">
        <is>
          <t>rs2106747</t>
        </is>
      </c>
      <c r="F3670" t="n">
        <v>0.00484142676</v>
      </c>
      <c r="G3670" t="n">
        <v>0.7646288620070895</v>
      </c>
      <c r="H3670" t="n">
        <v>0.0197200028040314</v>
      </c>
      <c r="I3670" t="n">
        <v>0.0795640709285711</v>
      </c>
      <c r="J3670" t="n">
        <v>0.0008167368222654</v>
      </c>
      <c r="K3670" t="n">
        <v>0.9184993305336796</v>
      </c>
      <c r="L3670" t="b">
        <v>0</v>
      </c>
      <c r="M3670" t="b">
        <v>0</v>
      </c>
      <c r="N3670" t="inlineStr">
        <is>
          <t>alt</t>
        </is>
      </c>
      <c r="O3670" t="n">
        <v>-100</v>
      </c>
      <c r="P3670" t="n">
        <v>0.01228</v>
      </c>
      <c r="Q3670" t="n">
        <v>-55</v>
      </c>
      <c r="R3670" t="n">
        <v>0.04395</v>
      </c>
      <c r="S3670">
        <f>IMAGE("https://mitra.stanford.edu/kundaje/oak/projects/neuro-variants/variant_position/credible/roussos_2024/variant_figures/roussos_2024.childhood.GABA/rs2106747_count_position.png",4,220,900)</f>
        <v/>
      </c>
      <c r="T3670">
        <f>IMAGE("https://mitra.stanford.edu/kundaje/oak/projects/neuro-variants/variant_position/credible/roussos_2024/variant_figures/roussos_2024.childhood.GABA/rs2106747_profile_position.png",4,220,900)</f>
        <v/>
      </c>
    </row>
    <row r="3671">
      <c r="A3671" t="inlineStr">
        <is>
          <t>chr7</t>
        </is>
      </c>
      <c r="B3671" t="n">
        <v>23877113</v>
      </c>
      <c r="C3671" t="inlineStr">
        <is>
          <t>C</t>
        </is>
      </c>
      <c r="D3671" t="inlineStr">
        <is>
          <t>T</t>
        </is>
      </c>
      <c r="E3671" t="inlineStr">
        <is>
          <t>rs9769098</t>
        </is>
      </c>
      <c r="F3671" t="n">
        <v>-0.097477258</v>
      </c>
      <c r="G3671" t="n">
        <v>0.0326576886379683</v>
      </c>
      <c r="H3671" t="n">
        <v>0.0186873275251392</v>
      </c>
      <c r="I3671" t="n">
        <v>0.1087918694596326</v>
      </c>
      <c r="J3671" t="n">
        <v>0.0544574982722874</v>
      </c>
      <c r="K3671" t="n">
        <v>0.473750243577176</v>
      </c>
      <c r="L3671" t="b">
        <v>0</v>
      </c>
      <c r="M3671" t="b">
        <v>0</v>
      </c>
      <c r="N3671" t="inlineStr">
        <is>
          <t>ref</t>
        </is>
      </c>
      <c r="O3671" t="n">
        <v>100</v>
      </c>
      <c r="P3671" t="n">
        <v>0.01251</v>
      </c>
      <c r="Q3671" t="n">
        <v>100</v>
      </c>
      <c r="R3671" t="n">
        <v>0.05884</v>
      </c>
      <c r="S3671">
        <f>IMAGE("https://mitra.stanford.edu/kundaje/oak/projects/neuro-variants/variant_position/credible/roussos_2024/variant_figures/roussos_2024.childhood.GABA/rs9769098_count_position.png",4,220,900)</f>
        <v/>
      </c>
      <c r="T3671">
        <f>IMAGE("https://mitra.stanford.edu/kundaje/oak/projects/neuro-variants/variant_position/credible/roussos_2024/variant_figures/roussos_2024.childhood.GABA/rs9769098_profile_position.png",4,220,900)</f>
        <v/>
      </c>
    </row>
    <row r="3672">
      <c r="A3672" t="inlineStr">
        <is>
          <t>chr7</t>
        </is>
      </c>
      <c r="B3672" t="n">
        <v>23878123</v>
      </c>
      <c r="C3672" t="inlineStr">
        <is>
          <t>C</t>
        </is>
      </c>
      <c r="D3672" t="inlineStr">
        <is>
          <t>T</t>
        </is>
      </c>
      <c r="E3672" t="inlineStr">
        <is>
          <t>rs13244145</t>
        </is>
      </c>
      <c r="F3672" t="n">
        <v>0.0189698674</v>
      </c>
      <c r="G3672" t="n">
        <v>0.418448069054827</v>
      </c>
      <c r="H3672" t="n">
        <v>0.0171671478388966</v>
      </c>
      <c r="I3672" t="n">
        <v>0.1378227258481705</v>
      </c>
      <c r="J3672" t="n">
        <v>0.036983518669766</v>
      </c>
      <c r="K3672" t="n">
        <v>0.5423574169419113</v>
      </c>
      <c r="L3672" t="b">
        <v>0</v>
      </c>
      <c r="M3672" t="b">
        <v>0</v>
      </c>
      <c r="N3672" t="inlineStr">
        <is>
          <t>alt</t>
        </is>
      </c>
      <c r="O3672" t="n">
        <v>-100</v>
      </c>
      <c r="P3672" t="n">
        <v>0.005444</v>
      </c>
      <c r="Q3672" t="n">
        <v>25</v>
      </c>
      <c r="R3672" t="n">
        <v>0.0365</v>
      </c>
      <c r="S3672">
        <f>IMAGE("https://mitra.stanford.edu/kundaje/oak/projects/neuro-variants/variant_position/credible/roussos_2024/variant_figures/roussos_2024.childhood.GABA/rs13244145_count_position.png",4,220,900)</f>
        <v/>
      </c>
      <c r="T3672">
        <f>IMAGE("https://mitra.stanford.edu/kundaje/oak/projects/neuro-variants/variant_position/credible/roussos_2024/variant_figures/roussos_2024.childhood.GABA/rs13244145_profile_position.png",4,220,900)</f>
        <v/>
      </c>
    </row>
    <row r="3673">
      <c r="A3673" t="inlineStr">
        <is>
          <t>chr7</t>
        </is>
      </c>
      <c r="B3673" t="n">
        <v>23894634</v>
      </c>
      <c r="C3673" t="inlineStr">
        <is>
          <t>C</t>
        </is>
      </c>
      <c r="D3673" t="inlineStr">
        <is>
          <t>T</t>
        </is>
      </c>
      <c r="E3673" t="inlineStr">
        <is>
          <t>rs146616002</t>
        </is>
      </c>
      <c r="F3673" t="n">
        <v>-0.0432393544</v>
      </c>
      <c r="G3673" t="n">
        <v>0.1879913444131925</v>
      </c>
      <c r="H3673" t="n">
        <v>0.0116837304614048</v>
      </c>
      <c r="I3673" t="n">
        <v>0.4581966298327127</v>
      </c>
      <c r="J3673" t="n">
        <v>0.1890651504680529</v>
      </c>
      <c r="K3673" t="n">
        <v>0.2257512417295311</v>
      </c>
      <c r="L3673" t="b">
        <v>0</v>
      </c>
      <c r="M3673" t="b">
        <v>0</v>
      </c>
      <c r="N3673" t="inlineStr">
        <is>
          <t>ref</t>
        </is>
      </c>
      <c r="O3673" t="n">
        <v>100</v>
      </c>
      <c r="P3673" t="n">
        <v>0.00992</v>
      </c>
      <c r="Q3673" t="n">
        <v>-95</v>
      </c>
      <c r="R3673" t="n">
        <v>0.2146</v>
      </c>
      <c r="S3673">
        <f>IMAGE("https://mitra.stanford.edu/kundaje/oak/projects/neuro-variants/variant_position/credible/roussos_2024/variant_figures/roussos_2024.childhood.GABA/rs146616002_count_position.png",4,220,900)</f>
        <v/>
      </c>
      <c r="T3673">
        <f>IMAGE("https://mitra.stanford.edu/kundaje/oak/projects/neuro-variants/variant_position/credible/roussos_2024/variant_figures/roussos_2024.childhood.GABA/rs146616002_profile_position.png",4,220,900)</f>
        <v/>
      </c>
    </row>
    <row r="3674">
      <c r="A3674" t="inlineStr">
        <is>
          <t>chr7</t>
        </is>
      </c>
      <c r="B3674" t="n">
        <v>24732158</v>
      </c>
      <c r="C3674" t="inlineStr">
        <is>
          <t>T</t>
        </is>
      </c>
      <c r="D3674" t="inlineStr">
        <is>
          <t>C</t>
        </is>
      </c>
      <c r="E3674" t="inlineStr">
        <is>
          <t>rs17150022</t>
        </is>
      </c>
      <c r="F3674" t="n">
        <v>-0.00380044492</v>
      </c>
      <c r="G3674" t="n">
        <v>0.4774216686065816</v>
      </c>
      <c r="H3674" t="n">
        <v>0.0076200715509139</v>
      </c>
      <c r="I3674" t="n">
        <v>0.8965487135889002</v>
      </c>
      <c r="J3674" t="n">
        <v>0.1682854809323364</v>
      </c>
      <c r="K3674" t="n">
        <v>0.2513667551987494</v>
      </c>
      <c r="L3674" t="b">
        <v>0</v>
      </c>
      <c r="M3674" t="b">
        <v>0</v>
      </c>
      <c r="N3674" t="inlineStr">
        <is>
          <t>ref</t>
        </is>
      </c>
      <c r="O3674" t="n">
        <v>100</v>
      </c>
      <c r="P3674" t="n">
        <v>0.01643</v>
      </c>
      <c r="Q3674" t="n">
        <v>-80</v>
      </c>
      <c r="R3674" t="n">
        <v>0.08500000000000001</v>
      </c>
      <c r="S3674">
        <f>IMAGE("https://mitra.stanford.edu/kundaje/oak/projects/neuro-variants/variant_position/credible/roussos_2024/variant_figures/roussos_2024.childhood.GABA/rs17150022_count_position.png",4,220,900)</f>
        <v/>
      </c>
      <c r="T3674">
        <f>IMAGE("https://mitra.stanford.edu/kundaje/oak/projects/neuro-variants/variant_position/credible/roussos_2024/variant_figures/roussos_2024.childhood.GABA/rs17150022_profile_position.png",4,220,900)</f>
        <v/>
      </c>
    </row>
    <row r="3675">
      <c r="A3675" t="inlineStr">
        <is>
          <t>chr7</t>
        </is>
      </c>
      <c r="B3675" t="n">
        <v>24734849</v>
      </c>
      <c r="C3675" t="inlineStr">
        <is>
          <t>G</t>
        </is>
      </c>
      <c r="D3675" t="inlineStr">
        <is>
          <t>T</t>
        </is>
      </c>
      <c r="E3675" t="inlineStr">
        <is>
          <t>rs80195870</t>
        </is>
      </c>
      <c r="F3675" t="n">
        <v>-0.0168471826599999</v>
      </c>
      <c r="G3675" t="n">
        <v>0.4746635774939846</v>
      </c>
      <c r="H3675" t="n">
        <v>0.0104474683063149</v>
      </c>
      <c r="I3675" t="n">
        <v>0.5948011536487043</v>
      </c>
      <c r="J3675" t="n">
        <v>0.0137777219325249</v>
      </c>
      <c r="K3675" t="n">
        <v>0.6984443174017405</v>
      </c>
      <c r="L3675" t="b">
        <v>0</v>
      </c>
      <c r="M3675" t="b">
        <v>0</v>
      </c>
      <c r="N3675" t="inlineStr">
        <is>
          <t>ref</t>
        </is>
      </c>
      <c r="O3675" t="n">
        <v>-100</v>
      </c>
      <c r="P3675" t="n">
        <v>0.01555</v>
      </c>
      <c r="Q3675" t="n">
        <v>-90</v>
      </c>
      <c r="R3675" t="n">
        <v>0.1245</v>
      </c>
      <c r="S3675">
        <f>IMAGE("https://mitra.stanford.edu/kundaje/oak/projects/neuro-variants/variant_position/credible/roussos_2024/variant_figures/roussos_2024.childhood.GABA/rs80195870_count_position.png",4,220,900)</f>
        <v/>
      </c>
      <c r="T3675">
        <f>IMAGE("https://mitra.stanford.edu/kundaje/oak/projects/neuro-variants/variant_position/credible/roussos_2024/variant_figures/roussos_2024.childhood.GABA/rs80195870_profile_position.png",4,220,900)</f>
        <v/>
      </c>
    </row>
    <row r="3676">
      <c r="A3676" t="inlineStr">
        <is>
          <t>chr7</t>
        </is>
      </c>
      <c r="B3676" t="n">
        <v>24737142</v>
      </c>
      <c r="C3676" t="inlineStr">
        <is>
          <t>G</t>
        </is>
      </c>
      <c r="D3676" t="inlineStr">
        <is>
          <t>A</t>
        </is>
      </c>
      <c r="E3676" t="inlineStr">
        <is>
          <t>rs114829110</t>
        </is>
      </c>
      <c r="F3676" t="n">
        <v>0.0071036158</v>
      </c>
      <c r="G3676" t="n">
        <v>0.702323836025048</v>
      </c>
      <c r="H3676" t="n">
        <v>0.0287829637984264</v>
      </c>
      <c r="I3676" t="n">
        <v>0.0149719194985866</v>
      </c>
      <c r="J3676" t="n">
        <v>2.931875772235136e-05</v>
      </c>
      <c r="K3676" t="n">
        <v>0.9945001558515948</v>
      </c>
      <c r="L3676" t="b">
        <v>0</v>
      </c>
      <c r="M3676" t="b">
        <v>0</v>
      </c>
      <c r="N3676" t="inlineStr">
        <is>
          <t>alt</t>
        </is>
      </c>
      <c r="O3676" t="n">
        <v>-30</v>
      </c>
      <c r="P3676" t="n">
        <v>0.0006638</v>
      </c>
      <c r="Q3676" t="n">
        <v>-90</v>
      </c>
      <c r="R3676" t="n">
        <v>0.0595</v>
      </c>
      <c r="S3676">
        <f>IMAGE("https://mitra.stanford.edu/kundaje/oak/projects/neuro-variants/variant_position/credible/roussos_2024/variant_figures/roussos_2024.childhood.GABA/rs114829110_count_position.png",4,220,900)</f>
        <v/>
      </c>
      <c r="T3676">
        <f>IMAGE("https://mitra.stanford.edu/kundaje/oak/projects/neuro-variants/variant_position/credible/roussos_2024/variant_figures/roussos_2024.childhood.GABA/rs114829110_profile_position.png",4,220,900)</f>
        <v/>
      </c>
    </row>
    <row r="3677">
      <c r="A3677" t="inlineStr">
        <is>
          <t>chr7</t>
        </is>
      </c>
      <c r="B3677" t="n">
        <v>24741837</v>
      </c>
      <c r="C3677" t="inlineStr">
        <is>
          <t>T</t>
        </is>
      </c>
      <c r="D3677" t="inlineStr">
        <is>
          <t>C</t>
        </is>
      </c>
      <c r="E3677" t="inlineStr">
        <is>
          <t>rs11509873</t>
        </is>
      </c>
      <c r="F3677" t="n">
        <v>0.07003572199999999</v>
      </c>
      <c r="G3677" t="n">
        <v>0.0649730992014891</v>
      </c>
      <c r="H3677" t="n">
        <v>0.0122542883532737</v>
      </c>
      <c r="I3677" t="n">
        <v>0.4139246378129272</v>
      </c>
      <c r="J3677" t="n">
        <v>0.4507005088898662</v>
      </c>
      <c r="K3677" t="n">
        <v>0.0668256926992578</v>
      </c>
      <c r="L3677" t="b">
        <v>0</v>
      </c>
      <c r="M3677" t="b">
        <v>0</v>
      </c>
      <c r="N3677" t="inlineStr">
        <is>
          <t>alt</t>
        </is>
      </c>
      <c r="O3677" t="n">
        <v>-100</v>
      </c>
      <c r="P3677" t="n">
        <v>0.00254</v>
      </c>
      <c r="Q3677" t="n">
        <v>-40</v>
      </c>
      <c r="R3677" t="n">
        <v>0.06836</v>
      </c>
      <c r="S3677">
        <f>IMAGE("https://mitra.stanford.edu/kundaje/oak/projects/neuro-variants/variant_position/credible/roussos_2024/variant_figures/roussos_2024.childhood.GABA/rs11509873_count_position.png",4,220,900)</f>
        <v/>
      </c>
      <c r="T3677">
        <f>IMAGE("https://mitra.stanford.edu/kundaje/oak/projects/neuro-variants/variant_position/credible/roussos_2024/variant_figures/roussos_2024.childhood.GABA/rs11509873_profile_position.png",4,220,900)</f>
        <v/>
      </c>
    </row>
    <row r="3678">
      <c r="A3678" t="inlineStr">
        <is>
          <t>chr7</t>
        </is>
      </c>
      <c r="B3678" t="n">
        <v>24788436</v>
      </c>
      <c r="C3678" t="inlineStr">
        <is>
          <t>C</t>
        </is>
      </c>
      <c r="D3678" t="inlineStr">
        <is>
          <t>T</t>
        </is>
      </c>
      <c r="E3678" t="inlineStr">
        <is>
          <t>rs2391000</t>
        </is>
      </c>
      <c r="F3678" t="n">
        <v>0.00367661036</v>
      </c>
      <c r="G3678" t="n">
        <v>0.663388718278499</v>
      </c>
      <c r="H3678" t="n">
        <v>0.0068567677950878</v>
      </c>
      <c r="I3678" t="n">
        <v>0.9519001921002508</v>
      </c>
      <c r="J3678" t="n">
        <v>0.5105275282193042</v>
      </c>
      <c r="K3678" t="n">
        <v>0.0492541834567392</v>
      </c>
      <c r="L3678" t="b">
        <v>0</v>
      </c>
      <c r="M3678" t="b">
        <v>0</v>
      </c>
      <c r="N3678" t="inlineStr">
        <is>
          <t>alt</t>
        </is>
      </c>
      <c r="O3678" t="n">
        <v>-45</v>
      </c>
      <c r="P3678" t="n">
        <v>0.0963</v>
      </c>
      <c r="Q3678" t="n">
        <v>-55</v>
      </c>
      <c r="R3678" t="n">
        <v>0.582</v>
      </c>
      <c r="S3678">
        <f>IMAGE("https://mitra.stanford.edu/kundaje/oak/projects/neuro-variants/variant_position/credible/roussos_2024/variant_figures/roussos_2024.childhood.GABA/rs2391000_count_position.png",4,220,900)</f>
        <v/>
      </c>
      <c r="T3678">
        <f>IMAGE("https://mitra.stanford.edu/kundaje/oak/projects/neuro-variants/variant_position/credible/roussos_2024/variant_figures/roussos_2024.childhood.GABA/rs2391000_profile_position.png",4,220,900)</f>
        <v/>
      </c>
    </row>
    <row r="3679">
      <c r="A3679" t="inlineStr">
        <is>
          <t>chr7</t>
        </is>
      </c>
      <c r="B3679" t="n">
        <v>24789520</v>
      </c>
      <c r="C3679" t="inlineStr">
        <is>
          <t>C</t>
        </is>
      </c>
      <c r="D3679" t="inlineStr">
        <is>
          <t>T</t>
        </is>
      </c>
      <c r="E3679" t="inlineStr">
        <is>
          <t>rs113041465</t>
        </is>
      </c>
      <c r="F3679" t="n">
        <v>-0.0621237933999999</v>
      </c>
      <c r="G3679" t="n">
        <v>0.0940568012185005</v>
      </c>
      <c r="H3679" t="n">
        <v>0.0119912181492576</v>
      </c>
      <c r="I3679" t="n">
        <v>0.4399987369606056</v>
      </c>
      <c r="J3679" t="n">
        <v>0.213354694142531</v>
      </c>
      <c r="K3679" t="n">
        <v>0.2054596417655058</v>
      </c>
      <c r="L3679" t="b">
        <v>0</v>
      </c>
      <c r="M3679" t="b">
        <v>0</v>
      </c>
      <c r="N3679" t="inlineStr">
        <is>
          <t>ref</t>
        </is>
      </c>
      <c r="O3679" t="n">
        <v>65</v>
      </c>
      <c r="P3679" t="n">
        <v>0.00657</v>
      </c>
      <c r="Q3679" t="n">
        <v>15</v>
      </c>
      <c r="R3679" t="n">
        <v>0.011475</v>
      </c>
      <c r="S3679">
        <f>IMAGE("https://mitra.stanford.edu/kundaje/oak/projects/neuro-variants/variant_position/credible/roussos_2024/variant_figures/roussos_2024.childhood.GABA/rs113041465_count_position.png",4,220,900)</f>
        <v/>
      </c>
      <c r="T3679">
        <f>IMAGE("https://mitra.stanford.edu/kundaje/oak/projects/neuro-variants/variant_position/credible/roussos_2024/variant_figures/roussos_2024.childhood.GABA/rs113041465_profile_position.png",4,220,900)</f>
        <v/>
      </c>
    </row>
    <row r="3680">
      <c r="A3680" t="inlineStr">
        <is>
          <t>chr7</t>
        </is>
      </c>
      <c r="B3680" t="n">
        <v>24790454</v>
      </c>
      <c r="C3680" t="inlineStr">
        <is>
          <t>G</t>
        </is>
      </c>
      <c r="D3680" t="inlineStr">
        <is>
          <t>A</t>
        </is>
      </c>
      <c r="E3680" t="inlineStr">
        <is>
          <t>rs150936052</t>
        </is>
      </c>
      <c r="F3680" t="n">
        <v>-0.0709978072</v>
      </c>
      <c r="G3680" t="n">
        <v>0.0740517797292887</v>
      </c>
      <c r="H3680" t="n">
        <v>0.0211640921617637</v>
      </c>
      <c r="I3680" t="n">
        <v>0.0597461738410824</v>
      </c>
      <c r="J3680" t="n">
        <v>0.0434409750581139</v>
      </c>
      <c r="K3680" t="n">
        <v>0.5187977311560467</v>
      </c>
      <c r="L3680" t="b">
        <v>0</v>
      </c>
      <c r="M3680" t="b">
        <v>0</v>
      </c>
      <c r="N3680" t="inlineStr">
        <is>
          <t>ref</t>
        </is>
      </c>
      <c r="O3680" t="n">
        <v>-100</v>
      </c>
      <c r="P3680" t="n">
        <v>0.00895</v>
      </c>
      <c r="Q3680" t="n">
        <v>85</v>
      </c>
      <c r="R3680" t="n">
        <v>0.0716</v>
      </c>
      <c r="S3680">
        <f>IMAGE("https://mitra.stanford.edu/kundaje/oak/projects/neuro-variants/variant_position/credible/roussos_2024/variant_figures/roussos_2024.childhood.GABA/rs150936052_count_position.png",4,220,900)</f>
        <v/>
      </c>
      <c r="T3680">
        <f>IMAGE("https://mitra.stanford.edu/kundaje/oak/projects/neuro-variants/variant_position/credible/roussos_2024/variant_figures/roussos_2024.childhood.GABA/rs150936052_profile_position.png",4,220,900)</f>
        <v/>
      </c>
    </row>
    <row r="3681">
      <c r="A3681" t="inlineStr">
        <is>
          <t>chr7</t>
        </is>
      </c>
      <c r="B3681" t="n">
        <v>24799761</v>
      </c>
      <c r="C3681" t="inlineStr">
        <is>
          <t>G</t>
        </is>
      </c>
      <c r="D3681" t="inlineStr">
        <is>
          <t>A</t>
        </is>
      </c>
      <c r="E3681" t="inlineStr">
        <is>
          <t>rs115354522</t>
        </is>
      </c>
      <c r="F3681" t="n">
        <v>-0.101986274</v>
      </c>
      <c r="G3681" t="n">
        <v>0.0277710452302192</v>
      </c>
      <c r="H3681" t="n">
        <v>0.0155767734261468</v>
      </c>
      <c r="I3681" t="n">
        <v>0.1974299480182712</v>
      </c>
      <c r="J3681" t="n">
        <v>0.0617515863542124</v>
      </c>
      <c r="K3681" t="n">
        <v>0.4470551495010519</v>
      </c>
      <c r="L3681" t="b">
        <v>0</v>
      </c>
      <c r="M3681" t="b">
        <v>0</v>
      </c>
      <c r="N3681" t="inlineStr">
        <is>
          <t>ref</t>
        </is>
      </c>
      <c r="O3681" t="n">
        <v>15</v>
      </c>
      <c r="P3681" t="n">
        <v>0.003601</v>
      </c>
      <c r="Q3681" t="n">
        <v>-95</v>
      </c>
      <c r="R3681" t="n">
        <v>0.0759</v>
      </c>
      <c r="S3681">
        <f>IMAGE("https://mitra.stanford.edu/kundaje/oak/projects/neuro-variants/variant_position/credible/roussos_2024/variant_figures/roussos_2024.childhood.GABA/rs115354522_count_position.png",4,220,900)</f>
        <v/>
      </c>
      <c r="T3681">
        <f>IMAGE("https://mitra.stanford.edu/kundaje/oak/projects/neuro-variants/variant_position/credible/roussos_2024/variant_figures/roussos_2024.childhood.GABA/rs115354522_profile_position.png",4,220,900)</f>
        <v/>
      </c>
    </row>
    <row r="3682">
      <c r="A3682" t="inlineStr">
        <is>
          <t>chr7</t>
        </is>
      </c>
      <c r="B3682" t="n">
        <v>24805117</v>
      </c>
      <c r="C3682" t="inlineStr">
        <is>
          <t>T</t>
        </is>
      </c>
      <c r="D3682" t="inlineStr">
        <is>
          <t>G</t>
        </is>
      </c>
      <c r="E3682" t="inlineStr">
        <is>
          <t>rs79631004</t>
        </is>
      </c>
      <c r="F3682" t="n">
        <v>-0.0031650665</v>
      </c>
      <c r="G3682" t="n">
        <v>0.7301065584954655</v>
      </c>
      <c r="H3682" t="n">
        <v>0.0155605217090189</v>
      </c>
      <c r="I3682" t="n">
        <v>0.1986001712090534</v>
      </c>
      <c r="J3682" t="n">
        <v>0.0221230968984942</v>
      </c>
      <c r="K3682" t="n">
        <v>0.6325255726091391</v>
      </c>
      <c r="L3682" t="b">
        <v>0</v>
      </c>
      <c r="M3682" t="b">
        <v>0</v>
      </c>
      <c r="N3682" t="inlineStr">
        <is>
          <t>ref</t>
        </is>
      </c>
      <c r="O3682" t="n">
        <v>65</v>
      </c>
      <c r="P3682" t="n">
        <v>0.0081</v>
      </c>
      <c r="Q3682" t="n">
        <v>100</v>
      </c>
      <c r="R3682" t="n">
        <v>0.0742</v>
      </c>
      <c r="S3682">
        <f>IMAGE("https://mitra.stanford.edu/kundaje/oak/projects/neuro-variants/variant_position/credible/roussos_2024/variant_figures/roussos_2024.childhood.GABA/rs79631004_count_position.png",4,220,900)</f>
        <v/>
      </c>
      <c r="T3682">
        <f>IMAGE("https://mitra.stanford.edu/kundaje/oak/projects/neuro-variants/variant_position/credible/roussos_2024/variant_figures/roussos_2024.childhood.GABA/rs79631004_profile_position.png",4,220,900)</f>
        <v/>
      </c>
    </row>
    <row r="3683">
      <c r="A3683" t="inlineStr">
        <is>
          <t>chr7</t>
        </is>
      </c>
      <c r="B3683" t="n">
        <v>71296756</v>
      </c>
      <c r="C3683" t="inlineStr">
        <is>
          <t>A</t>
        </is>
      </c>
      <c r="D3683" t="inlineStr">
        <is>
          <t>T</t>
        </is>
      </c>
      <c r="E3683" t="inlineStr">
        <is>
          <t>rs6976562</t>
        </is>
      </c>
      <c r="F3683" t="n">
        <v>-0.00341722502</v>
      </c>
      <c r="G3683" t="n">
        <v>0.8532567924965258</v>
      </c>
      <c r="H3683" t="n">
        <v>0.0241853815981613</v>
      </c>
      <c r="I3683" t="n">
        <v>0.0338810049716933</v>
      </c>
      <c r="J3683" t="n">
        <v>0.0246162384033841</v>
      </c>
      <c r="K3683" t="n">
        <v>0.6343304027986851</v>
      </c>
      <c r="L3683" t="b">
        <v>0</v>
      </c>
      <c r="M3683" t="b">
        <v>0</v>
      </c>
      <c r="N3683" t="inlineStr">
        <is>
          <t>ref</t>
        </is>
      </c>
      <c r="O3683" t="n">
        <v>-95</v>
      </c>
      <c r="P3683" t="n">
        <v>0.008070000000000001</v>
      </c>
      <c r="Q3683" t="n">
        <v>-80</v>
      </c>
      <c r="R3683" t="n">
        <v>0.06383999999999999</v>
      </c>
      <c r="S3683">
        <f>IMAGE("https://mitra.stanford.edu/kundaje/oak/projects/neuro-variants/variant_position/credible/roussos_2024/variant_figures/roussos_2024.childhood.GABA/rs6976562_count_position.png",4,220,900)</f>
        <v/>
      </c>
      <c r="T3683">
        <f>IMAGE("https://mitra.stanford.edu/kundaje/oak/projects/neuro-variants/variant_position/credible/roussos_2024/variant_figures/roussos_2024.childhood.GABA/rs6976562_profile_position.png",4,220,900)</f>
        <v/>
      </c>
    </row>
    <row r="3684">
      <c r="A3684" t="inlineStr">
        <is>
          <t>chr7</t>
        </is>
      </c>
      <c r="B3684" t="n">
        <v>71296858</v>
      </c>
      <c r="C3684" t="inlineStr">
        <is>
          <t>T</t>
        </is>
      </c>
      <c r="D3684" t="inlineStr">
        <is>
          <t>A</t>
        </is>
      </c>
      <c r="E3684" t="inlineStr">
        <is>
          <t>rs6942815</t>
        </is>
      </c>
      <c r="F3684" t="n">
        <v>0.0018238441</v>
      </c>
      <c r="G3684" t="n">
        <v>0.8086000315323622</v>
      </c>
      <c r="H3684" t="n">
        <v>0.0218764141765323</v>
      </c>
      <c r="I3684" t="n">
        <v>0.0516465739316026</v>
      </c>
      <c r="J3684" t="n">
        <v>0.0299354987330107</v>
      </c>
      <c r="K3684" t="n">
        <v>0.6027744773211627</v>
      </c>
      <c r="L3684" t="b">
        <v>0</v>
      </c>
      <c r="M3684" t="b">
        <v>0</v>
      </c>
      <c r="N3684" t="inlineStr">
        <is>
          <t>alt</t>
        </is>
      </c>
      <c r="O3684" t="n">
        <v>-100</v>
      </c>
      <c r="P3684" t="n">
        <v>0.00769</v>
      </c>
      <c r="Q3684" t="n">
        <v>100</v>
      </c>
      <c r="R3684" t="n">
        <v>0.11975</v>
      </c>
      <c r="S3684">
        <f>IMAGE("https://mitra.stanford.edu/kundaje/oak/projects/neuro-variants/variant_position/credible/roussos_2024/variant_figures/roussos_2024.childhood.GABA/rs6942815_count_position.png",4,220,900)</f>
        <v/>
      </c>
      <c r="T3684">
        <f>IMAGE("https://mitra.stanford.edu/kundaje/oak/projects/neuro-variants/variant_position/credible/roussos_2024/variant_figures/roussos_2024.childhood.GABA/rs6942815_profile_position.png",4,220,900)</f>
        <v/>
      </c>
    </row>
    <row r="3685">
      <c r="A3685" t="inlineStr">
        <is>
          <t>chr7</t>
        </is>
      </c>
      <c r="B3685" t="n">
        <v>71299005</v>
      </c>
      <c r="C3685" t="inlineStr">
        <is>
          <t>T</t>
        </is>
      </c>
      <c r="D3685" t="inlineStr">
        <is>
          <t>C</t>
        </is>
      </c>
      <c r="E3685" t="inlineStr">
        <is>
          <t>rs10261998</t>
        </is>
      </c>
      <c r="F3685" t="n">
        <v>0.0523593809999999</v>
      </c>
      <c r="G3685" t="n">
        <v>0.1243224442900281</v>
      </c>
      <c r="H3685" t="n">
        <v>0.0126340341823743</v>
      </c>
      <c r="I3685" t="n">
        <v>0.3764509214833659</v>
      </c>
      <c r="J3685" t="n">
        <v>0.1700980084186718</v>
      </c>
      <c r="K3685" t="n">
        <v>0.252883820712717</v>
      </c>
      <c r="L3685" t="b">
        <v>0</v>
      </c>
      <c r="M3685" t="b">
        <v>0</v>
      </c>
      <c r="N3685" t="inlineStr">
        <is>
          <t>alt</t>
        </is>
      </c>
      <c r="O3685" t="n">
        <v>-95</v>
      </c>
      <c r="P3685" t="n">
        <v>0.009690000000000001</v>
      </c>
      <c r="Q3685" t="n">
        <v>100</v>
      </c>
      <c r="R3685" t="n">
        <v>0.11115</v>
      </c>
      <c r="S3685">
        <f>IMAGE("https://mitra.stanford.edu/kundaje/oak/projects/neuro-variants/variant_position/credible/roussos_2024/variant_figures/roussos_2024.childhood.GABA/rs10261998_count_position.png",4,220,900)</f>
        <v/>
      </c>
      <c r="T3685">
        <f>IMAGE("https://mitra.stanford.edu/kundaje/oak/projects/neuro-variants/variant_position/credible/roussos_2024/variant_figures/roussos_2024.childhood.GABA/rs10261998_profile_position.png",4,220,900)</f>
        <v/>
      </c>
    </row>
    <row r="3686">
      <c r="A3686" t="inlineStr">
        <is>
          <t>chr7</t>
        </is>
      </c>
      <c r="B3686" t="n">
        <v>71301450</v>
      </c>
      <c r="C3686" t="inlineStr">
        <is>
          <t>G</t>
        </is>
      </c>
      <c r="D3686" t="inlineStr">
        <is>
          <t>T</t>
        </is>
      </c>
      <c r="E3686" t="inlineStr">
        <is>
          <t>rs28799658</t>
        </is>
      </c>
      <c r="F3686" t="n">
        <v>0.01107006918</v>
      </c>
      <c r="G3686" t="n">
        <v>0.5831661830688536</v>
      </c>
      <c r="H3686" t="n">
        <v>0.0493902787053012</v>
      </c>
      <c r="I3686" t="n">
        <v>0.0018341081449075</v>
      </c>
      <c r="J3686" t="n">
        <v>0.0288381395154027</v>
      </c>
      <c r="K3686" t="n">
        <v>0.5977494301675205</v>
      </c>
      <c r="L3686" t="b">
        <v>1</v>
      </c>
      <c r="M3686" t="b">
        <v>0</v>
      </c>
      <c r="N3686" t="inlineStr">
        <is>
          <t>alt</t>
        </is>
      </c>
      <c r="O3686" t="n">
        <v>-95</v>
      </c>
      <c r="P3686" t="n">
        <v>0.02032</v>
      </c>
      <c r="Q3686" t="n">
        <v>-100</v>
      </c>
      <c r="R3686" t="n">
        <v>0.1045</v>
      </c>
      <c r="S3686">
        <f>IMAGE("https://mitra.stanford.edu/kundaje/oak/projects/neuro-variants/variant_position/credible/roussos_2024/variant_figures/roussos_2024.childhood.GABA/rs28799658_count_position.png",4,220,900)</f>
        <v/>
      </c>
      <c r="T3686">
        <f>IMAGE("https://mitra.stanford.edu/kundaje/oak/projects/neuro-variants/variant_position/credible/roussos_2024/variant_figures/roussos_2024.childhood.GABA/rs28799658_profile_position.png",4,220,900)</f>
        <v/>
      </c>
    </row>
    <row r="3687">
      <c r="A3687" t="inlineStr">
        <is>
          <t>chr7</t>
        </is>
      </c>
      <c r="B3687" t="n">
        <v>71303668</v>
      </c>
      <c r="C3687" t="inlineStr">
        <is>
          <t>G</t>
        </is>
      </c>
      <c r="D3687" t="inlineStr">
        <is>
          <t>T</t>
        </is>
      </c>
      <c r="E3687" t="inlineStr">
        <is>
          <t>rs3923570</t>
        </is>
      </c>
      <c r="F3687" t="n">
        <v>-0.0641392428</v>
      </c>
      <c r="G3687" t="n">
        <v>0.09164687453876839</v>
      </c>
      <c r="H3687" t="n">
        <v>0.0127657387967552</v>
      </c>
      <c r="I3687" t="n">
        <v>0.3701586855394932</v>
      </c>
      <c r="J3687" t="n">
        <v>0.1080773177525078</v>
      </c>
      <c r="K3687" t="n">
        <v>0.341145870084979</v>
      </c>
      <c r="L3687" t="b">
        <v>0</v>
      </c>
      <c r="M3687" t="b">
        <v>0</v>
      </c>
      <c r="N3687" t="inlineStr">
        <is>
          <t>ref</t>
        </is>
      </c>
      <c r="O3687" t="n">
        <v>100</v>
      </c>
      <c r="P3687" t="n">
        <v>0.01656</v>
      </c>
      <c r="Q3687" t="n">
        <v>100</v>
      </c>
      <c r="R3687" t="n">
        <v>0.2379</v>
      </c>
      <c r="S3687">
        <f>IMAGE("https://mitra.stanford.edu/kundaje/oak/projects/neuro-variants/variant_position/credible/roussos_2024/variant_figures/roussos_2024.childhood.GABA/rs3923570_count_position.png",4,220,900)</f>
        <v/>
      </c>
      <c r="T3687">
        <f>IMAGE("https://mitra.stanford.edu/kundaje/oak/projects/neuro-variants/variant_position/credible/roussos_2024/variant_figures/roussos_2024.childhood.GABA/rs3923570_profile_position.png",4,220,900)</f>
        <v/>
      </c>
    </row>
    <row r="3688">
      <c r="A3688" t="inlineStr">
        <is>
          <t>chr7</t>
        </is>
      </c>
      <c r="B3688" t="n">
        <v>71304276</v>
      </c>
      <c r="C3688" t="inlineStr">
        <is>
          <t>T</t>
        </is>
      </c>
      <c r="D3688" t="inlineStr">
        <is>
          <t>C</t>
        </is>
      </c>
      <c r="E3688" t="inlineStr">
        <is>
          <t>rs6964131</t>
        </is>
      </c>
      <c r="F3688" t="n">
        <v>-0.0735155948</v>
      </c>
      <c r="G3688" t="n">
        <v>0.0745122948385136</v>
      </c>
      <c r="H3688" t="n">
        <v>0.0261538223667652</v>
      </c>
      <c r="I3688" t="n">
        <v>0.0253403765968897</v>
      </c>
      <c r="J3688" t="n">
        <v>0.1280339678750182</v>
      </c>
      <c r="K3688" t="n">
        <v>0.3045412291363933</v>
      </c>
      <c r="L3688" t="b">
        <v>0</v>
      </c>
      <c r="M3688" t="b">
        <v>0</v>
      </c>
      <c r="N3688" t="inlineStr">
        <is>
          <t>ref</t>
        </is>
      </c>
      <c r="O3688" t="n">
        <v>10</v>
      </c>
      <c r="P3688" t="n">
        <v>0.001949</v>
      </c>
      <c r="Q3688" t="n">
        <v>-15</v>
      </c>
      <c r="R3688" t="n">
        <v>0.009520000000000001</v>
      </c>
      <c r="S3688">
        <f>IMAGE("https://mitra.stanford.edu/kundaje/oak/projects/neuro-variants/variant_position/credible/roussos_2024/variant_figures/roussos_2024.childhood.GABA/rs6964131_count_position.png",4,220,900)</f>
        <v/>
      </c>
      <c r="T3688">
        <f>IMAGE("https://mitra.stanford.edu/kundaje/oak/projects/neuro-variants/variant_position/credible/roussos_2024/variant_figures/roussos_2024.childhood.GABA/rs6964131_profile_position.png",4,220,900)</f>
        <v/>
      </c>
    </row>
    <row r="3689">
      <c r="A3689" t="inlineStr">
        <is>
          <t>chr7</t>
        </is>
      </c>
      <c r="B3689" t="n">
        <v>71311932</v>
      </c>
      <c r="C3689" t="inlineStr">
        <is>
          <t>G</t>
        </is>
      </c>
      <c r="D3689" t="inlineStr">
        <is>
          <t>A</t>
        </is>
      </c>
      <c r="E3689" t="inlineStr">
        <is>
          <t>rs73356099</t>
        </is>
      </c>
      <c r="F3689" t="n">
        <v>-0.0651940776</v>
      </c>
      <c r="G3689" t="n">
        <v>0.0850973723844121</v>
      </c>
      <c r="H3689" t="n">
        <v>0.0140702519604412</v>
      </c>
      <c r="I3689" t="n">
        <v>0.2778539342117636</v>
      </c>
      <c r="J3689" t="n">
        <v>0.2600929823459194</v>
      </c>
      <c r="K3689" t="n">
        <v>0.1673934685778616</v>
      </c>
      <c r="L3689" t="b">
        <v>0</v>
      </c>
      <c r="M3689" t="b">
        <v>0</v>
      </c>
      <c r="N3689" t="inlineStr">
        <is>
          <t>ref</t>
        </is>
      </c>
      <c r="O3689" t="n">
        <v>-70</v>
      </c>
      <c r="P3689" t="n">
        <v>0.010506</v>
      </c>
      <c r="Q3689" t="n">
        <v>-20</v>
      </c>
      <c r="R3689" t="n">
        <v>0.03088</v>
      </c>
      <c r="S3689">
        <f>IMAGE("https://mitra.stanford.edu/kundaje/oak/projects/neuro-variants/variant_position/credible/roussos_2024/variant_figures/roussos_2024.childhood.GABA/rs73356099_count_position.png",4,220,900)</f>
        <v/>
      </c>
      <c r="T3689">
        <f>IMAGE("https://mitra.stanford.edu/kundaje/oak/projects/neuro-variants/variant_position/credible/roussos_2024/variant_figures/roussos_2024.childhood.GABA/rs73356099_profile_position.png",4,220,900)</f>
        <v/>
      </c>
    </row>
    <row r="3690">
      <c r="A3690" t="inlineStr">
        <is>
          <t>chr7</t>
        </is>
      </c>
      <c r="B3690" t="n">
        <v>71315719</v>
      </c>
      <c r="C3690" t="inlineStr">
        <is>
          <t>C</t>
        </is>
      </c>
      <c r="D3690" t="inlineStr">
        <is>
          <t>T</t>
        </is>
      </c>
      <c r="E3690" t="inlineStr">
        <is>
          <t>rs12534549</t>
        </is>
      </c>
      <c r="F3690" t="n">
        <v>-0.0652836544</v>
      </c>
      <c r="G3690" t="n">
        <v>0.0847941590630797</v>
      </c>
      <c r="H3690" t="n">
        <v>0.0167122452360351</v>
      </c>
      <c r="I3690" t="n">
        <v>0.1574386675124201</v>
      </c>
      <c r="J3690" t="n">
        <v>0.0413206006156938</v>
      </c>
      <c r="K3690" t="n">
        <v>0.5477691212403136</v>
      </c>
      <c r="L3690" t="b">
        <v>0</v>
      </c>
      <c r="M3690" t="b">
        <v>0</v>
      </c>
      <c r="N3690" t="inlineStr">
        <is>
          <t>ref</t>
        </is>
      </c>
      <c r="O3690" t="n">
        <v>-5</v>
      </c>
      <c r="P3690" t="n">
        <v>0.0001926</v>
      </c>
      <c r="Q3690" t="n">
        <v>95</v>
      </c>
      <c r="R3690" t="n">
        <v>0.04102</v>
      </c>
      <c r="S3690">
        <f>IMAGE("https://mitra.stanford.edu/kundaje/oak/projects/neuro-variants/variant_position/credible/roussos_2024/variant_figures/roussos_2024.childhood.GABA/rs12534549_count_position.png",4,220,900)</f>
        <v/>
      </c>
      <c r="T3690">
        <f>IMAGE("https://mitra.stanford.edu/kundaje/oak/projects/neuro-variants/variant_position/credible/roussos_2024/variant_figures/roussos_2024.childhood.GABA/rs12534549_profile_position.png",4,220,900)</f>
        <v/>
      </c>
    </row>
    <row r="3691">
      <c r="A3691" t="inlineStr">
        <is>
          <t>chr7</t>
        </is>
      </c>
      <c r="B3691" t="n">
        <v>71317799</v>
      </c>
      <c r="C3691" t="inlineStr">
        <is>
          <t>C</t>
        </is>
      </c>
      <c r="D3691" t="inlineStr">
        <is>
          <t>G</t>
        </is>
      </c>
      <c r="E3691" t="inlineStr">
        <is>
          <t>rs73179792</t>
        </is>
      </c>
      <c r="F3691" t="n">
        <v>0.1000046927999999</v>
      </c>
      <c r="G3691" t="n">
        <v>0.0302011256348854</v>
      </c>
      <c r="H3691" t="n">
        <v>0.0186570340637624</v>
      </c>
      <c r="I3691" t="n">
        <v>0.1001419204510809</v>
      </c>
      <c r="J3691" t="n">
        <v>0.1315867730518732</v>
      </c>
      <c r="K3691" t="n">
        <v>0.3038153005979961</v>
      </c>
      <c r="L3691" t="b">
        <v>0</v>
      </c>
      <c r="M3691" t="b">
        <v>0</v>
      </c>
      <c r="N3691" t="inlineStr">
        <is>
          <t>alt</t>
        </is>
      </c>
      <c r="O3691" t="n">
        <v>-5</v>
      </c>
      <c r="P3691" t="n">
        <v>0.000351</v>
      </c>
      <c r="Q3691" t="n">
        <v>50</v>
      </c>
      <c r="R3691" t="n">
        <v>0.0246</v>
      </c>
      <c r="S3691">
        <f>IMAGE("https://mitra.stanford.edu/kundaje/oak/projects/neuro-variants/variant_position/credible/roussos_2024/variant_figures/roussos_2024.childhood.GABA/rs73179792_count_position.png",4,220,900)</f>
        <v/>
      </c>
      <c r="T3691">
        <f>IMAGE("https://mitra.stanford.edu/kundaje/oak/projects/neuro-variants/variant_position/credible/roussos_2024/variant_figures/roussos_2024.childhood.GABA/rs73179792_profile_position.png",4,220,900)</f>
        <v/>
      </c>
    </row>
    <row r="3692">
      <c r="A3692" t="inlineStr">
        <is>
          <t>chr7</t>
        </is>
      </c>
      <c r="B3692" t="n">
        <v>71320065</v>
      </c>
      <c r="C3692" t="inlineStr">
        <is>
          <t>A</t>
        </is>
      </c>
      <c r="D3692" t="inlineStr">
        <is>
          <t>G</t>
        </is>
      </c>
      <c r="E3692" t="inlineStr">
        <is>
          <t>rs28678480</t>
        </is>
      </c>
      <c r="F3692" t="n">
        <v>-0.047119012</v>
      </c>
      <c r="G3692" t="n">
        <v>0.1677853885531138</v>
      </c>
      <c r="H3692" t="n">
        <v>0.0125369651684592</v>
      </c>
      <c r="I3692" t="n">
        <v>0.3866929674802756</v>
      </c>
      <c r="J3692" t="n">
        <v>0.1036407614500219</v>
      </c>
      <c r="K3692" t="n">
        <v>0.3532788966533935</v>
      </c>
      <c r="L3692" t="b">
        <v>0</v>
      </c>
      <c r="M3692" t="b">
        <v>0</v>
      </c>
      <c r="N3692" t="inlineStr">
        <is>
          <t>ref</t>
        </is>
      </c>
      <c r="O3692" t="n">
        <v>60</v>
      </c>
      <c r="P3692" t="n">
        <v>0.01619</v>
      </c>
      <c r="Q3692" t="n">
        <v>-90</v>
      </c>
      <c r="R3692" t="n">
        <v>0.04004</v>
      </c>
      <c r="S3692">
        <f>IMAGE("https://mitra.stanford.edu/kundaje/oak/projects/neuro-variants/variant_position/credible/roussos_2024/variant_figures/roussos_2024.childhood.GABA/rs28678480_count_position.png",4,220,900)</f>
        <v/>
      </c>
      <c r="T3692">
        <f>IMAGE("https://mitra.stanford.edu/kundaje/oak/projects/neuro-variants/variant_position/credible/roussos_2024/variant_figures/roussos_2024.childhood.GABA/rs28678480_profile_position.png",4,220,900)</f>
        <v/>
      </c>
    </row>
    <row r="3693">
      <c r="A3693" t="inlineStr">
        <is>
          <t>chr7</t>
        </is>
      </c>
      <c r="B3693" t="n">
        <v>71326774</v>
      </c>
      <c r="C3693" t="inlineStr">
        <is>
          <t>G</t>
        </is>
      </c>
      <c r="D3693" t="inlineStr">
        <is>
          <t>A</t>
        </is>
      </c>
      <c r="E3693" t="inlineStr">
        <is>
          <t>rs12668780</t>
        </is>
      </c>
      <c r="F3693" t="n">
        <v>0.0462010293999999</v>
      </c>
      <c r="G3693" t="n">
        <v>0.1040357057321219</v>
      </c>
      <c r="H3693" t="n">
        <v>0.0186898011479626</v>
      </c>
      <c r="I3693" t="n">
        <v>0.100532993361771</v>
      </c>
      <c r="J3693" t="n">
        <v>0.0261994513203911</v>
      </c>
      <c r="K3693" t="n">
        <v>0.619888575435368</v>
      </c>
      <c r="L3693" t="b">
        <v>0</v>
      </c>
      <c r="M3693" t="b">
        <v>0</v>
      </c>
      <c r="N3693" t="inlineStr">
        <is>
          <t>alt</t>
        </is>
      </c>
      <c r="O3693" t="n">
        <v>-70</v>
      </c>
      <c r="P3693" t="n">
        <v>0.014145</v>
      </c>
      <c r="Q3693" t="n">
        <v>20</v>
      </c>
      <c r="R3693" t="n">
        <v>0.012085</v>
      </c>
      <c r="S3693">
        <f>IMAGE("https://mitra.stanford.edu/kundaje/oak/projects/neuro-variants/variant_position/credible/roussos_2024/variant_figures/roussos_2024.childhood.GABA/rs12668780_count_position.png",4,220,900)</f>
        <v/>
      </c>
      <c r="T3693">
        <f>IMAGE("https://mitra.stanford.edu/kundaje/oak/projects/neuro-variants/variant_position/credible/roussos_2024/variant_figures/roussos_2024.childhood.GABA/rs12668780_profile_position.png",4,220,900)</f>
        <v/>
      </c>
    </row>
    <row r="3694">
      <c r="A3694" t="inlineStr">
        <is>
          <t>chr7</t>
        </is>
      </c>
      <c r="B3694" t="n">
        <v>71344341</v>
      </c>
      <c r="C3694" t="inlineStr">
        <is>
          <t>G</t>
        </is>
      </c>
      <c r="D3694" t="inlineStr">
        <is>
          <t>A</t>
        </is>
      </c>
      <c r="E3694" t="inlineStr">
        <is>
          <t>rs7385083</t>
        </is>
      </c>
      <c r="F3694" t="n">
        <v>0.06644598393999999</v>
      </c>
      <c r="G3694" t="n">
        <v>0.0893629669152595</v>
      </c>
      <c r="H3694" t="n">
        <v>0.023123628274629</v>
      </c>
      <c r="I3694" t="n">
        <v>0.0500673461757704</v>
      </c>
      <c r="J3694" t="n">
        <v>0.1754978953320349</v>
      </c>
      <c r="K3694" t="n">
        <v>0.2376481382268237</v>
      </c>
      <c r="L3694" t="b">
        <v>0</v>
      </c>
      <c r="M3694" t="b">
        <v>0</v>
      </c>
      <c r="N3694" t="inlineStr">
        <is>
          <t>alt</t>
        </is>
      </c>
      <c r="O3694" t="n">
        <v>100</v>
      </c>
      <c r="P3694" t="n">
        <v>0.003311</v>
      </c>
      <c r="Q3694" t="n">
        <v>-15</v>
      </c>
      <c r="R3694" t="n">
        <v>0.02002</v>
      </c>
      <c r="S3694">
        <f>IMAGE("https://mitra.stanford.edu/kundaje/oak/projects/neuro-variants/variant_position/credible/roussos_2024/variant_figures/roussos_2024.childhood.GABA/rs7385083_count_position.png",4,220,900)</f>
        <v/>
      </c>
      <c r="T3694">
        <f>IMAGE("https://mitra.stanford.edu/kundaje/oak/projects/neuro-variants/variant_position/credible/roussos_2024/variant_figures/roussos_2024.childhood.GABA/rs7385083_profile_position.png",4,220,900)</f>
        <v/>
      </c>
    </row>
    <row r="3695">
      <c r="A3695" t="inlineStr">
        <is>
          <t>chr7</t>
        </is>
      </c>
      <c r="B3695" t="n">
        <v>71348898</v>
      </c>
      <c r="C3695" t="inlineStr">
        <is>
          <t>A</t>
        </is>
      </c>
      <c r="D3695" t="inlineStr">
        <is>
          <t>G</t>
        </is>
      </c>
      <c r="E3695" t="inlineStr">
        <is>
          <t>rs73181662</t>
        </is>
      </c>
      <c r="F3695" t="n">
        <v>0.0496895739999999</v>
      </c>
      <c r="G3695" t="n">
        <v>0.1406457378078366</v>
      </c>
      <c r="H3695" t="n">
        <v>0.0129338987255908</v>
      </c>
      <c r="I3695" t="n">
        <v>0.3558744021305717</v>
      </c>
      <c r="J3695" t="n">
        <v>0.2533213964105464</v>
      </c>
      <c r="K3695" t="n">
        <v>0.168072578858926</v>
      </c>
      <c r="L3695" t="b">
        <v>0</v>
      </c>
      <c r="M3695" t="b">
        <v>0</v>
      </c>
      <c r="N3695" t="inlineStr">
        <is>
          <t>alt</t>
        </is>
      </c>
      <c r="O3695" t="n">
        <v>100</v>
      </c>
      <c r="P3695" t="n">
        <v>0.00534</v>
      </c>
      <c r="Q3695" t="n">
        <v>100</v>
      </c>
      <c r="R3695" t="n">
        <v>0.1105</v>
      </c>
      <c r="S3695">
        <f>IMAGE("https://mitra.stanford.edu/kundaje/oak/projects/neuro-variants/variant_position/credible/roussos_2024/variant_figures/roussos_2024.childhood.GABA/rs73181662_count_position.png",4,220,900)</f>
        <v/>
      </c>
      <c r="T3695">
        <f>IMAGE("https://mitra.stanford.edu/kundaje/oak/projects/neuro-variants/variant_position/credible/roussos_2024/variant_figures/roussos_2024.childhood.GABA/rs73181662_profile_position.png",4,220,900)</f>
        <v/>
      </c>
    </row>
    <row r="3696">
      <c r="A3696" t="inlineStr">
        <is>
          <t>chr7</t>
        </is>
      </c>
      <c r="B3696" t="n">
        <v>71349139</v>
      </c>
      <c r="C3696" t="inlineStr">
        <is>
          <t>C</t>
        </is>
      </c>
      <c r="D3696" t="inlineStr">
        <is>
          <t>T</t>
        </is>
      </c>
      <c r="E3696" t="inlineStr">
        <is>
          <t>rs9654908</t>
        </is>
      </c>
      <c r="F3696" t="n">
        <v>-0.0530176296</v>
      </c>
      <c r="G3696" t="n">
        <v>0.1435520807169688</v>
      </c>
      <c r="H3696" t="n">
        <v>0.0109498231533601</v>
      </c>
      <c r="I3696" t="n">
        <v>0.5388826082574888</v>
      </c>
      <c r="J3696" t="n">
        <v>0.3340736319658227</v>
      </c>
      <c r="K3696" t="n">
        <v>0.1164678948716714</v>
      </c>
      <c r="L3696" t="b">
        <v>0</v>
      </c>
      <c r="M3696" t="b">
        <v>0</v>
      </c>
      <c r="N3696" t="inlineStr">
        <is>
          <t>ref</t>
        </is>
      </c>
      <c r="O3696" t="n">
        <v>100</v>
      </c>
      <c r="P3696" t="n">
        <v>0.00427</v>
      </c>
      <c r="Q3696" t="n">
        <v>-20</v>
      </c>
      <c r="R3696" t="n">
        <v>0.03027</v>
      </c>
      <c r="S3696">
        <f>IMAGE("https://mitra.stanford.edu/kundaje/oak/projects/neuro-variants/variant_position/credible/roussos_2024/variant_figures/roussos_2024.childhood.GABA/rs9654908_count_position.png",4,220,900)</f>
        <v/>
      </c>
      <c r="T3696">
        <f>IMAGE("https://mitra.stanford.edu/kundaje/oak/projects/neuro-variants/variant_position/credible/roussos_2024/variant_figures/roussos_2024.childhood.GABA/rs9654908_profile_position.png",4,220,900)</f>
        <v/>
      </c>
    </row>
    <row r="3697">
      <c r="A3697" t="inlineStr">
        <is>
          <t>chr7</t>
        </is>
      </c>
      <c r="B3697" t="n">
        <v>71349164</v>
      </c>
      <c r="C3697" t="inlineStr">
        <is>
          <t>A</t>
        </is>
      </c>
      <c r="D3697" t="inlineStr">
        <is>
          <t>G</t>
        </is>
      </c>
      <c r="E3697" t="inlineStr">
        <is>
          <t>rs2527310</t>
        </is>
      </c>
      <c r="F3697" t="n">
        <v>0.0221674834</v>
      </c>
      <c r="G3697" t="n">
        <v>0.371278906738593</v>
      </c>
      <c r="H3697" t="n">
        <v>0.0110832781790578</v>
      </c>
      <c r="I3697" t="n">
        <v>0.5133725442628044</v>
      </c>
      <c r="J3697" t="n">
        <v>0.346147724654981</v>
      </c>
      <c r="K3697" t="n">
        <v>0.1102530163589073</v>
      </c>
      <c r="L3697" t="b">
        <v>0</v>
      </c>
      <c r="M3697" t="b">
        <v>0</v>
      </c>
      <c r="N3697" t="inlineStr">
        <is>
          <t>alt</t>
        </is>
      </c>
      <c r="O3697" t="n">
        <v>80</v>
      </c>
      <c r="P3697" t="n">
        <v>0.008529999999999999</v>
      </c>
      <c r="Q3697" t="n">
        <v>-45</v>
      </c>
      <c r="R3697" t="n">
        <v>0.1321</v>
      </c>
      <c r="S3697">
        <f>IMAGE("https://mitra.stanford.edu/kundaje/oak/projects/neuro-variants/variant_position/credible/roussos_2024/variant_figures/roussos_2024.childhood.GABA/rs2527310_count_position.png",4,220,900)</f>
        <v/>
      </c>
      <c r="T3697">
        <f>IMAGE("https://mitra.stanford.edu/kundaje/oak/projects/neuro-variants/variant_position/credible/roussos_2024/variant_figures/roussos_2024.childhood.GABA/rs2527310_profile_position.png",4,220,900)</f>
        <v/>
      </c>
    </row>
    <row r="3698">
      <c r="A3698" t="inlineStr">
        <is>
          <t>chr7</t>
        </is>
      </c>
      <c r="B3698" t="n">
        <v>71354911</v>
      </c>
      <c r="C3698" t="inlineStr">
        <is>
          <t>T</t>
        </is>
      </c>
      <c r="D3698" t="inlineStr">
        <is>
          <t>C</t>
        </is>
      </c>
      <c r="E3698" t="inlineStr">
        <is>
          <t>rs2141885</t>
        </is>
      </c>
      <c r="F3698" t="n">
        <v>0.258940568</v>
      </c>
      <c r="G3698" t="n">
        <v>0.0022076707026792</v>
      </c>
      <c r="H3698" t="n">
        <v>0.0290233863376965</v>
      </c>
      <c r="I3698" t="n">
        <v>0.0176157915659867</v>
      </c>
      <c r="J3698" t="n">
        <v>0.0022428849657598</v>
      </c>
      <c r="K3698" t="n">
        <v>0.8896254940383668</v>
      </c>
      <c r="L3698" t="b">
        <v>1</v>
      </c>
      <c r="M3698" t="b">
        <v>1</v>
      </c>
      <c r="N3698" t="inlineStr">
        <is>
          <t>alt</t>
        </is>
      </c>
      <c r="O3698" t="n">
        <v>15</v>
      </c>
      <c r="P3698" t="n">
        <v>0.0004425</v>
      </c>
      <c r="Q3698" t="n">
        <v>30</v>
      </c>
      <c r="R3698" t="n">
        <v>0.02087</v>
      </c>
      <c r="S3698">
        <f>IMAGE("https://mitra.stanford.edu/kundaje/oak/projects/neuro-variants/variant_position/credible/roussos_2024/variant_figures/roussos_2024.childhood.GABA/rs2141885_count_position.png",4,220,900)</f>
        <v/>
      </c>
      <c r="T3698">
        <f>IMAGE("https://mitra.stanford.edu/kundaje/oak/projects/neuro-variants/variant_position/credible/roussos_2024/variant_figures/roussos_2024.childhood.GABA/rs2141885_profile_position.png",4,220,900)</f>
        <v/>
      </c>
    </row>
    <row r="3699">
      <c r="A3699" t="inlineStr">
        <is>
          <t>chr7</t>
        </is>
      </c>
      <c r="B3699" t="n">
        <v>71362977</v>
      </c>
      <c r="C3699" t="inlineStr">
        <is>
          <t>T</t>
        </is>
      </c>
      <c r="D3699" t="inlineStr">
        <is>
          <t>C</t>
        </is>
      </c>
      <c r="E3699" t="inlineStr">
        <is>
          <t>rs7791195</t>
        </is>
      </c>
      <c r="F3699" t="n">
        <v>-0.003684663024</v>
      </c>
      <c r="G3699" t="n">
        <v>0.824592642646379</v>
      </c>
      <c r="H3699" t="n">
        <v>0.0269634244559725</v>
      </c>
      <c r="I3699" t="n">
        <v>0.0202112914548755</v>
      </c>
      <c r="J3699" t="n">
        <v>0.2907771564993403</v>
      </c>
      <c r="K3699" t="n">
        <v>0.143186641875316</v>
      </c>
      <c r="L3699" t="b">
        <v>0</v>
      </c>
      <c r="M3699" t="b">
        <v>0</v>
      </c>
      <c r="N3699" t="inlineStr">
        <is>
          <t>ref</t>
        </is>
      </c>
      <c r="O3699" t="n">
        <v>-85</v>
      </c>
      <c r="P3699" t="n">
        <v>0.003056</v>
      </c>
      <c r="Q3699" t="n">
        <v>-100</v>
      </c>
      <c r="R3699" t="n">
        <v>0.1409</v>
      </c>
      <c r="S3699">
        <f>IMAGE("https://mitra.stanford.edu/kundaje/oak/projects/neuro-variants/variant_position/credible/roussos_2024/variant_figures/roussos_2024.childhood.GABA/rs7791195_count_position.png",4,220,900)</f>
        <v/>
      </c>
      <c r="T3699">
        <f>IMAGE("https://mitra.stanford.edu/kundaje/oak/projects/neuro-variants/variant_position/credible/roussos_2024/variant_figures/roussos_2024.childhood.GABA/rs7791195_profile_position.png",4,220,900)</f>
        <v/>
      </c>
    </row>
    <row r="3700">
      <c r="A3700" t="inlineStr">
        <is>
          <t>chr7</t>
        </is>
      </c>
      <c r="B3700" t="n">
        <v>72242898</v>
      </c>
      <c r="C3700" t="inlineStr">
        <is>
          <t>T</t>
        </is>
      </c>
      <c r="D3700" t="inlineStr">
        <is>
          <t>C</t>
        </is>
      </c>
      <c r="E3700" t="inlineStr">
        <is>
          <t>rs7799227</t>
        </is>
      </c>
      <c r="F3700" t="n">
        <v>-0.00537302872</v>
      </c>
      <c r="G3700" t="n">
        <v>0.7902325030421123</v>
      </c>
      <c r="H3700" t="n">
        <v>0.0424433766287859</v>
      </c>
      <c r="I3700" t="n">
        <v>0.003216988539888</v>
      </c>
      <c r="J3700" t="n">
        <v>0.0160844799061799</v>
      </c>
      <c r="K3700" t="n">
        <v>0.6856527307352904</v>
      </c>
      <c r="L3700" t="b">
        <v>1</v>
      </c>
      <c r="M3700" t="b">
        <v>0</v>
      </c>
      <c r="N3700" t="inlineStr">
        <is>
          <t>ref</t>
        </is>
      </c>
      <c r="O3700" t="n">
        <v>-75</v>
      </c>
      <c r="P3700" t="n">
        <v>0.01105</v>
      </c>
      <c r="Q3700" t="n">
        <v>50</v>
      </c>
      <c r="R3700" t="n">
        <v>0.0745</v>
      </c>
      <c r="S3700">
        <f>IMAGE("https://mitra.stanford.edu/kundaje/oak/projects/neuro-variants/variant_position/credible/roussos_2024/variant_figures/roussos_2024.childhood.GABA/rs7799227_count_position.png",4,220,900)</f>
        <v/>
      </c>
      <c r="T3700">
        <f>IMAGE("https://mitra.stanford.edu/kundaje/oak/projects/neuro-variants/variant_position/credible/roussos_2024/variant_figures/roussos_2024.childhood.GABA/rs7799227_profile_position.png",4,220,900)</f>
        <v/>
      </c>
    </row>
    <row r="3701">
      <c r="A3701" t="inlineStr">
        <is>
          <t>chr7</t>
        </is>
      </c>
      <c r="B3701" t="n">
        <v>72258110</v>
      </c>
      <c r="C3701" t="inlineStr">
        <is>
          <t>C</t>
        </is>
      </c>
      <c r="D3701" t="inlineStr">
        <is>
          <t>T</t>
        </is>
      </c>
      <c r="E3701" t="inlineStr">
        <is>
          <t>rs13231507</t>
        </is>
      </c>
      <c r="F3701" t="n">
        <v>0.00083664056</v>
      </c>
      <c r="G3701" t="n">
        <v>0.8917471758949905</v>
      </c>
      <c r="H3701" t="n">
        <v>0.0197294770251154</v>
      </c>
      <c r="I3701" t="n">
        <v>0.0798322263331788</v>
      </c>
      <c r="J3701" t="n">
        <v>0.1101107830202508</v>
      </c>
      <c r="K3701" t="n">
        <v>0.3431065763991409</v>
      </c>
      <c r="L3701" t="b">
        <v>0</v>
      </c>
      <c r="M3701" t="b">
        <v>0</v>
      </c>
      <c r="N3701" t="inlineStr">
        <is>
          <t>alt</t>
        </is>
      </c>
      <c r="O3701" t="n">
        <v>95</v>
      </c>
      <c r="P3701" t="n">
        <v>0.01399</v>
      </c>
      <c r="Q3701" t="n">
        <v>95</v>
      </c>
      <c r="R3701" t="n">
        <v>0.2198</v>
      </c>
      <c r="S3701">
        <f>IMAGE("https://mitra.stanford.edu/kundaje/oak/projects/neuro-variants/variant_position/credible/roussos_2024/variant_figures/roussos_2024.childhood.GABA/rs13231507_count_position.png",4,220,900)</f>
        <v/>
      </c>
      <c r="T3701">
        <f>IMAGE("https://mitra.stanford.edu/kundaje/oak/projects/neuro-variants/variant_position/credible/roussos_2024/variant_figures/roussos_2024.childhood.GABA/rs13231507_profile_position.png",4,220,900)</f>
        <v/>
      </c>
    </row>
    <row r="3702">
      <c r="A3702" t="inlineStr">
        <is>
          <t>chr7</t>
        </is>
      </c>
      <c r="B3702" t="n">
        <v>72260351</v>
      </c>
      <c r="C3702" t="inlineStr">
        <is>
          <t>C</t>
        </is>
      </c>
      <c r="D3702" t="inlineStr">
        <is>
          <t>T</t>
        </is>
      </c>
      <c r="E3702" t="inlineStr">
        <is>
          <t>rs7801170</t>
        </is>
      </c>
      <c r="F3702" t="n">
        <v>0.032566446</v>
      </c>
      <c r="G3702" t="n">
        <v>0.2694767153399854</v>
      </c>
      <c r="H3702" t="n">
        <v>0.0226585447969949</v>
      </c>
      <c r="I3702" t="n">
        <v>0.0441759344029252</v>
      </c>
      <c r="J3702" t="n">
        <v>0.0319469749324621</v>
      </c>
      <c r="K3702" t="n">
        <v>0.5792397530032591</v>
      </c>
      <c r="L3702" t="b">
        <v>0</v>
      </c>
      <c r="M3702" t="b">
        <v>0</v>
      </c>
      <c r="N3702" t="inlineStr">
        <is>
          <t>alt</t>
        </is>
      </c>
      <c r="O3702" t="n">
        <v>100</v>
      </c>
      <c r="P3702" t="n">
        <v>0.02173</v>
      </c>
      <c r="Q3702" t="n">
        <v>100</v>
      </c>
      <c r="R3702" t="n">
        <v>0.1295</v>
      </c>
      <c r="S3702">
        <f>IMAGE("https://mitra.stanford.edu/kundaje/oak/projects/neuro-variants/variant_position/credible/roussos_2024/variant_figures/roussos_2024.childhood.GABA/rs7801170_count_position.png",4,220,900)</f>
        <v/>
      </c>
      <c r="T3702">
        <f>IMAGE("https://mitra.stanford.edu/kundaje/oak/projects/neuro-variants/variant_position/credible/roussos_2024/variant_figures/roussos_2024.childhood.GABA/rs7801170_profile_position.png",4,220,900)</f>
        <v/>
      </c>
    </row>
    <row r="3703">
      <c r="A3703" t="inlineStr">
        <is>
          <t>chr7</t>
        </is>
      </c>
      <c r="B3703" t="n">
        <v>72261158</v>
      </c>
      <c r="C3703" t="inlineStr">
        <is>
          <t>A</t>
        </is>
      </c>
      <c r="D3703" t="inlineStr">
        <is>
          <t>C</t>
        </is>
      </c>
      <c r="E3703" t="inlineStr">
        <is>
          <t>rs12537428</t>
        </is>
      </c>
      <c r="F3703" t="n">
        <v>6.102086000000021e-06</v>
      </c>
      <c r="G3703" t="n">
        <v>0.7955433336444478</v>
      </c>
      <c r="H3703" t="n">
        <v>0.0218085359579586</v>
      </c>
      <c r="I3703" t="n">
        <v>0.0521092809876243</v>
      </c>
      <c r="J3703" t="n">
        <v>0.1118070825741869</v>
      </c>
      <c r="K3703" t="n">
        <v>0.3465608617801152</v>
      </c>
      <c r="L3703" t="b">
        <v>0</v>
      </c>
      <c r="M3703" t="b">
        <v>0</v>
      </c>
      <c r="N3703" t="inlineStr">
        <is>
          <t>alt</t>
        </is>
      </c>
      <c r="O3703" t="n">
        <v>60</v>
      </c>
      <c r="P3703" t="n">
        <v>0.01587</v>
      </c>
      <c r="Q3703" t="n">
        <v>-75</v>
      </c>
      <c r="R3703" t="n">
        <v>0.08606</v>
      </c>
      <c r="S3703">
        <f>IMAGE("https://mitra.stanford.edu/kundaje/oak/projects/neuro-variants/variant_position/credible/roussos_2024/variant_figures/roussos_2024.childhood.GABA/rs12537428_count_position.png",4,220,900)</f>
        <v/>
      </c>
      <c r="T3703">
        <f>IMAGE("https://mitra.stanford.edu/kundaje/oak/projects/neuro-variants/variant_position/credible/roussos_2024/variant_figures/roussos_2024.childhood.GABA/rs12537428_profile_position.png",4,220,900)</f>
        <v/>
      </c>
    </row>
    <row r="3704">
      <c r="A3704" t="inlineStr">
        <is>
          <t>chr7</t>
        </is>
      </c>
      <c r="B3704" t="n">
        <v>72261889</v>
      </c>
      <c r="C3704" t="inlineStr">
        <is>
          <t>C</t>
        </is>
      </c>
      <c r="D3704" t="inlineStr">
        <is>
          <t>T</t>
        </is>
      </c>
      <c r="E3704" t="inlineStr">
        <is>
          <t>rs10486883</t>
        </is>
      </c>
      <c r="F3704" t="n">
        <v>-0.120267876</v>
      </c>
      <c r="G3704" t="n">
        <v>0.0178700750935897</v>
      </c>
      <c r="H3704" t="n">
        <v>0.0154367975724752</v>
      </c>
      <c r="I3704" t="n">
        <v>0.2064821115133958</v>
      </c>
      <c r="J3704" t="n">
        <v>0.3107264769324202</v>
      </c>
      <c r="K3704" t="n">
        <v>0.129372618024775</v>
      </c>
      <c r="L3704" t="b">
        <v>1</v>
      </c>
      <c r="M3704" t="b">
        <v>0</v>
      </c>
      <c r="N3704" t="inlineStr">
        <is>
          <t>ref</t>
        </is>
      </c>
      <c r="O3704" t="n">
        <v>-65</v>
      </c>
      <c r="P3704" t="n">
        <v>0.02405</v>
      </c>
      <c r="Q3704" t="n">
        <v>90</v>
      </c>
      <c r="R3704" t="n">
        <v>0.184</v>
      </c>
      <c r="S3704">
        <f>IMAGE("https://mitra.stanford.edu/kundaje/oak/projects/neuro-variants/variant_position/credible/roussos_2024/variant_figures/roussos_2024.childhood.GABA/rs10486883_count_position.png",4,220,900)</f>
        <v/>
      </c>
      <c r="T3704">
        <f>IMAGE("https://mitra.stanford.edu/kundaje/oak/projects/neuro-variants/variant_position/credible/roussos_2024/variant_figures/roussos_2024.childhood.GABA/rs10486883_profile_position.png",4,220,900)</f>
        <v/>
      </c>
    </row>
    <row r="3705">
      <c r="A3705" t="inlineStr">
        <is>
          <t>chr7</t>
        </is>
      </c>
      <c r="B3705" t="n">
        <v>72289021</v>
      </c>
      <c r="C3705" t="inlineStr">
        <is>
          <t>C</t>
        </is>
      </c>
      <c r="D3705" t="inlineStr">
        <is>
          <t>T</t>
        </is>
      </c>
      <c r="E3705" t="inlineStr">
        <is>
          <t>rs12154550</t>
        </is>
      </c>
      <c r="F3705" t="n">
        <v>-0.0339554718</v>
      </c>
      <c r="G3705" t="n">
        <v>0.2720078049259389</v>
      </c>
      <c r="H3705" t="n">
        <v>0.0208518668350892</v>
      </c>
      <c r="I3705" t="n">
        <v>0.0632251828781427</v>
      </c>
      <c r="J3705" t="n">
        <v>0.0184645347741408</v>
      </c>
      <c r="K3705" t="n">
        <v>0.6648588480064769</v>
      </c>
      <c r="L3705" t="b">
        <v>0</v>
      </c>
      <c r="M3705" t="b">
        <v>0</v>
      </c>
      <c r="N3705" t="inlineStr">
        <is>
          <t>ref</t>
        </is>
      </c>
      <c r="O3705" t="n">
        <v>-75</v>
      </c>
      <c r="P3705" t="n">
        <v>0.01634</v>
      </c>
      <c r="Q3705" t="n">
        <v>-95</v>
      </c>
      <c r="R3705" t="n">
        <v>0.1377</v>
      </c>
      <c r="S3705">
        <f>IMAGE("https://mitra.stanford.edu/kundaje/oak/projects/neuro-variants/variant_position/credible/roussos_2024/variant_figures/roussos_2024.childhood.GABA/rs12154550_count_position.png",4,220,900)</f>
        <v/>
      </c>
      <c r="T3705">
        <f>IMAGE("https://mitra.stanford.edu/kundaje/oak/projects/neuro-variants/variant_position/credible/roussos_2024/variant_figures/roussos_2024.childhood.GABA/rs12154550_profile_position.png",4,220,900)</f>
        <v/>
      </c>
    </row>
    <row r="3706">
      <c r="A3706" t="inlineStr">
        <is>
          <t>chr7</t>
        </is>
      </c>
      <c r="B3706" t="n">
        <v>72298876</v>
      </c>
      <c r="C3706" t="inlineStr">
        <is>
          <t>C</t>
        </is>
      </c>
      <c r="D3706" t="inlineStr">
        <is>
          <t>T</t>
        </is>
      </c>
      <c r="E3706" t="inlineStr">
        <is>
          <t>rs4719223</t>
        </is>
      </c>
      <c r="F3706" t="n">
        <v>-0.1227666628</v>
      </c>
      <c r="G3706" t="n">
        <v>0.0258388833555862</v>
      </c>
      <c r="H3706" t="n">
        <v>0.0182802386912847</v>
      </c>
      <c r="I3706" t="n">
        <v>0.106206909459486</v>
      </c>
      <c r="J3706" t="n">
        <v>0.1284381478921907</v>
      </c>
      <c r="K3706" t="n">
        <v>0.3135391775440896</v>
      </c>
      <c r="L3706" t="b">
        <v>0</v>
      </c>
      <c r="M3706" t="b">
        <v>0</v>
      </c>
      <c r="N3706" t="inlineStr">
        <is>
          <t>ref</t>
        </is>
      </c>
      <c r="O3706" t="n">
        <v>-80</v>
      </c>
      <c r="P3706" t="n">
        <v>0.01309</v>
      </c>
      <c r="Q3706" t="n">
        <v>-85</v>
      </c>
      <c r="R3706" t="n">
        <v>0.1396</v>
      </c>
      <c r="S3706">
        <f>IMAGE("https://mitra.stanford.edu/kundaje/oak/projects/neuro-variants/variant_position/credible/roussos_2024/variant_figures/roussos_2024.childhood.GABA/rs4719223_count_position.png",4,220,900)</f>
        <v/>
      </c>
      <c r="T3706">
        <f>IMAGE("https://mitra.stanford.edu/kundaje/oak/projects/neuro-variants/variant_position/credible/roussos_2024/variant_figures/roussos_2024.childhood.GABA/rs4719223_profile_position.png",4,220,900)</f>
        <v/>
      </c>
    </row>
    <row r="3707">
      <c r="A3707" t="inlineStr">
        <is>
          <t>chr7</t>
        </is>
      </c>
      <c r="B3707" t="n">
        <v>72310924</v>
      </c>
      <c r="C3707" t="inlineStr">
        <is>
          <t>A</t>
        </is>
      </c>
      <c r="D3707" t="inlineStr">
        <is>
          <t>C</t>
        </is>
      </c>
      <c r="E3707" t="inlineStr">
        <is>
          <t>rs5025436</t>
        </is>
      </c>
      <c r="F3707" t="n">
        <v>-0.0193666032</v>
      </c>
      <c r="G3707" t="n">
        <v>0.4351792531577951</v>
      </c>
      <c r="H3707" t="n">
        <v>0.0510534411797395</v>
      </c>
      <c r="I3707" t="n">
        <v>0.0016229175138237</v>
      </c>
      <c r="J3707" t="n">
        <v>0.0395572867583924</v>
      </c>
      <c r="K3707" t="n">
        <v>0.553067404944987</v>
      </c>
      <c r="L3707" t="b">
        <v>1</v>
      </c>
      <c r="M3707" t="b">
        <v>0</v>
      </c>
      <c r="N3707" t="inlineStr">
        <is>
          <t>ref</t>
        </is>
      </c>
      <c r="O3707" t="n">
        <v>-100</v>
      </c>
      <c r="P3707" t="n">
        <v>0.01978</v>
      </c>
      <c r="Q3707" t="n">
        <v>85</v>
      </c>
      <c r="R3707" t="n">
        <v>0.09229999999999999</v>
      </c>
      <c r="S3707">
        <f>IMAGE("https://mitra.stanford.edu/kundaje/oak/projects/neuro-variants/variant_position/credible/roussos_2024/variant_figures/roussos_2024.childhood.GABA/rs5025436_count_position.png",4,220,900)</f>
        <v/>
      </c>
      <c r="T3707">
        <f>IMAGE("https://mitra.stanford.edu/kundaje/oak/projects/neuro-variants/variant_position/credible/roussos_2024/variant_figures/roussos_2024.childhood.GABA/rs5025436_profile_position.png",4,220,900)</f>
        <v/>
      </c>
    </row>
    <row r="3708">
      <c r="A3708" t="inlineStr">
        <is>
          <t>chr7</t>
        </is>
      </c>
      <c r="B3708" t="n">
        <v>72317475</v>
      </c>
      <c r="C3708" t="inlineStr">
        <is>
          <t>A</t>
        </is>
      </c>
      <c r="D3708" t="inlineStr">
        <is>
          <t>G</t>
        </is>
      </c>
      <c r="E3708" t="inlineStr">
        <is>
          <t>rs78928669</t>
        </is>
      </c>
      <c r="F3708" t="n">
        <v>0.1724377868</v>
      </c>
      <c r="G3708" t="n">
        <v>0.0070665608923197</v>
      </c>
      <c r="H3708" t="n">
        <v>0.029826554430385</v>
      </c>
      <c r="I3708" t="n">
        <v>0.0140594625596884</v>
      </c>
      <c r="J3708" t="n">
        <v>0.2475508366316935</v>
      </c>
      <c r="K3708" t="n">
        <v>0.1779830782448403</v>
      </c>
      <c r="L3708" t="b">
        <v>1</v>
      </c>
      <c r="M3708" t="b">
        <v>1</v>
      </c>
      <c r="N3708" t="inlineStr">
        <is>
          <t>alt</t>
        </is>
      </c>
      <c r="O3708" t="n">
        <v>-100</v>
      </c>
      <c r="P3708" t="n">
        <v>0.01092</v>
      </c>
      <c r="Q3708" t="n">
        <v>-25</v>
      </c>
      <c r="R3708" t="n">
        <v>0.02588</v>
      </c>
      <c r="S3708">
        <f>IMAGE("https://mitra.stanford.edu/kundaje/oak/projects/neuro-variants/variant_position/credible/roussos_2024/variant_figures/roussos_2024.childhood.GABA/rs78928669_count_position.png",4,220,900)</f>
        <v/>
      </c>
      <c r="T3708">
        <f>IMAGE("https://mitra.stanford.edu/kundaje/oak/projects/neuro-variants/variant_position/credible/roussos_2024/variant_figures/roussos_2024.childhood.GABA/rs78928669_profile_position.png",4,220,900)</f>
        <v/>
      </c>
    </row>
    <row r="3709">
      <c r="A3709" t="inlineStr">
        <is>
          <t>chr7</t>
        </is>
      </c>
      <c r="B3709" t="n">
        <v>72321736</v>
      </c>
      <c r="C3709" t="inlineStr">
        <is>
          <t>G</t>
        </is>
      </c>
      <c r="D3709" t="inlineStr">
        <is>
          <t>A</t>
        </is>
      </c>
      <c r="E3709" t="inlineStr">
        <is>
          <t>rs2944829</t>
        </is>
      </c>
      <c r="F3709" t="n">
        <v>-0.0467062478</v>
      </c>
      <c r="G3709" t="n">
        <v>0.1664927897607864</v>
      </c>
      <c r="H3709" t="n">
        <v>0.0109611946186412</v>
      </c>
      <c r="I3709" t="n">
        <v>0.541549368033556</v>
      </c>
      <c r="J3709" t="n">
        <v>0.2109002952817741</v>
      </c>
      <c r="K3709" t="n">
        <v>0.2082288418848224</v>
      </c>
      <c r="L3709" t="b">
        <v>0</v>
      </c>
      <c r="M3709" t="b">
        <v>0</v>
      </c>
      <c r="N3709" t="inlineStr">
        <is>
          <t>ref</t>
        </is>
      </c>
      <c r="O3709" t="n">
        <v>85</v>
      </c>
      <c r="P3709" t="n">
        <v>0.003187</v>
      </c>
      <c r="Q3709" t="n">
        <v>-100</v>
      </c>
      <c r="R3709" t="n">
        <v>0.1007</v>
      </c>
      <c r="S3709">
        <f>IMAGE("https://mitra.stanford.edu/kundaje/oak/projects/neuro-variants/variant_position/credible/roussos_2024/variant_figures/roussos_2024.childhood.GABA/rs2944829_count_position.png",4,220,900)</f>
        <v/>
      </c>
      <c r="T3709">
        <f>IMAGE("https://mitra.stanford.edu/kundaje/oak/projects/neuro-variants/variant_position/credible/roussos_2024/variant_figures/roussos_2024.childhood.GABA/rs2944829_profile_position.png",4,220,900)</f>
        <v/>
      </c>
    </row>
    <row r="3710">
      <c r="A3710" t="inlineStr">
        <is>
          <t>chr7</t>
        </is>
      </c>
      <c r="B3710" t="n">
        <v>72328401</v>
      </c>
      <c r="C3710" t="inlineStr">
        <is>
          <t>T</t>
        </is>
      </c>
      <c r="D3710" t="inlineStr">
        <is>
          <t>C</t>
        </is>
      </c>
      <c r="E3710" t="inlineStr">
        <is>
          <t>rs2944825</t>
        </is>
      </c>
      <c r="F3710" t="n">
        <v>0.089351896</v>
      </c>
      <c r="G3710" t="n">
        <v>0.0405426866626816</v>
      </c>
      <c r="H3710" t="n">
        <v>0.0133625459619863</v>
      </c>
      <c r="I3710" t="n">
        <v>0.326880873521997</v>
      </c>
      <c r="J3710" t="n">
        <v>0.0103861699231429</v>
      </c>
      <c r="K3710" t="n">
        <v>0.7394625300267715</v>
      </c>
      <c r="L3710" t="b">
        <v>0</v>
      </c>
      <c r="M3710" t="b">
        <v>0</v>
      </c>
      <c r="N3710" t="inlineStr">
        <is>
          <t>alt</t>
        </is>
      </c>
      <c r="O3710" t="n">
        <v>-100</v>
      </c>
      <c r="P3710" t="n">
        <v>0.002655</v>
      </c>
      <c r="Q3710" t="n">
        <v>90</v>
      </c>
      <c r="R3710" t="n">
        <v>0.0443</v>
      </c>
      <c r="S3710">
        <f>IMAGE("https://mitra.stanford.edu/kundaje/oak/projects/neuro-variants/variant_position/credible/roussos_2024/variant_figures/roussos_2024.childhood.GABA/rs2944825_count_position.png",4,220,900)</f>
        <v/>
      </c>
      <c r="T3710">
        <f>IMAGE("https://mitra.stanford.edu/kundaje/oak/projects/neuro-variants/variant_position/credible/roussos_2024/variant_figures/roussos_2024.childhood.GABA/rs2944825_profile_position.png",4,220,900)</f>
        <v/>
      </c>
    </row>
    <row r="3711">
      <c r="A3711" t="inlineStr">
        <is>
          <t>chr7</t>
        </is>
      </c>
      <c r="B3711" t="n">
        <v>72330742</v>
      </c>
      <c r="C3711" t="inlineStr">
        <is>
          <t>T</t>
        </is>
      </c>
      <c r="D3711" t="inlineStr">
        <is>
          <t>C</t>
        </is>
      </c>
      <c r="E3711" t="inlineStr">
        <is>
          <t>rs11768943</t>
        </is>
      </c>
      <c r="F3711" t="n">
        <v>-0.065676924</v>
      </c>
      <c r="G3711" t="n">
        <v>0.1033493969536441</v>
      </c>
      <c r="H3711" t="n">
        <v>0.0144040696731741</v>
      </c>
      <c r="I3711" t="n">
        <v>0.2584095836187849</v>
      </c>
      <c r="J3711" t="n">
        <v>0.1045569726288454</v>
      </c>
      <c r="K3711" t="n">
        <v>0.3470418233966187</v>
      </c>
      <c r="L3711" t="b">
        <v>0</v>
      </c>
      <c r="M3711" t="b">
        <v>0</v>
      </c>
      <c r="N3711" t="inlineStr">
        <is>
          <t>ref</t>
        </is>
      </c>
      <c r="O3711" t="n">
        <v>-95</v>
      </c>
      <c r="P3711" t="n">
        <v>0.00679</v>
      </c>
      <c r="Q3711" t="n">
        <v>10</v>
      </c>
      <c r="R3711" t="n">
        <v>0.0401</v>
      </c>
      <c r="S3711">
        <f>IMAGE("https://mitra.stanford.edu/kundaje/oak/projects/neuro-variants/variant_position/credible/roussos_2024/variant_figures/roussos_2024.childhood.GABA/rs11768943_count_position.png",4,220,900)</f>
        <v/>
      </c>
      <c r="T3711">
        <f>IMAGE("https://mitra.stanford.edu/kundaje/oak/projects/neuro-variants/variant_position/credible/roussos_2024/variant_figures/roussos_2024.childhood.GABA/rs11768943_profile_position.png",4,220,900)</f>
        <v/>
      </c>
    </row>
    <row r="3712">
      <c r="A3712" t="inlineStr">
        <is>
          <t>chr7</t>
        </is>
      </c>
      <c r="B3712" t="n">
        <v>72348675</v>
      </c>
      <c r="C3712" t="inlineStr">
        <is>
          <t>G</t>
        </is>
      </c>
      <c r="D3712" t="inlineStr">
        <is>
          <t>A</t>
        </is>
      </c>
      <c r="E3712" t="inlineStr">
        <is>
          <t>rs2944814</t>
        </is>
      </c>
      <c r="F3712" t="n">
        <v>-0.082078216</v>
      </c>
      <c r="G3712" t="n">
        <v>0.0534174972423974</v>
      </c>
      <c r="H3712" t="n">
        <v>0.0159810458176391</v>
      </c>
      <c r="I3712" t="n">
        <v>0.1781718580701891</v>
      </c>
      <c r="J3712" t="n">
        <v>0.06281439132164759</v>
      </c>
      <c r="K3712" t="n">
        <v>0.4599814140294836</v>
      </c>
      <c r="L3712" t="b">
        <v>0</v>
      </c>
      <c r="M3712" t="b">
        <v>0</v>
      </c>
      <c r="N3712" t="inlineStr">
        <is>
          <t>ref</t>
        </is>
      </c>
      <c r="O3712" t="n">
        <v>-65</v>
      </c>
      <c r="P3712" t="n">
        <v>0.01111</v>
      </c>
      <c r="Q3712" t="n">
        <v>-55</v>
      </c>
      <c r="R3712" t="n">
        <v>0.06415</v>
      </c>
      <c r="S3712">
        <f>IMAGE("https://mitra.stanford.edu/kundaje/oak/projects/neuro-variants/variant_position/credible/roussos_2024/variant_figures/roussos_2024.childhood.GABA/rs2944814_count_position.png",4,220,900)</f>
        <v/>
      </c>
      <c r="T3712">
        <f>IMAGE("https://mitra.stanford.edu/kundaje/oak/projects/neuro-variants/variant_position/credible/roussos_2024/variant_figures/roussos_2024.childhood.GABA/rs2944814_profile_position.png",4,220,900)</f>
        <v/>
      </c>
    </row>
    <row r="3713">
      <c r="A3713" t="inlineStr">
        <is>
          <t>chr7</t>
        </is>
      </c>
      <c r="B3713" t="n">
        <v>72350185</v>
      </c>
      <c r="C3713" t="inlineStr">
        <is>
          <t>T</t>
        </is>
      </c>
      <c r="D3713" t="inlineStr">
        <is>
          <t>G</t>
        </is>
      </c>
      <c r="E3713" t="inlineStr">
        <is>
          <t>rs11764286</t>
        </is>
      </c>
      <c r="F3713" t="n">
        <v>-0.00428272762</v>
      </c>
      <c r="G3713" t="n">
        <v>0.6966024970703356</v>
      </c>
      <c r="H3713" t="n">
        <v>0.0237421013931197</v>
      </c>
      <c r="I3713" t="n">
        <v>0.0362813802896985</v>
      </c>
      <c r="J3713" t="n">
        <v>0.0042616908546417</v>
      </c>
      <c r="K3713" t="n">
        <v>0.8248125050936151</v>
      </c>
      <c r="L3713" t="b">
        <v>0</v>
      </c>
      <c r="M3713" t="b">
        <v>0</v>
      </c>
      <c r="N3713" t="inlineStr">
        <is>
          <t>ref</t>
        </is>
      </c>
      <c r="O3713" t="n">
        <v>-10</v>
      </c>
      <c r="P3713" t="n">
        <v>0.0004807</v>
      </c>
      <c r="Q3713" t="n">
        <v>35</v>
      </c>
      <c r="R3713" t="n">
        <v>0.01984</v>
      </c>
      <c r="S3713">
        <f>IMAGE("https://mitra.stanford.edu/kundaje/oak/projects/neuro-variants/variant_position/credible/roussos_2024/variant_figures/roussos_2024.childhood.GABA/rs11764286_count_position.png",4,220,900)</f>
        <v/>
      </c>
      <c r="T3713">
        <f>IMAGE("https://mitra.stanford.edu/kundaje/oak/projects/neuro-variants/variant_position/credible/roussos_2024/variant_figures/roussos_2024.childhood.GABA/rs11764286_profile_position.png",4,220,900)</f>
        <v/>
      </c>
    </row>
    <row r="3714">
      <c r="A3714" t="inlineStr">
        <is>
          <t>chr7</t>
        </is>
      </c>
      <c r="B3714" t="n">
        <v>72354867</v>
      </c>
      <c r="C3714" t="inlineStr">
        <is>
          <t>G</t>
        </is>
      </c>
      <c r="D3714" t="inlineStr">
        <is>
          <t>A</t>
        </is>
      </c>
      <c r="E3714" t="inlineStr">
        <is>
          <t>rs2944808</t>
        </is>
      </c>
      <c r="F3714" t="n">
        <v>-0.0036523074199999</v>
      </c>
      <c r="G3714" t="n">
        <v>0.8428807157250517</v>
      </c>
      <c r="H3714" t="n">
        <v>0.0185567926010699</v>
      </c>
      <c r="I3714" t="n">
        <v>0.1037732991467165</v>
      </c>
      <c r="J3714" t="n">
        <v>0.0391122699001067</v>
      </c>
      <c r="K3714" t="n">
        <v>0.5395938902134194</v>
      </c>
      <c r="L3714" t="b">
        <v>0</v>
      </c>
      <c r="M3714" t="b">
        <v>0</v>
      </c>
      <c r="N3714" t="inlineStr">
        <is>
          <t>ref</t>
        </is>
      </c>
      <c r="O3714" t="n">
        <v>100</v>
      </c>
      <c r="P3714" t="n">
        <v>0.009310000000000001</v>
      </c>
      <c r="Q3714" t="n">
        <v>95</v>
      </c>
      <c r="R3714" t="n">
        <v>0.2043</v>
      </c>
      <c r="S3714">
        <f>IMAGE("https://mitra.stanford.edu/kundaje/oak/projects/neuro-variants/variant_position/credible/roussos_2024/variant_figures/roussos_2024.childhood.GABA/rs2944808_count_position.png",4,220,900)</f>
        <v/>
      </c>
      <c r="T3714">
        <f>IMAGE("https://mitra.stanford.edu/kundaje/oak/projects/neuro-variants/variant_position/credible/roussos_2024/variant_figures/roussos_2024.childhood.GABA/rs2944808_profile_position.png",4,220,900)</f>
        <v/>
      </c>
    </row>
    <row r="3715">
      <c r="A3715" t="inlineStr">
        <is>
          <t>chr7</t>
        </is>
      </c>
      <c r="B3715" t="n">
        <v>72354869</v>
      </c>
      <c r="C3715" t="inlineStr">
        <is>
          <t>A</t>
        </is>
      </c>
      <c r="D3715" t="inlineStr">
        <is>
          <t>C</t>
        </is>
      </c>
      <c r="E3715" t="inlineStr">
        <is>
          <t>rs2968518</t>
        </is>
      </c>
      <c r="F3715" t="n">
        <v>0.00777546902</v>
      </c>
      <c r="G3715" t="n">
        <v>0.7062953203656999</v>
      </c>
      <c r="H3715" t="n">
        <v>0.0214438305720304</v>
      </c>
      <c r="I3715" t="n">
        <v>0.0568509115583488</v>
      </c>
      <c r="J3715" t="n">
        <v>0.0402106762162048</v>
      </c>
      <c r="K3715" t="n">
        <v>0.5344544284925045</v>
      </c>
      <c r="L3715" t="b">
        <v>0</v>
      </c>
      <c r="M3715" t="b">
        <v>0</v>
      </c>
      <c r="N3715" t="inlineStr">
        <is>
          <t>alt</t>
        </is>
      </c>
      <c r="O3715" t="n">
        <v>100</v>
      </c>
      <c r="P3715" t="n">
        <v>0.006775</v>
      </c>
      <c r="Q3715" t="n">
        <v>90</v>
      </c>
      <c r="R3715" t="n">
        <v>0.161</v>
      </c>
      <c r="S3715">
        <f>IMAGE("https://mitra.stanford.edu/kundaje/oak/projects/neuro-variants/variant_position/credible/roussos_2024/variant_figures/roussos_2024.childhood.GABA/rs2968518_count_position.png",4,220,900)</f>
        <v/>
      </c>
      <c r="T3715">
        <f>IMAGE("https://mitra.stanford.edu/kundaje/oak/projects/neuro-variants/variant_position/credible/roussos_2024/variant_figures/roussos_2024.childhood.GABA/rs2968518_profile_position.png",4,220,900)</f>
        <v/>
      </c>
    </row>
    <row r="3716">
      <c r="A3716" t="inlineStr">
        <is>
          <t>chr7</t>
        </is>
      </c>
      <c r="B3716" t="n">
        <v>72373222</v>
      </c>
      <c r="C3716" t="inlineStr">
        <is>
          <t>G</t>
        </is>
      </c>
      <c r="D3716" t="inlineStr">
        <is>
          <t>A</t>
        </is>
      </c>
      <c r="E3716" t="inlineStr">
        <is>
          <t>rs2968538</t>
        </is>
      </c>
      <c r="F3716" t="n">
        <v>-0.0449188005999999</v>
      </c>
      <c r="G3716" t="n">
        <v>0.1892203249302401</v>
      </c>
      <c r="H3716" t="n">
        <v>0.0128008774669089</v>
      </c>
      <c r="I3716" t="n">
        <v>0.3727685834796416</v>
      </c>
      <c r="J3716" t="n">
        <v>0.0237607589369855</v>
      </c>
      <c r="K3716" t="n">
        <v>0.6296627303809273</v>
      </c>
      <c r="L3716" t="b">
        <v>0</v>
      </c>
      <c r="M3716" t="b">
        <v>0</v>
      </c>
      <c r="N3716" t="inlineStr">
        <is>
          <t>ref</t>
        </is>
      </c>
      <c r="O3716" t="n">
        <v>20</v>
      </c>
      <c r="P3716" t="n">
        <v>0.01077</v>
      </c>
      <c r="Q3716" t="n">
        <v>45</v>
      </c>
      <c r="R3716" t="n">
        <v>0.0814</v>
      </c>
      <c r="S3716">
        <f>IMAGE("https://mitra.stanford.edu/kundaje/oak/projects/neuro-variants/variant_position/credible/roussos_2024/variant_figures/roussos_2024.childhood.GABA/rs2968538_count_position.png",4,220,900)</f>
        <v/>
      </c>
      <c r="T3716">
        <f>IMAGE("https://mitra.stanford.edu/kundaje/oak/projects/neuro-variants/variant_position/credible/roussos_2024/variant_figures/roussos_2024.childhood.GABA/rs2968538_profile_position.png",4,220,900)</f>
        <v/>
      </c>
    </row>
    <row r="3717">
      <c r="A3717" t="inlineStr">
        <is>
          <t>chr7</t>
        </is>
      </c>
      <c r="B3717" t="n">
        <v>82757157</v>
      </c>
      <c r="C3717" t="inlineStr">
        <is>
          <t>A</t>
        </is>
      </c>
      <c r="D3717" t="inlineStr">
        <is>
          <t>G</t>
        </is>
      </c>
      <c r="E3717" t="inlineStr">
        <is>
          <t>rs6963266</t>
        </is>
      </c>
      <c r="F3717" t="n">
        <v>-0.0155099888399999</v>
      </c>
      <c r="G3717" t="n">
        <v>0.5192287915723862</v>
      </c>
      <c r="H3717" t="n">
        <v>0.012772994249141</v>
      </c>
      <c r="I3717" t="n">
        <v>0.3725023504012724</v>
      </c>
      <c r="J3717" t="n">
        <v>0.0016910640614855</v>
      </c>
      <c r="K3717" t="n">
        <v>0.8882477736071962</v>
      </c>
      <c r="L3717" t="b">
        <v>0</v>
      </c>
      <c r="M3717" t="b">
        <v>0</v>
      </c>
      <c r="N3717" t="inlineStr">
        <is>
          <t>ref</t>
        </is>
      </c>
      <c r="O3717" t="n">
        <v>-90</v>
      </c>
      <c r="P3717" t="n">
        <v>0.01444</v>
      </c>
      <c r="Q3717" t="n">
        <v>-10</v>
      </c>
      <c r="R3717" t="n">
        <v>0.04227</v>
      </c>
      <c r="S3717">
        <f>IMAGE("https://mitra.stanford.edu/kundaje/oak/projects/neuro-variants/variant_position/credible/roussos_2024/variant_figures/roussos_2024.childhood.GABA/rs6963266_count_position.png",4,220,900)</f>
        <v/>
      </c>
      <c r="T3717">
        <f>IMAGE("https://mitra.stanford.edu/kundaje/oak/projects/neuro-variants/variant_position/credible/roussos_2024/variant_figures/roussos_2024.childhood.GABA/rs6963266_profile_position.png",4,220,900)</f>
        <v/>
      </c>
    </row>
    <row r="3718">
      <c r="A3718" t="inlineStr">
        <is>
          <t>chr7</t>
        </is>
      </c>
      <c r="B3718" t="n">
        <v>82804606</v>
      </c>
      <c r="C3718" t="inlineStr">
        <is>
          <t>C</t>
        </is>
      </c>
      <c r="D3718" t="inlineStr">
        <is>
          <t>A</t>
        </is>
      </c>
      <c r="E3718" t="inlineStr">
        <is>
          <t>rs6467913</t>
        </is>
      </c>
      <c r="F3718" t="n">
        <v>-0.008371196799999999</v>
      </c>
      <c r="G3718" t="n">
        <v>0.3668573812207656</v>
      </c>
      <c r="H3718" t="n">
        <v>0.0108929211337432</v>
      </c>
      <c r="I3718" t="n">
        <v>0.5487631095407739</v>
      </c>
      <c r="J3718" t="n">
        <v>0.0181504052271156</v>
      </c>
      <c r="K3718" t="n">
        <v>0.6589164610940429</v>
      </c>
      <c r="L3718" t="b">
        <v>0</v>
      </c>
      <c r="M3718" t="b">
        <v>0</v>
      </c>
      <c r="N3718" t="inlineStr">
        <is>
          <t>ref</t>
        </is>
      </c>
      <c r="O3718" t="n">
        <v>100</v>
      </c>
      <c r="P3718" t="n">
        <v>0.01913</v>
      </c>
      <c r="Q3718" t="n">
        <v>100</v>
      </c>
      <c r="R3718" t="n">
        <v>0.1897</v>
      </c>
      <c r="S3718">
        <f>IMAGE("https://mitra.stanford.edu/kundaje/oak/projects/neuro-variants/variant_position/credible/roussos_2024/variant_figures/roussos_2024.childhood.GABA/rs6467913_count_position.png",4,220,900)</f>
        <v/>
      </c>
      <c r="T3718">
        <f>IMAGE("https://mitra.stanford.edu/kundaje/oak/projects/neuro-variants/variant_position/credible/roussos_2024/variant_figures/roussos_2024.childhood.GABA/rs6467913_profile_position.png",4,220,900)</f>
        <v/>
      </c>
    </row>
    <row r="3719">
      <c r="A3719" t="inlineStr">
        <is>
          <t>chr7</t>
        </is>
      </c>
      <c r="B3719" t="n">
        <v>82806065</v>
      </c>
      <c r="C3719" t="inlineStr">
        <is>
          <t>C</t>
        </is>
      </c>
      <c r="D3719" t="inlineStr">
        <is>
          <t>A</t>
        </is>
      </c>
      <c r="E3719" t="inlineStr">
        <is>
          <t>rs13235048</t>
        </is>
      </c>
      <c r="F3719" t="n">
        <v>0.00513241078</v>
      </c>
      <c r="G3719" t="n">
        <v>0.744031888618738</v>
      </c>
      <c r="H3719" t="n">
        <v>0.0207780633960492</v>
      </c>
      <c r="I3719" t="n">
        <v>0.064529377214983</v>
      </c>
      <c r="J3719" t="n">
        <v>0.0611934828589976</v>
      </c>
      <c r="K3719" t="n">
        <v>0.4452075995230017</v>
      </c>
      <c r="L3719" t="b">
        <v>0</v>
      </c>
      <c r="M3719" t="b">
        <v>0</v>
      </c>
      <c r="N3719" t="inlineStr">
        <is>
          <t>alt</t>
        </is>
      </c>
      <c r="O3719" t="n">
        <v>-60</v>
      </c>
      <c r="P3719" t="n">
        <v>0.001203</v>
      </c>
      <c r="Q3719" t="n">
        <v>-100</v>
      </c>
      <c r="R3719" t="n">
        <v>0.06370000000000001</v>
      </c>
      <c r="S3719">
        <f>IMAGE("https://mitra.stanford.edu/kundaje/oak/projects/neuro-variants/variant_position/credible/roussos_2024/variant_figures/roussos_2024.childhood.GABA/rs13235048_count_position.png",4,220,900)</f>
        <v/>
      </c>
      <c r="T3719">
        <f>IMAGE("https://mitra.stanford.edu/kundaje/oak/projects/neuro-variants/variant_position/credible/roussos_2024/variant_figures/roussos_2024.childhood.GABA/rs13235048_profile_position.png",4,220,900)</f>
        <v/>
      </c>
    </row>
    <row r="3720">
      <c r="A3720" t="inlineStr">
        <is>
          <t>chr7</t>
        </is>
      </c>
      <c r="B3720" t="n">
        <v>82810877</v>
      </c>
      <c r="C3720" t="inlineStr">
        <is>
          <t>T</t>
        </is>
      </c>
      <c r="D3720" t="inlineStr">
        <is>
          <t>C</t>
        </is>
      </c>
      <c r="E3720" t="inlineStr">
        <is>
          <t>rs17284668</t>
        </is>
      </c>
      <c r="F3720" t="n">
        <v>-0.0156917046</v>
      </c>
      <c r="G3720" t="n">
        <v>0.3423209379764327</v>
      </c>
      <c r="H3720" t="n">
        <v>0.0230532592159558</v>
      </c>
      <c r="I3720" t="n">
        <v>0.0431085852271931</v>
      </c>
      <c r="J3720" t="n">
        <v>0.2650080626583735</v>
      </c>
      <c r="K3720" t="n">
        <v>0.156093698305044</v>
      </c>
      <c r="L3720" t="b">
        <v>0</v>
      </c>
      <c r="M3720" t="b">
        <v>0</v>
      </c>
      <c r="N3720" t="inlineStr">
        <is>
          <t>ref</t>
        </is>
      </c>
      <c r="O3720" t="n">
        <v>-75</v>
      </c>
      <c r="P3720" t="n">
        <v>0.001831</v>
      </c>
      <c r="Q3720" t="n">
        <v>-15</v>
      </c>
      <c r="R3720" t="n">
        <v>0.03906</v>
      </c>
      <c r="S3720">
        <f>IMAGE("https://mitra.stanford.edu/kundaje/oak/projects/neuro-variants/variant_position/credible/roussos_2024/variant_figures/roussos_2024.childhood.GABA/rs17284668_count_position.png",4,220,900)</f>
        <v/>
      </c>
      <c r="T3720">
        <f>IMAGE("https://mitra.stanford.edu/kundaje/oak/projects/neuro-variants/variant_position/credible/roussos_2024/variant_figures/roussos_2024.childhood.GABA/rs17284668_profile_position.png",4,220,900)</f>
        <v/>
      </c>
    </row>
    <row r="3721">
      <c r="A3721" t="inlineStr">
        <is>
          <t>chr7</t>
        </is>
      </c>
      <c r="B3721" t="n">
        <v>82815056</v>
      </c>
      <c r="C3721" t="inlineStr">
        <is>
          <t>G</t>
        </is>
      </c>
      <c r="D3721" t="inlineStr">
        <is>
          <t>A</t>
        </is>
      </c>
      <c r="E3721" t="inlineStr">
        <is>
          <t>rs2189246</t>
        </is>
      </c>
      <c r="F3721" t="n">
        <v>-0.0055134472</v>
      </c>
      <c r="G3721" t="n">
        <v>0.6797008339839014</v>
      </c>
      <c r="H3721" t="n">
        <v>0.019038658218646</v>
      </c>
      <c r="I3721" t="n">
        <v>0.0926411852984495</v>
      </c>
      <c r="J3721" t="n">
        <v>0.0018669766078196</v>
      </c>
      <c r="K3721" t="n">
        <v>0.9009784475164946</v>
      </c>
      <c r="L3721" t="b">
        <v>0</v>
      </c>
      <c r="M3721" t="b">
        <v>0</v>
      </c>
      <c r="N3721" t="inlineStr">
        <is>
          <t>ref</t>
        </is>
      </c>
      <c r="O3721" t="n">
        <v>75</v>
      </c>
      <c r="P3721" t="n">
        <v>0.006996</v>
      </c>
      <c r="Q3721" t="n">
        <v>100</v>
      </c>
      <c r="R3721" t="n">
        <v>0.1174</v>
      </c>
      <c r="S3721">
        <f>IMAGE("https://mitra.stanford.edu/kundaje/oak/projects/neuro-variants/variant_position/credible/roussos_2024/variant_figures/roussos_2024.childhood.GABA/rs2189246_count_position.png",4,220,900)</f>
        <v/>
      </c>
      <c r="T3721">
        <f>IMAGE("https://mitra.stanford.edu/kundaje/oak/projects/neuro-variants/variant_position/credible/roussos_2024/variant_figures/roussos_2024.childhood.GABA/rs2189246_profile_position.png",4,220,900)</f>
        <v/>
      </c>
    </row>
    <row r="3722">
      <c r="A3722" t="inlineStr">
        <is>
          <t>chr7</t>
        </is>
      </c>
      <c r="B3722" t="n">
        <v>82817929</v>
      </c>
      <c r="C3722" t="inlineStr">
        <is>
          <t>C</t>
        </is>
      </c>
      <c r="D3722" t="inlineStr">
        <is>
          <t>A</t>
        </is>
      </c>
      <c r="E3722" t="inlineStr">
        <is>
          <t>rs2189247</t>
        </is>
      </c>
      <c r="F3722" t="n">
        <v>-0.0029014481199999</v>
      </c>
      <c r="G3722" t="n">
        <v>0.886653561306101</v>
      </c>
      <c r="H3722" t="n">
        <v>0.0133084637485749</v>
      </c>
      <c r="I3722" t="n">
        <v>0.3182178680682244</v>
      </c>
      <c r="J3722" t="n">
        <v>0.0586982471571275</v>
      </c>
      <c r="K3722" t="n">
        <v>0.459111212597915</v>
      </c>
      <c r="L3722" t="b">
        <v>0</v>
      </c>
      <c r="M3722" t="b">
        <v>0</v>
      </c>
      <c r="N3722" t="inlineStr">
        <is>
          <t>ref</t>
        </is>
      </c>
      <c r="O3722" t="n">
        <v>75</v>
      </c>
      <c r="P3722" t="n">
        <v>0.002113</v>
      </c>
      <c r="Q3722" t="n">
        <v>-100</v>
      </c>
      <c r="R3722" t="n">
        <v>0.1002</v>
      </c>
      <c r="S3722">
        <f>IMAGE("https://mitra.stanford.edu/kundaje/oak/projects/neuro-variants/variant_position/credible/roussos_2024/variant_figures/roussos_2024.childhood.GABA/rs2189247_count_position.png",4,220,900)</f>
        <v/>
      </c>
      <c r="T3722">
        <f>IMAGE("https://mitra.stanford.edu/kundaje/oak/projects/neuro-variants/variant_position/credible/roussos_2024/variant_figures/roussos_2024.childhood.GABA/rs2189247_profile_position.png",4,220,900)</f>
        <v/>
      </c>
    </row>
    <row r="3723">
      <c r="A3723" t="inlineStr">
        <is>
          <t>chr7</t>
        </is>
      </c>
      <c r="B3723" t="n">
        <v>82820719</v>
      </c>
      <c r="C3723" t="inlineStr">
        <is>
          <t>A</t>
        </is>
      </c>
      <c r="D3723" t="inlineStr">
        <is>
          <t>C</t>
        </is>
      </c>
      <c r="E3723" t="inlineStr">
        <is>
          <t>rs2715148</t>
        </is>
      </c>
      <c r="F3723" t="n">
        <v>-0.00589494638</v>
      </c>
      <c r="G3723" t="n">
        <v>0.6823364681036046</v>
      </c>
      <c r="H3723" t="n">
        <v>0.0192925936719585</v>
      </c>
      <c r="I3723" t="n">
        <v>0.08872492948205531</v>
      </c>
      <c r="J3723" t="n">
        <v>0.0994492261942157</v>
      </c>
      <c r="K3723" t="n">
        <v>0.350253368502736</v>
      </c>
      <c r="L3723" t="b">
        <v>0</v>
      </c>
      <c r="M3723" t="b">
        <v>0</v>
      </c>
      <c r="N3723" t="inlineStr">
        <is>
          <t>ref</t>
        </is>
      </c>
      <c r="O3723" t="n">
        <v>-75</v>
      </c>
      <c r="P3723" t="n">
        <v>0.003113</v>
      </c>
      <c r="Q3723" t="n">
        <v>90</v>
      </c>
      <c r="R3723" t="n">
        <v>0.01918</v>
      </c>
      <c r="S3723">
        <f>IMAGE("https://mitra.stanford.edu/kundaje/oak/projects/neuro-variants/variant_position/credible/roussos_2024/variant_figures/roussos_2024.childhood.GABA/rs2715148_count_position.png",4,220,900)</f>
        <v/>
      </c>
      <c r="T3723">
        <f>IMAGE("https://mitra.stanford.edu/kundaje/oak/projects/neuro-variants/variant_position/credible/roussos_2024/variant_figures/roussos_2024.childhood.GABA/rs2715148_profile_position.png",4,220,900)</f>
        <v/>
      </c>
    </row>
    <row r="3724">
      <c r="A3724" t="inlineStr">
        <is>
          <t>chr7</t>
        </is>
      </c>
      <c r="B3724" t="n">
        <v>82848332</v>
      </c>
      <c r="C3724" t="inlineStr">
        <is>
          <t>A</t>
        </is>
      </c>
      <c r="D3724" t="inlineStr">
        <is>
          <t>G</t>
        </is>
      </c>
      <c r="E3724" t="inlineStr">
        <is>
          <t>rs2522839</t>
        </is>
      </c>
      <c r="F3724" t="n">
        <v>-0.007861745979999999</v>
      </c>
      <c r="G3724" t="n">
        <v>0.7119728546217148</v>
      </c>
      <c r="H3724" t="n">
        <v>0.0256960238266568</v>
      </c>
      <c r="I3724" t="n">
        <v>0.0261077935629514</v>
      </c>
      <c r="J3724" t="n">
        <v>0.0021099034575191</v>
      </c>
      <c r="K3724" t="n">
        <v>0.8744662211161235</v>
      </c>
      <c r="L3724" t="b">
        <v>0</v>
      </c>
      <c r="M3724" t="b">
        <v>0</v>
      </c>
      <c r="N3724" t="inlineStr">
        <is>
          <t>ref</t>
        </is>
      </c>
      <c r="O3724" t="n">
        <v>50</v>
      </c>
      <c r="P3724" t="n">
        <v>0.005066</v>
      </c>
      <c r="Q3724" t="n">
        <v>100</v>
      </c>
      <c r="R3724" t="n">
        <v>0.04877</v>
      </c>
      <c r="S3724">
        <f>IMAGE("https://mitra.stanford.edu/kundaje/oak/projects/neuro-variants/variant_position/credible/roussos_2024/variant_figures/roussos_2024.childhood.GABA/rs2522839_count_position.png",4,220,900)</f>
        <v/>
      </c>
      <c r="T3724">
        <f>IMAGE("https://mitra.stanford.edu/kundaje/oak/projects/neuro-variants/variant_position/credible/roussos_2024/variant_figures/roussos_2024.childhood.GABA/rs2522839_profile_position.png",4,220,900)</f>
        <v/>
      </c>
    </row>
    <row r="3725">
      <c r="A3725" t="inlineStr">
        <is>
          <t>chr7</t>
        </is>
      </c>
      <c r="B3725" t="n">
        <v>82849280</v>
      </c>
      <c r="C3725" t="inlineStr">
        <is>
          <t>C</t>
        </is>
      </c>
      <c r="D3725" t="inlineStr">
        <is>
          <t>T</t>
        </is>
      </c>
      <c r="E3725" t="inlineStr">
        <is>
          <t>rs2107069</t>
        </is>
      </c>
      <c r="F3725" t="n">
        <v>-0.00083286386</v>
      </c>
      <c r="G3725" t="n">
        <v>0.8674394665903014</v>
      </c>
      <c r="H3725" t="n">
        <v>0.0283195876753196</v>
      </c>
      <c r="I3725" t="n">
        <v>0.0164281777553032</v>
      </c>
      <c r="J3725" t="n">
        <v>0.0005821867604866</v>
      </c>
      <c r="K3725" t="n">
        <v>0.9406917372492822</v>
      </c>
      <c r="L3725" t="b">
        <v>0</v>
      </c>
      <c r="M3725" t="b">
        <v>0</v>
      </c>
      <c r="N3725" t="inlineStr">
        <is>
          <t>ref</t>
        </is>
      </c>
      <c r="O3725" t="n">
        <v>-95</v>
      </c>
      <c r="P3725" t="n">
        <v>0.01593</v>
      </c>
      <c r="Q3725" t="n">
        <v>40</v>
      </c>
      <c r="R3725" t="n">
        <v>0.02216</v>
      </c>
      <c r="S3725">
        <f>IMAGE("https://mitra.stanford.edu/kundaje/oak/projects/neuro-variants/variant_position/credible/roussos_2024/variant_figures/roussos_2024.childhood.GABA/rs2107069_count_position.png",4,220,900)</f>
        <v/>
      </c>
      <c r="T3725">
        <f>IMAGE("https://mitra.stanford.edu/kundaje/oak/projects/neuro-variants/variant_position/credible/roussos_2024/variant_figures/roussos_2024.childhood.GABA/rs2107069_profile_position.png",4,220,900)</f>
        <v/>
      </c>
    </row>
    <row r="3726">
      <c r="A3726" t="inlineStr">
        <is>
          <t>chr7</t>
        </is>
      </c>
      <c r="B3726" t="n">
        <v>82874126</v>
      </c>
      <c r="C3726" t="inlineStr">
        <is>
          <t>T</t>
        </is>
      </c>
      <c r="D3726" t="inlineStr">
        <is>
          <t>C</t>
        </is>
      </c>
      <c r="E3726" t="inlineStr">
        <is>
          <t>rs1986742</t>
        </is>
      </c>
      <c r="F3726" t="n">
        <v>0.0856736582</v>
      </c>
      <c r="G3726" t="n">
        <v>0.0452152294851316</v>
      </c>
      <c r="H3726" t="n">
        <v>0.0150136685821895</v>
      </c>
      <c r="I3726" t="n">
        <v>0.2281815373482905</v>
      </c>
      <c r="J3726" t="n">
        <v>0.0464953613536888</v>
      </c>
      <c r="K3726" t="n">
        <v>0.5027796101182879</v>
      </c>
      <c r="L3726" t="b">
        <v>0</v>
      </c>
      <c r="M3726" t="b">
        <v>0</v>
      </c>
      <c r="N3726" t="inlineStr">
        <is>
          <t>alt</t>
        </is>
      </c>
      <c r="O3726" t="n">
        <v>25</v>
      </c>
      <c r="P3726" t="n">
        <v>0.00354</v>
      </c>
      <c r="Q3726" t="n">
        <v>100</v>
      </c>
      <c r="R3726" t="n">
        <v>0.03094</v>
      </c>
      <c r="S3726">
        <f>IMAGE("https://mitra.stanford.edu/kundaje/oak/projects/neuro-variants/variant_position/credible/roussos_2024/variant_figures/roussos_2024.childhood.GABA/rs1986742_count_position.png",4,220,900)</f>
        <v/>
      </c>
      <c r="T3726">
        <f>IMAGE("https://mitra.stanford.edu/kundaje/oak/projects/neuro-variants/variant_position/credible/roussos_2024/variant_figures/roussos_2024.childhood.GABA/rs1986742_profile_position.png",4,220,900)</f>
        <v/>
      </c>
    </row>
    <row r="3727">
      <c r="A3727" t="inlineStr">
        <is>
          <t>chr7</t>
        </is>
      </c>
      <c r="B3727" t="n">
        <v>82965320</v>
      </c>
      <c r="C3727" t="inlineStr">
        <is>
          <t>T</t>
        </is>
      </c>
      <c r="D3727" t="inlineStr">
        <is>
          <t>C</t>
        </is>
      </c>
      <c r="E3727" t="inlineStr">
        <is>
          <t>rs11761974</t>
        </is>
      </c>
      <c r="F3727" t="n">
        <v>-0.016564173976</v>
      </c>
      <c r="G3727" t="n">
        <v>0.4984856179792466</v>
      </c>
      <c r="H3727" t="n">
        <v>0.0330748006979358</v>
      </c>
      <c r="I3727" t="n">
        <v>0.008218849024210001</v>
      </c>
      <c r="J3727" t="n">
        <v>0.0034952147599002</v>
      </c>
      <c r="K3727" t="n">
        <v>0.8428018993649834</v>
      </c>
      <c r="L3727" t="b">
        <v>0</v>
      </c>
      <c r="M3727" t="b">
        <v>0</v>
      </c>
      <c r="N3727" t="inlineStr">
        <is>
          <t>ref</t>
        </is>
      </c>
      <c r="O3727" t="n">
        <v>-90</v>
      </c>
      <c r="P3727" t="n">
        <v>0.03937</v>
      </c>
      <c r="Q3727" t="n">
        <v>-65</v>
      </c>
      <c r="R3727" t="n">
        <v>0.02484</v>
      </c>
      <c r="S3727">
        <f>IMAGE("https://mitra.stanford.edu/kundaje/oak/projects/neuro-variants/variant_position/credible/roussos_2024/variant_figures/roussos_2024.childhood.GABA/rs11761974_count_position.png",4,220,900)</f>
        <v/>
      </c>
      <c r="T3727">
        <f>IMAGE("https://mitra.stanford.edu/kundaje/oak/projects/neuro-variants/variant_position/credible/roussos_2024/variant_figures/roussos_2024.childhood.GABA/rs11761974_profile_position.png",4,220,900)</f>
        <v/>
      </c>
    </row>
    <row r="3728">
      <c r="A3728" t="inlineStr">
        <is>
          <t>chr7</t>
        </is>
      </c>
      <c r="B3728" t="n">
        <v>82973122</v>
      </c>
      <c r="C3728" t="inlineStr">
        <is>
          <t>G</t>
        </is>
      </c>
      <c r="D3728" t="inlineStr">
        <is>
          <t>T</t>
        </is>
      </c>
      <c r="E3728" t="inlineStr">
        <is>
          <t>rs62458571</t>
        </is>
      </c>
      <c r="F3728" t="n">
        <v>0.0530042144</v>
      </c>
      <c r="G3728" t="n">
        <v>0.1584975493093347</v>
      </c>
      <c r="H3728" t="n">
        <v>0.027602171947228</v>
      </c>
      <c r="I3728" t="n">
        <v>0.0185993915471808</v>
      </c>
      <c r="J3728" t="n">
        <v>0.029615086595045</v>
      </c>
      <c r="K3728" t="n">
        <v>0.5813512861054059</v>
      </c>
      <c r="L3728" t="b">
        <v>1</v>
      </c>
      <c r="M3728" t="b">
        <v>0</v>
      </c>
      <c r="N3728" t="inlineStr">
        <is>
          <t>alt</t>
        </is>
      </c>
      <c r="O3728" t="n">
        <v>-80</v>
      </c>
      <c r="P3728" t="n">
        <v>0.00161</v>
      </c>
      <c r="Q3728" t="n">
        <v>85</v>
      </c>
      <c r="R3728" t="n">
        <v>0.08704000000000001</v>
      </c>
      <c r="S3728">
        <f>IMAGE("https://mitra.stanford.edu/kundaje/oak/projects/neuro-variants/variant_position/credible/roussos_2024/variant_figures/roussos_2024.childhood.GABA/rs62458571_count_position.png",4,220,900)</f>
        <v/>
      </c>
      <c r="T3728">
        <f>IMAGE("https://mitra.stanford.edu/kundaje/oak/projects/neuro-variants/variant_position/credible/roussos_2024/variant_figures/roussos_2024.childhood.GABA/rs62458571_profile_position.png",4,220,900)</f>
        <v/>
      </c>
    </row>
    <row r="3729">
      <c r="A3729" t="inlineStr">
        <is>
          <t>chr7</t>
        </is>
      </c>
      <c r="B3729" t="n">
        <v>86603267</v>
      </c>
      <c r="C3729" t="inlineStr">
        <is>
          <t>C</t>
        </is>
      </c>
      <c r="D3729" t="inlineStr">
        <is>
          <t>T</t>
        </is>
      </c>
      <c r="E3729" t="inlineStr">
        <is>
          <t>rs13244678</t>
        </is>
      </c>
      <c r="F3729" t="n">
        <v>-0.0065974471119999</v>
      </c>
      <c r="G3729" t="n">
        <v>0.7419780885942416</v>
      </c>
      <c r="H3729" t="n">
        <v>0.0207634129301603</v>
      </c>
      <c r="I3729" t="n">
        <v>0.06429874561037489</v>
      </c>
      <c r="J3729" t="n">
        <v>0.0069736759439592</v>
      </c>
      <c r="K3729" t="n">
        <v>0.7851228651986094</v>
      </c>
      <c r="L3729" t="b">
        <v>0</v>
      </c>
      <c r="M3729" t="b">
        <v>0</v>
      </c>
      <c r="N3729" t="inlineStr">
        <is>
          <t>ref</t>
        </is>
      </c>
      <c r="O3729" t="n">
        <v>95</v>
      </c>
      <c r="P3729" t="n">
        <v>0.00538</v>
      </c>
      <c r="Q3729" t="n">
        <v>-95</v>
      </c>
      <c r="R3729" t="n">
        <v>0.11707</v>
      </c>
      <c r="S3729">
        <f>IMAGE("https://mitra.stanford.edu/kundaje/oak/projects/neuro-variants/variant_position/credible/roussos_2024/variant_figures/roussos_2024.childhood.GABA/rs13244678_count_position.png",4,220,900)</f>
        <v/>
      </c>
      <c r="T3729">
        <f>IMAGE("https://mitra.stanford.edu/kundaje/oak/projects/neuro-variants/variant_position/credible/roussos_2024/variant_figures/roussos_2024.childhood.GABA/rs13244678_profile_position.png",4,220,900)</f>
        <v/>
      </c>
    </row>
    <row r="3730">
      <c r="A3730" t="inlineStr">
        <is>
          <t>chr7</t>
        </is>
      </c>
      <c r="B3730" t="n">
        <v>86612034</v>
      </c>
      <c r="C3730" t="inlineStr">
        <is>
          <t>G</t>
        </is>
      </c>
      <c r="D3730" t="inlineStr">
        <is>
          <t>T</t>
        </is>
      </c>
      <c r="E3730" t="inlineStr">
        <is>
          <t>rs13231757</t>
        </is>
      </c>
      <c r="F3730" t="n">
        <v>-0.0619243259999999</v>
      </c>
      <c r="G3730" t="n">
        <v>0.0953967540425429</v>
      </c>
      <c r="H3730" t="n">
        <v>0.0146183565363914</v>
      </c>
      <c r="I3730" t="n">
        <v>0.2452068875229822</v>
      </c>
      <c r="J3730" t="n">
        <v>0.0132813972482251</v>
      </c>
      <c r="K3730" t="n">
        <v>0.7182759470197561</v>
      </c>
      <c r="L3730" t="b">
        <v>0</v>
      </c>
      <c r="M3730" t="b">
        <v>0</v>
      </c>
      <c r="N3730" t="inlineStr">
        <is>
          <t>ref</t>
        </is>
      </c>
      <c r="O3730" t="n">
        <v>-100</v>
      </c>
      <c r="P3730" t="n">
        <v>0.008800000000000001</v>
      </c>
      <c r="Q3730" t="n">
        <v>-85</v>
      </c>
      <c r="R3730" t="n">
        <v>0.05054</v>
      </c>
      <c r="S3730">
        <f>IMAGE("https://mitra.stanford.edu/kundaje/oak/projects/neuro-variants/variant_position/credible/roussos_2024/variant_figures/roussos_2024.childhood.GABA/rs13231757_count_position.png",4,220,900)</f>
        <v/>
      </c>
      <c r="T3730">
        <f>IMAGE("https://mitra.stanford.edu/kundaje/oak/projects/neuro-variants/variant_position/credible/roussos_2024/variant_figures/roussos_2024.childhood.GABA/rs13231757_profile_position.png",4,220,900)</f>
        <v/>
      </c>
    </row>
    <row r="3731">
      <c r="A3731" t="inlineStr">
        <is>
          <t>chr7</t>
        </is>
      </c>
      <c r="B3731" t="n">
        <v>87583088</v>
      </c>
      <c r="C3731" t="inlineStr">
        <is>
          <t>G</t>
        </is>
      </c>
      <c r="D3731" t="inlineStr">
        <is>
          <t>A</t>
        </is>
      </c>
      <c r="E3731" t="inlineStr">
        <is>
          <t>rs117773249</t>
        </is>
      </c>
      <c r="F3731" t="n">
        <v>-0.0280904261999999</v>
      </c>
      <c r="G3731" t="n">
        <v>0.331372629510154</v>
      </c>
      <c r="H3731" t="n">
        <v>0.0137595814827488</v>
      </c>
      <c r="I3731" t="n">
        <v>0.294710575379009</v>
      </c>
      <c r="J3731" t="n">
        <v>0.0033203493120562</v>
      </c>
      <c r="K3731" t="n">
        <v>0.8577609534843322</v>
      </c>
      <c r="L3731" t="b">
        <v>0</v>
      </c>
      <c r="M3731" t="b">
        <v>0</v>
      </c>
      <c r="N3731" t="inlineStr">
        <is>
          <t>ref</t>
        </is>
      </c>
      <c r="O3731" t="n">
        <v>-95</v>
      </c>
      <c r="P3731" t="n">
        <v>0.008194</v>
      </c>
      <c r="Q3731" t="n">
        <v>-75</v>
      </c>
      <c r="R3731" t="n">
        <v>0.0902</v>
      </c>
      <c r="S3731">
        <f>IMAGE("https://mitra.stanford.edu/kundaje/oak/projects/neuro-variants/variant_position/credible/roussos_2024/variant_figures/roussos_2024.childhood.GABA/rs117773249_count_position.png",4,220,900)</f>
        <v/>
      </c>
      <c r="T3731">
        <f>IMAGE("https://mitra.stanford.edu/kundaje/oak/projects/neuro-variants/variant_position/credible/roussos_2024/variant_figures/roussos_2024.childhood.GABA/rs117773249_profile_position.png",4,220,900)</f>
        <v/>
      </c>
    </row>
    <row r="3732">
      <c r="A3732" t="inlineStr">
        <is>
          <t>chr7</t>
        </is>
      </c>
      <c r="B3732" t="n">
        <v>87591900</v>
      </c>
      <c r="C3732" t="inlineStr">
        <is>
          <t>A</t>
        </is>
      </c>
      <c r="D3732" t="inlineStr">
        <is>
          <t>G</t>
        </is>
      </c>
      <c r="E3732" t="inlineStr">
        <is>
          <t>rs1858923</t>
        </is>
      </c>
      <c r="F3732" t="n">
        <v>0.067250063</v>
      </c>
      <c r="G3732" t="n">
        <v>0.0756417468208869</v>
      </c>
      <c r="H3732" t="n">
        <v>0.0167761496820446</v>
      </c>
      <c r="I3732" t="n">
        <v>0.1588076545976891</v>
      </c>
      <c r="J3732" t="n">
        <v>0.0184865238424326</v>
      </c>
      <c r="K3732" t="n">
        <v>0.6846933328961778</v>
      </c>
      <c r="L3732" t="b">
        <v>0</v>
      </c>
      <c r="M3732" t="b">
        <v>0</v>
      </c>
      <c r="N3732" t="inlineStr">
        <is>
          <t>alt</t>
        </is>
      </c>
      <c r="O3732" t="n">
        <v>-60</v>
      </c>
      <c r="P3732" t="n">
        <v>0.002121</v>
      </c>
      <c r="Q3732" t="n">
        <v>-70</v>
      </c>
      <c r="R3732" t="n">
        <v>0.0987</v>
      </c>
      <c r="S3732">
        <f>IMAGE("https://mitra.stanford.edu/kundaje/oak/projects/neuro-variants/variant_position/credible/roussos_2024/variant_figures/roussos_2024.childhood.GABA/rs1858923_count_position.png",4,220,900)</f>
        <v/>
      </c>
      <c r="T3732">
        <f>IMAGE("https://mitra.stanford.edu/kundaje/oak/projects/neuro-variants/variant_position/credible/roussos_2024/variant_figures/roussos_2024.childhood.GABA/rs1858923_profile_position.png",4,220,900)</f>
        <v/>
      </c>
    </row>
    <row r="3733">
      <c r="A3733" t="inlineStr">
        <is>
          <t>chr7</t>
        </is>
      </c>
      <c r="B3733" t="n">
        <v>87714706</v>
      </c>
      <c r="C3733" t="inlineStr">
        <is>
          <t>T</t>
        </is>
      </c>
      <c r="D3733" t="inlineStr">
        <is>
          <t>C</t>
        </is>
      </c>
      <c r="E3733" t="inlineStr">
        <is>
          <t>rs28656907</t>
        </is>
      </c>
      <c r="F3733" t="n">
        <v>0.0932503264</v>
      </c>
      <c r="G3733" t="n">
        <v>0.0357447669394729</v>
      </c>
      <c r="H3733" t="n">
        <v>0.0150468516175483</v>
      </c>
      <c r="I3733" t="n">
        <v>0.2258337407259806</v>
      </c>
      <c r="J3733" t="n">
        <v>0.3433027580574229</v>
      </c>
      <c r="K3733" t="n">
        <v>0.1097125333566731</v>
      </c>
      <c r="L3733" t="b">
        <v>0</v>
      </c>
      <c r="M3733" t="b">
        <v>0</v>
      </c>
      <c r="N3733" t="inlineStr">
        <is>
          <t>alt</t>
        </is>
      </c>
      <c r="O3733" t="n">
        <v>95</v>
      </c>
      <c r="P3733" t="n">
        <v>0.008316</v>
      </c>
      <c r="Q3733" t="n">
        <v>100</v>
      </c>
      <c r="R3733" t="n">
        <v>0.2344</v>
      </c>
      <c r="S3733">
        <f>IMAGE("https://mitra.stanford.edu/kundaje/oak/projects/neuro-variants/variant_position/credible/roussos_2024/variant_figures/roussos_2024.childhood.GABA/rs28656907_count_position.png",4,220,900)</f>
        <v/>
      </c>
      <c r="T3733">
        <f>IMAGE("https://mitra.stanford.edu/kundaje/oak/projects/neuro-variants/variant_position/credible/roussos_2024/variant_figures/roussos_2024.childhood.GABA/rs28656907_profile_position.png",4,220,900)</f>
        <v/>
      </c>
    </row>
    <row r="3734">
      <c r="A3734" t="inlineStr">
        <is>
          <t>chr7</t>
        </is>
      </c>
      <c r="B3734" t="n">
        <v>87801354</v>
      </c>
      <c r="C3734" t="inlineStr">
        <is>
          <t>G</t>
        </is>
      </c>
      <c r="D3734" t="inlineStr">
        <is>
          <t>A</t>
        </is>
      </c>
      <c r="E3734" t="inlineStr">
        <is>
          <t>rs12704370</t>
        </is>
      </c>
      <c r="F3734" t="n">
        <v>0.0365539609999999</v>
      </c>
      <c r="G3734" t="n">
        <v>0.2280913260595885</v>
      </c>
      <c r="H3734" t="n">
        <v>0.0199912539671489</v>
      </c>
      <c r="I3734" t="n">
        <v>0.0772880575821154</v>
      </c>
      <c r="J3734" t="n">
        <v>0.006410336956294</v>
      </c>
      <c r="K3734" t="n">
        <v>0.7854288049906818</v>
      </c>
      <c r="L3734" t="b">
        <v>0</v>
      </c>
      <c r="M3734" t="b">
        <v>0</v>
      </c>
      <c r="N3734" t="inlineStr">
        <is>
          <t>alt</t>
        </is>
      </c>
      <c r="O3734" t="n">
        <v>25</v>
      </c>
      <c r="P3734" t="n">
        <v>0.0009365</v>
      </c>
      <c r="Q3734" t="n">
        <v>5</v>
      </c>
      <c r="R3734" t="n">
        <v>0.007477</v>
      </c>
      <c r="S3734">
        <f>IMAGE("https://mitra.stanford.edu/kundaje/oak/projects/neuro-variants/variant_position/credible/roussos_2024/variant_figures/roussos_2024.childhood.GABA/rs12704370_count_position.png",4,220,900)</f>
        <v/>
      </c>
      <c r="T3734">
        <f>IMAGE("https://mitra.stanford.edu/kundaje/oak/projects/neuro-variants/variant_position/credible/roussos_2024/variant_figures/roussos_2024.childhood.GABA/rs12704370_profile_position.png",4,220,900)</f>
        <v/>
      </c>
    </row>
    <row r="3735">
      <c r="A3735" t="inlineStr">
        <is>
          <t>chr7</t>
        </is>
      </c>
      <c r="B3735" t="n">
        <v>87904753</v>
      </c>
      <c r="C3735" t="inlineStr">
        <is>
          <t>A</t>
        </is>
      </c>
      <c r="D3735" t="inlineStr">
        <is>
          <t>C</t>
        </is>
      </c>
      <c r="E3735" t="inlineStr">
        <is>
          <t>rs77491588</t>
        </is>
      </c>
      <c r="F3735" t="n">
        <v>0.0087540336119999</v>
      </c>
      <c r="G3735" t="n">
        <v>0.6648246629263772</v>
      </c>
      <c r="H3735" t="n">
        <v>0.0245140714916012</v>
      </c>
      <c r="I3735" t="n">
        <v>0.0319148280210454</v>
      </c>
      <c r="J3735" t="n">
        <v>0.0057778894682833</v>
      </c>
      <c r="K3735" t="n">
        <v>0.8006758954084098</v>
      </c>
      <c r="L3735" t="b">
        <v>0</v>
      </c>
      <c r="M3735" t="b">
        <v>0</v>
      </c>
      <c r="N3735" t="inlineStr">
        <is>
          <t>alt</t>
        </is>
      </c>
      <c r="O3735" t="n">
        <v>85</v>
      </c>
      <c r="P3735" t="n">
        <v>0.05054</v>
      </c>
      <c r="Q3735" t="n">
        <v>-25</v>
      </c>
      <c r="R3735" t="n">
        <v>0.02107</v>
      </c>
      <c r="S3735">
        <f>IMAGE("https://mitra.stanford.edu/kundaje/oak/projects/neuro-variants/variant_position/credible/roussos_2024/variant_figures/roussos_2024.childhood.GABA/rs77491588_count_position.png",4,220,900)</f>
        <v/>
      </c>
      <c r="T3735">
        <f>IMAGE("https://mitra.stanford.edu/kundaje/oak/projects/neuro-variants/variant_position/credible/roussos_2024/variant_figures/roussos_2024.childhood.GABA/rs77491588_profile_position.png",4,220,900)</f>
        <v/>
      </c>
    </row>
    <row r="3736">
      <c r="A3736" t="inlineStr">
        <is>
          <t>chr7</t>
        </is>
      </c>
      <c r="B3736" t="n">
        <v>94589318</v>
      </c>
      <c r="C3736" t="inlineStr">
        <is>
          <t>C</t>
        </is>
      </c>
      <c r="D3736" t="inlineStr">
        <is>
          <t>T</t>
        </is>
      </c>
      <c r="E3736" t="inlineStr">
        <is>
          <t>rs79065506</t>
        </is>
      </c>
      <c r="F3736" t="n">
        <v>0.0159404076</v>
      </c>
      <c r="G3736" t="n">
        <v>0.4923391949123174</v>
      </c>
      <c r="H3736" t="n">
        <v>0.0237059645025168</v>
      </c>
      <c r="I3736" t="n">
        <v>0.0360195428256239</v>
      </c>
      <c r="J3736" t="n">
        <v>0.0252162258382022</v>
      </c>
      <c r="K3736" t="n">
        <v>0.6313252372447138</v>
      </c>
      <c r="L3736" t="b">
        <v>0</v>
      </c>
      <c r="M3736" t="b">
        <v>0</v>
      </c>
      <c r="N3736" t="inlineStr">
        <is>
          <t>alt</t>
        </is>
      </c>
      <c r="O3736" t="n">
        <v>-55</v>
      </c>
      <c r="P3736" t="n">
        <v>0.003002</v>
      </c>
      <c r="Q3736" t="n">
        <v>-100</v>
      </c>
      <c r="R3736" t="n">
        <v>0.0325</v>
      </c>
      <c r="S3736">
        <f>IMAGE("https://mitra.stanford.edu/kundaje/oak/projects/neuro-variants/variant_position/credible/roussos_2024/variant_figures/roussos_2024.childhood.GABA/rs79065506_count_position.png",4,220,900)</f>
        <v/>
      </c>
      <c r="T3736">
        <f>IMAGE("https://mitra.stanford.edu/kundaje/oak/projects/neuro-variants/variant_position/credible/roussos_2024/variant_figures/roussos_2024.childhood.GABA/rs79065506_profile_position.png",4,220,900)</f>
        <v/>
      </c>
    </row>
    <row r="3737">
      <c r="A3737" t="inlineStr">
        <is>
          <t>chr7</t>
        </is>
      </c>
      <c r="B3737" t="n">
        <v>94589324</v>
      </c>
      <c r="C3737" t="inlineStr">
        <is>
          <t>G</t>
        </is>
      </c>
      <c r="D3737" t="inlineStr">
        <is>
          <t>T</t>
        </is>
      </c>
      <c r="E3737" t="inlineStr">
        <is>
          <t>rs78742611</t>
        </is>
      </c>
      <c r="F3737" t="n">
        <v>0.0131420046</v>
      </c>
      <c r="G3737" t="n">
        <v>0.4817501231738502</v>
      </c>
      <c r="H3737" t="n">
        <v>0.0279136200981124</v>
      </c>
      <c r="I3737" t="n">
        <v>0.0171170264677045</v>
      </c>
      <c r="J3737" t="n">
        <v>0.0248968607987266</v>
      </c>
      <c r="K3737" t="n">
        <v>0.6329140707948246</v>
      </c>
      <c r="L3737" t="b">
        <v>1</v>
      </c>
      <c r="M3737" t="b">
        <v>0</v>
      </c>
      <c r="N3737" t="inlineStr">
        <is>
          <t>alt</t>
        </is>
      </c>
      <c r="O3737" t="n">
        <v>80</v>
      </c>
      <c r="P3737" t="n">
        <v>0.001783</v>
      </c>
      <c r="Q3737" t="n">
        <v>-100</v>
      </c>
      <c r="R3737" t="n">
        <v>0.04294</v>
      </c>
      <c r="S3737">
        <f>IMAGE("https://mitra.stanford.edu/kundaje/oak/projects/neuro-variants/variant_position/credible/roussos_2024/variant_figures/roussos_2024.childhood.GABA/rs78742611_count_position.png",4,220,900)</f>
        <v/>
      </c>
      <c r="T3737">
        <f>IMAGE("https://mitra.stanford.edu/kundaje/oak/projects/neuro-variants/variant_position/credible/roussos_2024/variant_figures/roussos_2024.childhood.GABA/rs78742611_profile_position.png",4,220,900)</f>
        <v/>
      </c>
    </row>
    <row r="3738">
      <c r="A3738" t="inlineStr">
        <is>
          <t>chr7</t>
        </is>
      </c>
      <c r="B3738" t="n">
        <v>94605787</v>
      </c>
      <c r="C3738" t="inlineStr">
        <is>
          <t>C</t>
        </is>
      </c>
      <c r="D3738" t="inlineStr">
        <is>
          <t>A</t>
        </is>
      </c>
      <c r="E3738" t="inlineStr">
        <is>
          <t>rs6979891</t>
        </is>
      </c>
      <c r="F3738" t="n">
        <v>-0.00757322318</v>
      </c>
      <c r="G3738" t="n">
        <v>0.6302651077140864</v>
      </c>
      <c r="H3738" t="n">
        <v>0.0265113069708527</v>
      </c>
      <c r="I3738" t="n">
        <v>0.0219104853733614</v>
      </c>
      <c r="J3738" t="n">
        <v>0.0047820988042134</v>
      </c>
      <c r="K3738" t="n">
        <v>0.817640691050015</v>
      </c>
      <c r="L3738" t="b">
        <v>0</v>
      </c>
      <c r="M3738" t="b">
        <v>0</v>
      </c>
      <c r="N3738" t="inlineStr">
        <is>
          <t>ref</t>
        </is>
      </c>
      <c r="O3738" t="n">
        <v>100</v>
      </c>
      <c r="P3738" t="n">
        <v>0.00978</v>
      </c>
      <c r="Q3738" t="n">
        <v>90</v>
      </c>
      <c r="R3738" t="n">
        <v>0.01746</v>
      </c>
      <c r="S3738">
        <f>IMAGE("https://mitra.stanford.edu/kundaje/oak/projects/neuro-variants/variant_position/credible/roussos_2024/variant_figures/roussos_2024.childhood.GABA/rs6979891_count_position.png",4,220,900)</f>
        <v/>
      </c>
      <c r="T3738">
        <f>IMAGE("https://mitra.stanford.edu/kundaje/oak/projects/neuro-variants/variant_position/credible/roussos_2024/variant_figures/roussos_2024.childhood.GABA/rs6979891_profile_position.png",4,220,900)</f>
        <v/>
      </c>
    </row>
    <row r="3739">
      <c r="A3739" t="inlineStr">
        <is>
          <t>chr7</t>
        </is>
      </c>
      <c r="B3739" t="n">
        <v>94627959</v>
      </c>
      <c r="C3739" t="inlineStr">
        <is>
          <t>G</t>
        </is>
      </c>
      <c r="D3739" t="inlineStr">
        <is>
          <t>A</t>
        </is>
      </c>
      <c r="E3739" t="inlineStr">
        <is>
          <t>rs883176</t>
        </is>
      </c>
      <c r="F3739" t="n">
        <v>0.01716187176</v>
      </c>
      <c r="G3739" t="n">
        <v>0.4694701740634058</v>
      </c>
      <c r="H3739" t="n">
        <v>0.0241220972060778</v>
      </c>
      <c r="I3739" t="n">
        <v>0.034180024877279</v>
      </c>
      <c r="J3739" t="n">
        <v>0.0045339364620635</v>
      </c>
      <c r="K3739" t="n">
        <v>0.8236314077814711</v>
      </c>
      <c r="L3739" t="b">
        <v>0</v>
      </c>
      <c r="M3739" t="b">
        <v>0</v>
      </c>
      <c r="N3739" t="inlineStr">
        <is>
          <t>alt</t>
        </is>
      </c>
      <c r="O3739" t="n">
        <v>-5</v>
      </c>
      <c r="P3739" t="n">
        <v>0.0004272</v>
      </c>
      <c r="Q3739" t="n">
        <v>95</v>
      </c>
      <c r="R3739" t="n">
        <v>0.02426</v>
      </c>
      <c r="S3739">
        <f>IMAGE("https://mitra.stanford.edu/kundaje/oak/projects/neuro-variants/variant_position/credible/roussos_2024/variant_figures/roussos_2024.childhood.GABA/rs883176_count_position.png",4,220,900)</f>
        <v/>
      </c>
      <c r="T3739">
        <f>IMAGE("https://mitra.stanford.edu/kundaje/oak/projects/neuro-variants/variant_position/credible/roussos_2024/variant_figures/roussos_2024.childhood.GABA/rs883176_profile_position.png",4,220,900)</f>
        <v/>
      </c>
    </row>
    <row r="3740">
      <c r="A3740" t="inlineStr">
        <is>
          <t>chr7</t>
        </is>
      </c>
      <c r="B3740" t="n">
        <v>94643899</v>
      </c>
      <c r="C3740" t="inlineStr">
        <is>
          <t>G</t>
        </is>
      </c>
      <c r="D3740" t="inlineStr">
        <is>
          <t>T</t>
        </is>
      </c>
      <c r="E3740" t="inlineStr">
        <is>
          <t>rs17166402</t>
        </is>
      </c>
      <c r="F3740" t="n">
        <v>-0.008764717139999999</v>
      </c>
      <c r="G3740" t="n">
        <v>0.6697156897710261</v>
      </c>
      <c r="H3740" t="n">
        <v>0.0217728405943621</v>
      </c>
      <c r="I3740" t="n">
        <v>0.0539337330700269</v>
      </c>
      <c r="J3740" t="n">
        <v>0.010038533224435</v>
      </c>
      <c r="K3740" t="n">
        <v>0.7408191655083184</v>
      </c>
      <c r="L3740" t="b">
        <v>0</v>
      </c>
      <c r="M3740" t="b">
        <v>0</v>
      </c>
      <c r="N3740" t="inlineStr">
        <is>
          <t>ref</t>
        </is>
      </c>
      <c r="O3740" t="n">
        <v>35</v>
      </c>
      <c r="P3740" t="n">
        <v>0.0015335</v>
      </c>
      <c r="Q3740" t="n">
        <v>5</v>
      </c>
      <c r="R3740" t="n">
        <v>0.004135</v>
      </c>
      <c r="S3740">
        <f>IMAGE("https://mitra.stanford.edu/kundaje/oak/projects/neuro-variants/variant_position/credible/roussos_2024/variant_figures/roussos_2024.childhood.GABA/rs17166402_count_position.png",4,220,900)</f>
        <v/>
      </c>
      <c r="T3740">
        <f>IMAGE("https://mitra.stanford.edu/kundaje/oak/projects/neuro-variants/variant_position/credible/roussos_2024/variant_figures/roussos_2024.childhood.GABA/rs17166402_profile_position.png",4,220,900)</f>
        <v/>
      </c>
    </row>
    <row r="3741">
      <c r="A3741" t="inlineStr">
        <is>
          <t>chr7</t>
        </is>
      </c>
      <c r="B3741" t="n">
        <v>94643922</v>
      </c>
      <c r="C3741" t="inlineStr">
        <is>
          <t>G</t>
        </is>
      </c>
      <c r="D3741" t="inlineStr">
        <is>
          <t>A</t>
        </is>
      </c>
      <c r="E3741" t="inlineStr">
        <is>
          <t>rs17166404</t>
        </is>
      </c>
      <c r="F3741" t="n">
        <v>0.0094681978</v>
      </c>
      <c r="G3741" t="n">
        <v>0.6433804896263434</v>
      </c>
      <c r="H3741" t="n">
        <v>0.0191787657942857</v>
      </c>
      <c r="I3741" t="n">
        <v>0.0896983710662186</v>
      </c>
      <c r="J3741" t="n">
        <v>0.0116741010659461</v>
      </c>
      <c r="K3741" t="n">
        <v>0.7221358224635152</v>
      </c>
      <c r="L3741" t="b">
        <v>0</v>
      </c>
      <c r="M3741" t="b">
        <v>0</v>
      </c>
      <c r="N3741" t="inlineStr">
        <is>
          <t>alt</t>
        </is>
      </c>
      <c r="O3741" t="n">
        <v>-60</v>
      </c>
      <c r="P3741" t="n">
        <v>0.00029</v>
      </c>
      <c r="Q3741" t="n">
        <v>-20</v>
      </c>
      <c r="R3741" t="n">
        <v>0.03778</v>
      </c>
      <c r="S3741">
        <f>IMAGE("https://mitra.stanford.edu/kundaje/oak/projects/neuro-variants/variant_position/credible/roussos_2024/variant_figures/roussos_2024.childhood.GABA/rs17166404_count_position.png",4,220,900)</f>
        <v/>
      </c>
      <c r="T3741">
        <f>IMAGE("https://mitra.stanford.edu/kundaje/oak/projects/neuro-variants/variant_position/credible/roussos_2024/variant_figures/roussos_2024.childhood.GABA/rs17166404_profile_position.png",4,220,900)</f>
        <v/>
      </c>
    </row>
    <row r="3742">
      <c r="A3742" t="inlineStr">
        <is>
          <t>chr7</t>
        </is>
      </c>
      <c r="B3742" t="n">
        <v>94644326</v>
      </c>
      <c r="C3742" t="inlineStr">
        <is>
          <t>T</t>
        </is>
      </c>
      <c r="D3742" t="inlineStr">
        <is>
          <t>C</t>
        </is>
      </c>
      <c r="E3742" t="inlineStr">
        <is>
          <t>rs17166406</t>
        </is>
      </c>
      <c r="F3742" t="n">
        <v>0.0310359794</v>
      </c>
      <c r="G3742" t="n">
        <v>0.270187561650879</v>
      </c>
      <c r="H3742" t="n">
        <v>0.0146300591100813</v>
      </c>
      <c r="I3742" t="n">
        <v>0.2487063466577823</v>
      </c>
      <c r="J3742" t="n">
        <v>0.0505518209042742</v>
      </c>
      <c r="K3742" t="n">
        <v>0.481718854676016</v>
      </c>
      <c r="L3742" t="b">
        <v>0</v>
      </c>
      <c r="M3742" t="b">
        <v>0</v>
      </c>
      <c r="N3742" t="inlineStr">
        <is>
          <t>alt</t>
        </is>
      </c>
      <c r="O3742" t="n">
        <v>85</v>
      </c>
      <c r="P3742" t="n">
        <v>0.01585</v>
      </c>
      <c r="Q3742" t="n">
        <v>45</v>
      </c>
      <c r="R3742" t="n">
        <v>0.2018</v>
      </c>
      <c r="S3742">
        <f>IMAGE("https://mitra.stanford.edu/kundaje/oak/projects/neuro-variants/variant_position/credible/roussos_2024/variant_figures/roussos_2024.childhood.GABA/rs17166406_count_position.png",4,220,900)</f>
        <v/>
      </c>
      <c r="T3742">
        <f>IMAGE("https://mitra.stanford.edu/kundaje/oak/projects/neuro-variants/variant_position/credible/roussos_2024/variant_figures/roussos_2024.childhood.GABA/rs17166406_profile_position.png",4,220,900)</f>
        <v/>
      </c>
    </row>
    <row r="3743">
      <c r="A3743" t="inlineStr">
        <is>
          <t>chr7</t>
        </is>
      </c>
      <c r="B3743" t="n">
        <v>94644720</v>
      </c>
      <c r="C3743" t="inlineStr">
        <is>
          <t>T</t>
        </is>
      </c>
      <c r="D3743" t="inlineStr">
        <is>
          <t>C</t>
        </is>
      </c>
      <c r="E3743" t="inlineStr">
        <is>
          <t>rs13241095</t>
        </is>
      </c>
      <c r="F3743" t="n">
        <v>0.0488690626</v>
      </c>
      <c r="G3743" t="n">
        <v>0.1498876224159185</v>
      </c>
      <c r="H3743" t="n">
        <v>0.0200984050382719</v>
      </c>
      <c r="I3743" t="n">
        <v>0.0754744349906029</v>
      </c>
      <c r="J3743" t="n">
        <v>0.037170949299491</v>
      </c>
      <c r="K3743" t="n">
        <v>0.5396530217817425</v>
      </c>
      <c r="L3743" t="b">
        <v>0</v>
      </c>
      <c r="M3743" t="b">
        <v>0</v>
      </c>
      <c r="N3743" t="inlineStr">
        <is>
          <t>alt</t>
        </is>
      </c>
      <c r="O3743" t="n">
        <v>100</v>
      </c>
      <c r="P3743" t="n">
        <v>0.01363</v>
      </c>
      <c r="Q3743" t="n">
        <v>-100</v>
      </c>
      <c r="R3743" t="n">
        <v>0.09265</v>
      </c>
      <c r="S3743">
        <f>IMAGE("https://mitra.stanford.edu/kundaje/oak/projects/neuro-variants/variant_position/credible/roussos_2024/variant_figures/roussos_2024.childhood.GABA/rs13241095_count_position.png",4,220,900)</f>
        <v/>
      </c>
      <c r="T3743">
        <f>IMAGE("https://mitra.stanford.edu/kundaje/oak/projects/neuro-variants/variant_position/credible/roussos_2024/variant_figures/roussos_2024.childhood.GABA/rs13241095_profile_position.png",4,220,900)</f>
        <v/>
      </c>
    </row>
    <row r="3744">
      <c r="A3744" t="inlineStr">
        <is>
          <t>chr7</t>
        </is>
      </c>
      <c r="B3744" t="n">
        <v>94645049</v>
      </c>
      <c r="C3744" t="inlineStr">
        <is>
          <t>T</t>
        </is>
      </c>
      <c r="D3744" t="inlineStr">
        <is>
          <t>G</t>
        </is>
      </c>
      <c r="E3744" t="inlineStr">
        <is>
          <t>rs13241489</t>
        </is>
      </c>
      <c r="F3744" t="n">
        <v>0.0068421515999999</v>
      </c>
      <c r="G3744" t="n">
        <v>0.6945940512139978</v>
      </c>
      <c r="H3744" t="n">
        <v>0.0202018832780219</v>
      </c>
      <c r="I3744" t="n">
        <v>0.07159598511171029</v>
      </c>
      <c r="J3744" t="n">
        <v>0.0062155766371384</v>
      </c>
      <c r="K3744" t="n">
        <v>0.7906324826829512</v>
      </c>
      <c r="L3744" t="b">
        <v>0</v>
      </c>
      <c r="M3744" t="b">
        <v>0</v>
      </c>
      <c r="N3744" t="inlineStr">
        <is>
          <t>alt</t>
        </is>
      </c>
      <c r="O3744" t="n">
        <v>-100</v>
      </c>
      <c r="P3744" t="n">
        <v>0.02919</v>
      </c>
      <c r="Q3744" t="n">
        <v>-5</v>
      </c>
      <c r="R3744" t="n">
        <v>0.003845</v>
      </c>
      <c r="S3744">
        <f>IMAGE("https://mitra.stanford.edu/kundaje/oak/projects/neuro-variants/variant_position/credible/roussos_2024/variant_figures/roussos_2024.childhood.GABA/rs13241489_count_position.png",4,220,900)</f>
        <v/>
      </c>
      <c r="T3744">
        <f>IMAGE("https://mitra.stanford.edu/kundaje/oak/projects/neuro-variants/variant_position/credible/roussos_2024/variant_figures/roussos_2024.childhood.GABA/rs13241489_profile_position.png",4,220,900)</f>
        <v/>
      </c>
    </row>
    <row r="3745">
      <c r="A3745" t="inlineStr">
        <is>
          <t>chr7</t>
        </is>
      </c>
      <c r="B3745" t="n">
        <v>94652446</v>
      </c>
      <c r="C3745" t="inlineStr">
        <is>
          <t>T</t>
        </is>
      </c>
      <c r="D3745" t="inlineStr">
        <is>
          <t>C</t>
        </is>
      </c>
      <c r="E3745" t="inlineStr">
        <is>
          <t>rs13307062</t>
        </is>
      </c>
      <c r="F3745" t="n">
        <v>-0.0736968077999999</v>
      </c>
      <c r="G3745" t="n">
        <v>0.07249403107842201</v>
      </c>
      <c r="H3745" t="n">
        <v>0.0307817197617935</v>
      </c>
      <c r="I3745" t="n">
        <v>0.0126191029500681</v>
      </c>
      <c r="J3745" t="n">
        <v>0.0340432661096102</v>
      </c>
      <c r="K3745" t="n">
        <v>0.5644799417482156</v>
      </c>
      <c r="L3745" t="b">
        <v>1</v>
      </c>
      <c r="M3745" t="b">
        <v>0</v>
      </c>
      <c r="N3745" t="inlineStr">
        <is>
          <t>ref</t>
        </is>
      </c>
      <c r="O3745" t="n">
        <v>-85</v>
      </c>
      <c r="P3745" t="n">
        <v>0.000931</v>
      </c>
      <c r="Q3745" t="n">
        <v>60</v>
      </c>
      <c r="R3745" t="n">
        <v>0.0299</v>
      </c>
      <c r="S3745">
        <f>IMAGE("https://mitra.stanford.edu/kundaje/oak/projects/neuro-variants/variant_position/credible/roussos_2024/variant_figures/roussos_2024.childhood.GABA/rs13307062_count_position.png",4,220,900)</f>
        <v/>
      </c>
      <c r="T3745">
        <f>IMAGE("https://mitra.stanford.edu/kundaje/oak/projects/neuro-variants/variant_position/credible/roussos_2024/variant_figures/roussos_2024.childhood.GABA/rs13307062_profile_position.png",4,220,900)</f>
        <v/>
      </c>
    </row>
    <row r="3746">
      <c r="A3746" t="inlineStr">
        <is>
          <t>chr7</t>
        </is>
      </c>
      <c r="B3746" t="n">
        <v>94782211</v>
      </c>
      <c r="C3746" t="inlineStr">
        <is>
          <t>T</t>
        </is>
      </c>
      <c r="D3746" t="inlineStr">
        <is>
          <t>C</t>
        </is>
      </c>
      <c r="E3746" t="inlineStr">
        <is>
          <t>rs34376444</t>
        </is>
      </c>
      <c r="F3746" t="n">
        <v>0.06330530719999999</v>
      </c>
      <c r="G3746" t="n">
        <v>0.08053531859910899</v>
      </c>
      <c r="H3746" t="n">
        <v>0.0133194156138413</v>
      </c>
      <c r="I3746" t="n">
        <v>0.328617455574229</v>
      </c>
      <c r="J3746" t="n">
        <v>0.0034386714414357</v>
      </c>
      <c r="K3746" t="n">
        <v>0.8445567014581613</v>
      </c>
      <c r="L3746" t="b">
        <v>0</v>
      </c>
      <c r="M3746" t="b">
        <v>0</v>
      </c>
      <c r="N3746" t="inlineStr">
        <is>
          <t>alt</t>
        </is>
      </c>
      <c r="O3746" t="n">
        <v>-100</v>
      </c>
      <c r="P3746" t="n">
        <v>0.01161</v>
      </c>
      <c r="Q3746" t="n">
        <v>-80</v>
      </c>
      <c r="R3746" t="n">
        <v>0.04236</v>
      </c>
      <c r="S3746">
        <f>IMAGE("https://mitra.stanford.edu/kundaje/oak/projects/neuro-variants/variant_position/credible/roussos_2024/variant_figures/roussos_2024.childhood.GABA/rs34376444_count_position.png",4,220,900)</f>
        <v/>
      </c>
      <c r="T3746">
        <f>IMAGE("https://mitra.stanford.edu/kundaje/oak/projects/neuro-variants/variant_position/credible/roussos_2024/variant_figures/roussos_2024.childhood.GABA/rs34376444_profile_position.png",4,220,900)</f>
        <v/>
      </c>
    </row>
    <row r="3747">
      <c r="A3747" t="inlineStr">
        <is>
          <t>chr7</t>
        </is>
      </c>
      <c r="B3747" t="n">
        <v>94819397</v>
      </c>
      <c r="C3747" t="inlineStr">
        <is>
          <t>C</t>
        </is>
      </c>
      <c r="D3747" t="inlineStr">
        <is>
          <t>T</t>
        </is>
      </c>
      <c r="E3747" t="inlineStr">
        <is>
          <t>rs34578239</t>
        </is>
      </c>
      <c r="F3747" t="n">
        <v>-0.01052149338</v>
      </c>
      <c r="G3747" t="n">
        <v>0.5935961269161157</v>
      </c>
      <c r="H3747" t="n">
        <v>0.008534250086896801</v>
      </c>
      <c r="I3747" t="n">
        <v>0.8072189862875606</v>
      </c>
      <c r="J3747" t="n">
        <v>0.135187744759272</v>
      </c>
      <c r="K3747" t="n">
        <v>0.2934160665995176</v>
      </c>
      <c r="L3747" t="b">
        <v>0</v>
      </c>
      <c r="M3747" t="b">
        <v>0</v>
      </c>
      <c r="N3747" t="inlineStr">
        <is>
          <t>ref</t>
        </is>
      </c>
      <c r="O3747" t="n">
        <v>-95</v>
      </c>
      <c r="P3747" t="n">
        <v>0.004696</v>
      </c>
      <c r="Q3747" t="n">
        <v>70</v>
      </c>
      <c r="R3747" t="n">
        <v>0.0857</v>
      </c>
      <c r="S3747">
        <f>IMAGE("https://mitra.stanford.edu/kundaje/oak/projects/neuro-variants/variant_position/credible/roussos_2024/variant_figures/roussos_2024.childhood.GABA/rs34578239_count_position.png",4,220,900)</f>
        <v/>
      </c>
      <c r="T3747">
        <f>IMAGE("https://mitra.stanford.edu/kundaje/oak/projects/neuro-variants/variant_position/credible/roussos_2024/variant_figures/roussos_2024.childhood.GABA/rs34578239_profile_position.png",4,220,900)</f>
        <v/>
      </c>
    </row>
    <row r="3748">
      <c r="A3748" t="inlineStr">
        <is>
          <t>chr7</t>
        </is>
      </c>
      <c r="B3748" t="n">
        <v>100668458</v>
      </c>
      <c r="C3748" t="inlineStr">
        <is>
          <t>T</t>
        </is>
      </c>
      <c r="D3748" t="inlineStr">
        <is>
          <t>C</t>
        </is>
      </c>
      <c r="E3748" t="inlineStr">
        <is>
          <t>rs221786</t>
        </is>
      </c>
      <c r="F3748" t="n">
        <v>0.045486243</v>
      </c>
      <c r="G3748" t="n">
        <v>0.164761699300993</v>
      </c>
      <c r="H3748" t="n">
        <v>0.0097942679643376</v>
      </c>
      <c r="I3748" t="n">
        <v>0.6672725427467956</v>
      </c>
      <c r="J3748" t="n">
        <v>0.2577087390839981</v>
      </c>
      <c r="K3748" t="n">
        <v>0.1659599257724636</v>
      </c>
      <c r="L3748" t="b">
        <v>0</v>
      </c>
      <c r="M3748" t="b">
        <v>0</v>
      </c>
      <c r="N3748" t="inlineStr">
        <is>
          <t>alt</t>
        </is>
      </c>
      <c r="O3748" t="n">
        <v>-95</v>
      </c>
      <c r="P3748" t="n">
        <v>0.015396</v>
      </c>
      <c r="Q3748" t="n">
        <v>-90</v>
      </c>
      <c r="R3748" t="n">
        <v>0.157</v>
      </c>
      <c r="S3748">
        <f>IMAGE("https://mitra.stanford.edu/kundaje/oak/projects/neuro-variants/variant_position/credible/roussos_2024/variant_figures/roussos_2024.childhood.GABA/rs221786_count_position.png",4,220,900)</f>
        <v/>
      </c>
      <c r="T3748">
        <f>IMAGE("https://mitra.stanford.edu/kundaje/oak/projects/neuro-variants/variant_position/credible/roussos_2024/variant_figures/roussos_2024.childhood.GABA/rs221786_profile_position.png",4,220,900)</f>
        <v/>
      </c>
    </row>
    <row r="3749">
      <c r="A3749" t="inlineStr">
        <is>
          <t>chr7</t>
        </is>
      </c>
      <c r="B3749" t="n">
        <v>100681034</v>
      </c>
      <c r="C3749" t="inlineStr">
        <is>
          <t>A</t>
        </is>
      </c>
      <c r="D3749" t="inlineStr">
        <is>
          <t>G</t>
        </is>
      </c>
      <c r="E3749" t="inlineStr">
        <is>
          <t>rs221792</t>
        </is>
      </c>
      <c r="F3749" t="n">
        <v>0.101884205</v>
      </c>
      <c r="G3749" t="n">
        <v>0.0265775762673784</v>
      </c>
      <c r="H3749" t="n">
        <v>0.0171410539008086</v>
      </c>
      <c r="I3749" t="n">
        <v>0.1382695721003587</v>
      </c>
      <c r="J3749" t="n">
        <v>0.5784266298087999</v>
      </c>
      <c r="K3749" t="n">
        <v>0.0327245947381697</v>
      </c>
      <c r="L3749" t="b">
        <v>0</v>
      </c>
      <c r="M3749" t="b">
        <v>0</v>
      </c>
      <c r="N3749" t="inlineStr">
        <is>
          <t>alt</t>
        </is>
      </c>
      <c r="O3749" t="n">
        <v>100</v>
      </c>
      <c r="P3749" t="n">
        <v>0.0148</v>
      </c>
      <c r="Q3749" t="n">
        <v>0</v>
      </c>
      <c r="R3749" t="n">
        <v>0</v>
      </c>
      <c r="S3749">
        <f>IMAGE("https://mitra.stanford.edu/kundaje/oak/projects/neuro-variants/variant_position/credible/roussos_2024/variant_figures/roussos_2024.childhood.GABA/rs221792_count_position.png",4,220,900)</f>
        <v/>
      </c>
      <c r="T3749">
        <f>IMAGE("https://mitra.stanford.edu/kundaje/oak/projects/neuro-variants/variant_position/credible/roussos_2024/variant_figures/roussos_2024.childhood.GABA/rs221792_profile_position.png",4,220,900)</f>
        <v/>
      </c>
    </row>
    <row r="3750">
      <c r="A3750" t="inlineStr">
        <is>
          <t>chr7</t>
        </is>
      </c>
      <c r="B3750" t="n">
        <v>100855586</v>
      </c>
      <c r="C3750" t="inlineStr">
        <is>
          <t>T</t>
        </is>
      </c>
      <c r="D3750" t="inlineStr">
        <is>
          <t>C</t>
        </is>
      </c>
      <c r="E3750" t="inlineStr">
        <is>
          <t>rs314370</t>
        </is>
      </c>
      <c r="F3750" t="n">
        <v>0.1155684772</v>
      </c>
      <c r="G3750" t="n">
        <v>0.0207880316500507</v>
      </c>
      <c r="H3750" t="n">
        <v>0.0211183429068658</v>
      </c>
      <c r="I3750" t="n">
        <v>0.0624866376948957</v>
      </c>
      <c r="J3750" t="n">
        <v>0.2652761198718351</v>
      </c>
      <c r="K3750" t="n">
        <v>0.1613469344076826</v>
      </c>
      <c r="L3750" t="b">
        <v>0</v>
      </c>
      <c r="M3750" t="b">
        <v>0</v>
      </c>
      <c r="N3750" t="inlineStr">
        <is>
          <t>alt</t>
        </is>
      </c>
      <c r="O3750" t="n">
        <v>45</v>
      </c>
      <c r="P3750" t="n">
        <v>0.001724</v>
      </c>
      <c r="Q3750" t="n">
        <v>75</v>
      </c>
      <c r="R3750" t="n">
        <v>0.0634</v>
      </c>
      <c r="S3750">
        <f>IMAGE("https://mitra.stanford.edu/kundaje/oak/projects/neuro-variants/variant_position/credible/roussos_2024/variant_figures/roussos_2024.childhood.GABA/rs314370_count_position.png",4,220,900)</f>
        <v/>
      </c>
      <c r="T3750">
        <f>IMAGE("https://mitra.stanford.edu/kundaje/oak/projects/neuro-variants/variant_position/credible/roussos_2024/variant_figures/roussos_2024.childhood.GABA/rs314370_profile_position.png",4,220,900)</f>
        <v/>
      </c>
    </row>
    <row r="3751">
      <c r="A3751" t="inlineStr">
        <is>
          <t>chr7</t>
        </is>
      </c>
      <c r="B3751" t="n">
        <v>100870078</v>
      </c>
      <c r="C3751" t="inlineStr">
        <is>
          <t>C</t>
        </is>
      </c>
      <c r="D3751" t="inlineStr">
        <is>
          <t>T</t>
        </is>
      </c>
      <c r="E3751" t="inlineStr">
        <is>
          <t>rs12705090</t>
        </is>
      </c>
      <c r="F3751" t="n">
        <v>-0.0238353052</v>
      </c>
      <c r="G3751" t="n">
        <v>0.371315456940393</v>
      </c>
      <c r="H3751" t="n">
        <v>0.0157500196111879</v>
      </c>
      <c r="I3751" t="n">
        <v>0.2016226631269431</v>
      </c>
      <c r="J3751" t="n">
        <v>0.3878871646667085</v>
      </c>
      <c r="K3751" t="n">
        <v>0.09065956046392259</v>
      </c>
      <c r="L3751" t="b">
        <v>0</v>
      </c>
      <c r="M3751" t="b">
        <v>0</v>
      </c>
      <c r="N3751" t="inlineStr">
        <is>
          <t>ref</t>
        </is>
      </c>
      <c r="O3751" t="n">
        <v>-50</v>
      </c>
      <c r="P3751" t="n">
        <v>0.003643</v>
      </c>
      <c r="Q3751" t="n">
        <v>100</v>
      </c>
      <c r="R3751" t="n">
        <v>0.1595</v>
      </c>
      <c r="S3751">
        <f>IMAGE("https://mitra.stanford.edu/kundaje/oak/projects/neuro-variants/variant_position/credible/roussos_2024/variant_figures/roussos_2024.childhood.GABA/rs12705090_count_position.png",4,220,900)</f>
        <v/>
      </c>
      <c r="T3751">
        <f>IMAGE("https://mitra.stanford.edu/kundaje/oak/projects/neuro-variants/variant_position/credible/roussos_2024/variant_figures/roussos_2024.childhood.GABA/rs12705090_profile_position.png",4,220,900)</f>
        <v/>
      </c>
    </row>
    <row r="3752">
      <c r="A3752" t="inlineStr">
        <is>
          <t>chr7</t>
        </is>
      </c>
      <c r="B3752" t="n">
        <v>100876668</v>
      </c>
      <c r="C3752" t="inlineStr">
        <is>
          <t>T</t>
        </is>
      </c>
      <c r="D3752" t="inlineStr">
        <is>
          <t>C</t>
        </is>
      </c>
      <c r="E3752" t="inlineStr">
        <is>
          <t>rs12667888</t>
        </is>
      </c>
      <c r="F3752" t="n">
        <v>0.076422738</v>
      </c>
      <c r="G3752" t="n">
        <v>0.0544485608628303</v>
      </c>
      <c r="H3752" t="n">
        <v>0.0118244968098917</v>
      </c>
      <c r="I3752" t="n">
        <v>0.4579737675577283</v>
      </c>
      <c r="J3752" t="n">
        <v>0.1512219639379279</v>
      </c>
      <c r="K3752" t="n">
        <v>0.280671342810083</v>
      </c>
      <c r="L3752" t="b">
        <v>0</v>
      </c>
      <c r="M3752" t="b">
        <v>0</v>
      </c>
      <c r="N3752" t="inlineStr">
        <is>
          <t>alt</t>
        </is>
      </c>
      <c r="O3752" t="n">
        <v>-100</v>
      </c>
      <c r="P3752" t="n">
        <v>0.003532</v>
      </c>
      <c r="Q3752" t="n">
        <v>30</v>
      </c>
      <c r="R3752" t="n">
        <v>0.0487</v>
      </c>
      <c r="S3752">
        <f>IMAGE("https://mitra.stanford.edu/kundaje/oak/projects/neuro-variants/variant_position/credible/roussos_2024/variant_figures/roussos_2024.childhood.GABA/rs12667888_count_position.png",4,220,900)</f>
        <v/>
      </c>
      <c r="T3752">
        <f>IMAGE("https://mitra.stanford.edu/kundaje/oak/projects/neuro-variants/variant_position/credible/roussos_2024/variant_figures/roussos_2024.childhood.GABA/rs12667888_profile_position.png",4,220,900)</f>
        <v/>
      </c>
    </row>
    <row r="3753">
      <c r="A3753" t="inlineStr">
        <is>
          <t>chr7</t>
        </is>
      </c>
      <c r="B3753" t="n">
        <v>100879824</v>
      </c>
      <c r="C3753" t="inlineStr">
        <is>
          <t>A</t>
        </is>
      </c>
      <c r="D3753" t="inlineStr">
        <is>
          <t>G</t>
        </is>
      </c>
      <c r="E3753" t="inlineStr">
        <is>
          <t>rs12705093</t>
        </is>
      </c>
      <c r="F3753" t="n">
        <v>-0.0284182836</v>
      </c>
      <c r="G3753" t="n">
        <v>0.3233413715469793</v>
      </c>
      <c r="H3753" t="n">
        <v>0.0350390785496275</v>
      </c>
      <c r="I3753" t="n">
        <v>0.0065562520534843</v>
      </c>
      <c r="J3753" t="n">
        <v>0.4067946221021549</v>
      </c>
      <c r="K3753" t="n">
        <v>0.0834674277488098</v>
      </c>
      <c r="L3753" t="b">
        <v>1</v>
      </c>
      <c r="M3753" t="b">
        <v>1</v>
      </c>
      <c r="N3753" t="inlineStr">
        <is>
          <t>ref</t>
        </is>
      </c>
      <c r="O3753" t="n">
        <v>-15</v>
      </c>
      <c r="P3753" t="n">
        <v>0.001068</v>
      </c>
      <c r="Q3753" t="n">
        <v>45</v>
      </c>
      <c r="R3753" t="n">
        <v>0.01489</v>
      </c>
      <c r="S3753">
        <f>IMAGE("https://mitra.stanford.edu/kundaje/oak/projects/neuro-variants/variant_position/credible/roussos_2024/variant_figures/roussos_2024.childhood.GABA/rs12705093_count_position.png",4,220,900)</f>
        <v/>
      </c>
      <c r="T3753">
        <f>IMAGE("https://mitra.stanford.edu/kundaje/oak/projects/neuro-variants/variant_position/credible/roussos_2024/variant_figures/roussos_2024.childhood.GABA/rs12705093_profile_position.png",4,220,900)</f>
        <v/>
      </c>
    </row>
    <row r="3754">
      <c r="A3754" t="inlineStr">
        <is>
          <t>chr7</t>
        </is>
      </c>
      <c r="B3754" t="n">
        <v>100896090</v>
      </c>
      <c r="C3754" t="inlineStr">
        <is>
          <t>G</t>
        </is>
      </c>
      <c r="D3754" t="inlineStr">
        <is>
          <t>A</t>
        </is>
      </c>
      <c r="E3754" t="inlineStr">
        <is>
          <t>rs17884589</t>
        </is>
      </c>
      <c r="F3754" t="n">
        <v>-0.0479937916</v>
      </c>
      <c r="G3754" t="n">
        <v>0.1569225746146562</v>
      </c>
      <c r="H3754" t="n">
        <v>0.016703614355815</v>
      </c>
      <c r="I3754" t="n">
        <v>0.1521645684682827</v>
      </c>
      <c r="J3754" t="n">
        <v>0.8753554899373835</v>
      </c>
      <c r="K3754" t="n">
        <v>0.0028415821558236</v>
      </c>
      <c r="L3754" t="b">
        <v>0</v>
      </c>
      <c r="M3754" t="b">
        <v>0</v>
      </c>
      <c r="N3754" t="inlineStr">
        <is>
          <t>ref</t>
        </is>
      </c>
      <c r="O3754" t="n">
        <v>-95</v>
      </c>
      <c r="P3754" t="n">
        <v>0.01166</v>
      </c>
      <c r="Q3754" t="n">
        <v>-70</v>
      </c>
      <c r="R3754" t="n">
        <v>0.0645</v>
      </c>
      <c r="S3754">
        <f>IMAGE("https://mitra.stanford.edu/kundaje/oak/projects/neuro-variants/variant_position/credible/roussos_2024/variant_figures/roussos_2024.childhood.GABA/rs17884589_count_position.png",4,220,900)</f>
        <v/>
      </c>
      <c r="T3754">
        <f>IMAGE("https://mitra.stanford.edu/kundaje/oak/projects/neuro-variants/variant_position/credible/roussos_2024/variant_figures/roussos_2024.childhood.GABA/rs17884589_profile_position.png",4,220,900)</f>
        <v/>
      </c>
    </row>
    <row r="3755">
      <c r="A3755" t="inlineStr">
        <is>
          <t>chr7</t>
        </is>
      </c>
      <c r="B3755" t="n">
        <v>100897329</v>
      </c>
      <c r="C3755" t="inlineStr">
        <is>
          <t>G</t>
        </is>
      </c>
      <c r="D3755" t="inlineStr">
        <is>
          <t>T</t>
        </is>
      </c>
      <c r="E3755" t="inlineStr">
        <is>
          <t>rs17883557</t>
        </is>
      </c>
      <c r="F3755" t="n">
        <v>-0.004817884292</v>
      </c>
      <c r="G3755" t="n">
        <v>0.7952165300405544</v>
      </c>
      <c r="H3755" t="n">
        <v>0.0151139224388924</v>
      </c>
      <c r="I3755" t="n">
        <v>0.221153946553221</v>
      </c>
      <c r="J3755" t="n">
        <v>0.8909750581139662</v>
      </c>
      <c r="K3755" t="n">
        <v>0.0021249274751863</v>
      </c>
      <c r="L3755" t="b">
        <v>0</v>
      </c>
      <c r="M3755" t="b">
        <v>0</v>
      </c>
      <c r="N3755" t="inlineStr">
        <is>
          <t>ref</t>
        </is>
      </c>
      <c r="O3755" t="n">
        <v>-100</v>
      </c>
      <c r="P3755" t="n">
        <v>0.03638</v>
      </c>
      <c r="Q3755" t="n">
        <v>-100</v>
      </c>
      <c r="R3755" t="n">
        <v>0.0598</v>
      </c>
      <c r="S3755">
        <f>IMAGE("https://mitra.stanford.edu/kundaje/oak/projects/neuro-variants/variant_position/credible/roussos_2024/variant_figures/roussos_2024.childhood.GABA/rs17883557_count_position.png",4,220,900)</f>
        <v/>
      </c>
      <c r="T3755">
        <f>IMAGE("https://mitra.stanford.edu/kundaje/oak/projects/neuro-variants/variant_position/credible/roussos_2024/variant_figures/roussos_2024.childhood.GABA/rs17883557_profile_position.png",4,220,900)</f>
        <v/>
      </c>
    </row>
    <row r="3756">
      <c r="A3756" t="inlineStr">
        <is>
          <t>chr7</t>
        </is>
      </c>
      <c r="B3756" t="n">
        <v>100918383</v>
      </c>
      <c r="C3756" t="inlineStr">
        <is>
          <t>A</t>
        </is>
      </c>
      <c r="D3756" t="inlineStr">
        <is>
          <t>C</t>
        </is>
      </c>
      <c r="E3756" t="inlineStr">
        <is>
          <t>rs10278546</t>
        </is>
      </c>
      <c r="F3756" t="n">
        <v>0.2175541899999999</v>
      </c>
      <c r="G3756" t="n">
        <v>0.0036255488536036</v>
      </c>
      <c r="H3756" t="n">
        <v>0.0196072146166453</v>
      </c>
      <c r="I3756" t="n">
        <v>0.0940484709718763</v>
      </c>
      <c r="J3756" t="n">
        <v>0.1336254738120667</v>
      </c>
      <c r="K3756" t="n">
        <v>0.317441663849251</v>
      </c>
      <c r="L3756" t="b">
        <v>1</v>
      </c>
      <c r="M3756" t="b">
        <v>1</v>
      </c>
      <c r="N3756" t="inlineStr">
        <is>
          <t>alt</t>
        </is>
      </c>
      <c r="O3756" t="n">
        <v>100</v>
      </c>
      <c r="P3756" t="n">
        <v>0.07294</v>
      </c>
      <c r="Q3756" t="n">
        <v>90</v>
      </c>
      <c r="R3756" t="n">
        <v>0.05347</v>
      </c>
      <c r="S3756">
        <f>IMAGE("https://mitra.stanford.edu/kundaje/oak/projects/neuro-variants/variant_position/credible/roussos_2024/variant_figures/roussos_2024.childhood.GABA/rs10278546_count_position.png",4,220,900)</f>
        <v/>
      </c>
      <c r="T3756">
        <f>IMAGE("https://mitra.stanford.edu/kundaje/oak/projects/neuro-variants/variant_position/credible/roussos_2024/variant_figures/roussos_2024.childhood.GABA/rs10278546_profile_position.png",4,220,900)</f>
        <v/>
      </c>
    </row>
    <row r="3757">
      <c r="A3757" t="inlineStr">
        <is>
          <t>chr7</t>
        </is>
      </c>
      <c r="B3757" t="n">
        <v>104953806</v>
      </c>
      <c r="C3757" t="inlineStr">
        <is>
          <t>T</t>
        </is>
      </c>
      <c r="D3757" t="inlineStr">
        <is>
          <t>G</t>
        </is>
      </c>
      <c r="E3757" t="inlineStr">
        <is>
          <t>rs2252074</t>
        </is>
      </c>
      <c r="F3757" t="n">
        <v>-0.01133749292</v>
      </c>
      <c r="G3757" t="n">
        <v>0.6081230755911792</v>
      </c>
      <c r="H3757" t="n">
        <v>0.0319699572020417</v>
      </c>
      <c r="I3757" t="n">
        <v>0.0095932767022403</v>
      </c>
      <c r="J3757" t="n">
        <v>0.0057171577558584</v>
      </c>
      <c r="K3757" t="n">
        <v>0.7966613184854517</v>
      </c>
      <c r="L3757" t="b">
        <v>0</v>
      </c>
      <c r="M3757" t="b">
        <v>0</v>
      </c>
      <c r="N3757" t="inlineStr">
        <is>
          <t>ref</t>
        </is>
      </c>
      <c r="O3757" t="n">
        <v>75</v>
      </c>
      <c r="P3757" t="n">
        <v>0.007294</v>
      </c>
      <c r="Q3757" t="n">
        <v>-95</v>
      </c>
      <c r="R3757" t="n">
        <v>0.07290000000000001</v>
      </c>
      <c r="S3757">
        <f>IMAGE("https://mitra.stanford.edu/kundaje/oak/projects/neuro-variants/variant_position/credible/roussos_2024/variant_figures/roussos_2024.childhood.GABA/rs2252074_count_position.png",4,220,900)</f>
        <v/>
      </c>
      <c r="T3757">
        <f>IMAGE("https://mitra.stanford.edu/kundaje/oak/projects/neuro-variants/variant_position/credible/roussos_2024/variant_figures/roussos_2024.childhood.GABA/rs2252074_profile_position.png",4,220,900)</f>
        <v/>
      </c>
    </row>
    <row r="3758">
      <c r="A3758" t="inlineStr">
        <is>
          <t>chr7</t>
        </is>
      </c>
      <c r="B3758" t="n">
        <v>104960407</v>
      </c>
      <c r="C3758" t="inlineStr">
        <is>
          <t>C</t>
        </is>
      </c>
      <c r="D3758" t="inlineStr">
        <is>
          <t>A</t>
        </is>
      </c>
      <c r="E3758" t="inlineStr">
        <is>
          <t>rs4727614</t>
        </is>
      </c>
      <c r="F3758" t="n">
        <v>-0.004483711494</v>
      </c>
      <c r="G3758" t="n">
        <v>0.8036022230277281</v>
      </c>
      <c r="H3758" t="n">
        <v>0.0216482699369951</v>
      </c>
      <c r="I3758" t="n">
        <v>0.054381320253579</v>
      </c>
      <c r="J3758" t="n">
        <v>0.0593600134028606</v>
      </c>
      <c r="K3758" t="n">
        <v>0.4818789827591814</v>
      </c>
      <c r="L3758" t="b">
        <v>0</v>
      </c>
      <c r="M3758" t="b">
        <v>0</v>
      </c>
      <c r="N3758" t="inlineStr">
        <is>
          <t>ref</t>
        </is>
      </c>
      <c r="O3758" t="n">
        <v>-65</v>
      </c>
      <c r="P3758" t="n">
        <v>0.01019</v>
      </c>
      <c r="Q3758" t="n">
        <v>-25</v>
      </c>
      <c r="R3758" t="n">
        <v>0.03964</v>
      </c>
      <c r="S3758">
        <f>IMAGE("https://mitra.stanford.edu/kundaje/oak/projects/neuro-variants/variant_position/credible/roussos_2024/variant_figures/roussos_2024.childhood.GABA/rs4727614_count_position.png",4,220,900)</f>
        <v/>
      </c>
      <c r="T3758">
        <f>IMAGE("https://mitra.stanford.edu/kundaje/oak/projects/neuro-variants/variant_position/credible/roussos_2024/variant_figures/roussos_2024.childhood.GABA/rs4727614_profile_position.png",4,220,900)</f>
        <v/>
      </c>
    </row>
    <row r="3759">
      <c r="A3759" t="inlineStr">
        <is>
          <t>chr7</t>
        </is>
      </c>
      <c r="B3759" t="n">
        <v>104965083</v>
      </c>
      <c r="C3759" t="inlineStr">
        <is>
          <t>C</t>
        </is>
      </c>
      <c r="D3759" t="inlineStr">
        <is>
          <t>A</t>
        </is>
      </c>
      <c r="E3759" t="inlineStr">
        <is>
          <t>rs7776707</t>
        </is>
      </c>
      <c r="F3759" t="n">
        <v>-0.01020847508</v>
      </c>
      <c r="G3759" t="n">
        <v>0.6297323732089775</v>
      </c>
      <c r="H3759" t="n">
        <v>0.010492255646995</v>
      </c>
      <c r="I3759" t="n">
        <v>0.5805872957045033</v>
      </c>
      <c r="J3759" t="n">
        <v>0.01159766287617</v>
      </c>
      <c r="K3759" t="n">
        <v>0.7257800921023926</v>
      </c>
      <c r="L3759" t="b">
        <v>0</v>
      </c>
      <c r="M3759" t="b">
        <v>0</v>
      </c>
      <c r="N3759" t="inlineStr">
        <is>
          <t>ref</t>
        </is>
      </c>
      <c r="O3759" t="n">
        <v>35</v>
      </c>
      <c r="P3759" t="n">
        <v>0.00877</v>
      </c>
      <c r="Q3759" t="n">
        <v>50</v>
      </c>
      <c r="R3759" t="n">
        <v>0.05048</v>
      </c>
      <c r="S3759">
        <f>IMAGE("https://mitra.stanford.edu/kundaje/oak/projects/neuro-variants/variant_position/credible/roussos_2024/variant_figures/roussos_2024.childhood.GABA/rs7776707_count_position.png",4,220,900)</f>
        <v/>
      </c>
      <c r="T3759">
        <f>IMAGE("https://mitra.stanford.edu/kundaje/oak/projects/neuro-variants/variant_position/credible/roussos_2024/variant_figures/roussos_2024.childhood.GABA/rs7776707_profile_position.png",4,220,900)</f>
        <v/>
      </c>
    </row>
    <row r="3760">
      <c r="A3760" t="inlineStr">
        <is>
          <t>chr7</t>
        </is>
      </c>
      <c r="B3760" t="n">
        <v>104984179</v>
      </c>
      <c r="C3760" t="inlineStr">
        <is>
          <t>C</t>
        </is>
      </c>
      <c r="D3760" t="inlineStr">
        <is>
          <t>T</t>
        </is>
      </c>
      <c r="E3760" t="inlineStr">
        <is>
          <t>rs3823752</t>
        </is>
      </c>
      <c r="F3760" t="n">
        <v>-0.00174496984</v>
      </c>
      <c r="G3760" t="n">
        <v>0.8198455679220138</v>
      </c>
      <c r="H3760" t="n">
        <v>0.0113808718412361</v>
      </c>
      <c r="I3760" t="n">
        <v>0.49977725951084</v>
      </c>
      <c r="J3760" t="n">
        <v>0.8320600615693913</v>
      </c>
      <c r="K3760" t="n">
        <v>0.0048784757687137</v>
      </c>
      <c r="L3760" t="b">
        <v>0</v>
      </c>
      <c r="M3760" t="b">
        <v>0</v>
      </c>
      <c r="N3760" t="inlineStr">
        <is>
          <t>ref</t>
        </is>
      </c>
      <c r="O3760" t="n">
        <v>-100</v>
      </c>
      <c r="P3760" t="n">
        <v>0.0613</v>
      </c>
      <c r="Q3760" t="n">
        <v>-100</v>
      </c>
      <c r="R3760" t="n">
        <v>0.2944</v>
      </c>
      <c r="S3760">
        <f>IMAGE("https://mitra.stanford.edu/kundaje/oak/projects/neuro-variants/variant_position/credible/roussos_2024/variant_figures/roussos_2024.childhood.GABA/rs3823752_count_position.png",4,220,900)</f>
        <v/>
      </c>
      <c r="T3760">
        <f>IMAGE("https://mitra.stanford.edu/kundaje/oak/projects/neuro-variants/variant_position/credible/roussos_2024/variant_figures/roussos_2024.childhood.GABA/rs3823752_profile_position.png",4,220,900)</f>
        <v/>
      </c>
    </row>
    <row r="3761">
      <c r="A3761" t="inlineStr">
        <is>
          <t>chr7</t>
        </is>
      </c>
      <c r="B3761" t="n">
        <v>105071264</v>
      </c>
      <c r="C3761" t="inlineStr">
        <is>
          <t>T</t>
        </is>
      </c>
      <c r="D3761" t="inlineStr">
        <is>
          <t>C</t>
        </is>
      </c>
      <c r="E3761" t="inlineStr">
        <is>
          <t>rs11760317</t>
        </is>
      </c>
      <c r="F3761" t="n">
        <v>0.02287924426</v>
      </c>
      <c r="G3761" t="n">
        <v>0.3715575809915512</v>
      </c>
      <c r="H3761" t="n">
        <v>0.0098601499987636</v>
      </c>
      <c r="I3761" t="n">
        <v>0.6529919392494269</v>
      </c>
      <c r="J3761" t="n">
        <v>0.020536742686017</v>
      </c>
      <c r="K3761" t="n">
        <v>0.6513474962652246</v>
      </c>
      <c r="L3761" t="b">
        <v>0</v>
      </c>
      <c r="M3761" t="b">
        <v>0</v>
      </c>
      <c r="N3761" t="inlineStr">
        <is>
          <t>alt</t>
        </is>
      </c>
      <c r="O3761" t="n">
        <v>20</v>
      </c>
      <c r="P3761" t="n">
        <v>0.00534</v>
      </c>
      <c r="Q3761" t="n">
        <v>100</v>
      </c>
      <c r="R3761" t="n">
        <v>0.1466</v>
      </c>
      <c r="S3761">
        <f>IMAGE("https://mitra.stanford.edu/kundaje/oak/projects/neuro-variants/variant_position/credible/roussos_2024/variant_figures/roussos_2024.childhood.GABA/rs11760317_count_position.png",4,220,900)</f>
        <v/>
      </c>
      <c r="T3761">
        <f>IMAGE("https://mitra.stanford.edu/kundaje/oak/projects/neuro-variants/variant_position/credible/roussos_2024/variant_figures/roussos_2024.childhood.GABA/rs11760317_profile_position.png",4,220,900)</f>
        <v/>
      </c>
    </row>
    <row r="3762">
      <c r="A3762" t="inlineStr">
        <is>
          <t>chr7</t>
        </is>
      </c>
      <c r="B3762" t="n">
        <v>105075043</v>
      </c>
      <c r="C3762" t="inlineStr">
        <is>
          <t>T</t>
        </is>
      </c>
      <c r="D3762" t="inlineStr">
        <is>
          <t>G</t>
        </is>
      </c>
      <c r="E3762" t="inlineStr">
        <is>
          <t>rs10808141</t>
        </is>
      </c>
      <c r="F3762" t="n">
        <v>0.391921096</v>
      </c>
      <c r="G3762" t="n">
        <v>0.000648699037754</v>
      </c>
      <c r="H3762" t="n">
        <v>0.0596245503563802</v>
      </c>
      <c r="I3762" t="n">
        <v>0.0010447120626489</v>
      </c>
      <c r="J3762" t="n">
        <v>0.1660069946179137</v>
      </c>
      <c r="K3762" t="n">
        <v>0.2463671439008073</v>
      </c>
      <c r="L3762" t="b">
        <v>1</v>
      </c>
      <c r="M3762" t="b">
        <v>1</v>
      </c>
      <c r="N3762" t="inlineStr">
        <is>
          <t>alt</t>
        </is>
      </c>
      <c r="O3762" t="n">
        <v>25</v>
      </c>
      <c r="P3762" t="n">
        <v>0.013336</v>
      </c>
      <c r="Q3762" t="n">
        <v>65</v>
      </c>
      <c r="R3762" t="n">
        <v>0.0654</v>
      </c>
      <c r="S3762">
        <f>IMAGE("https://mitra.stanford.edu/kundaje/oak/projects/neuro-variants/variant_position/credible/roussos_2024/variant_figures/roussos_2024.childhood.GABA/rs10808141_count_position.png",4,220,900)</f>
        <v/>
      </c>
      <c r="T3762">
        <f>IMAGE("https://mitra.stanford.edu/kundaje/oak/projects/neuro-variants/variant_position/credible/roussos_2024/variant_figures/roussos_2024.childhood.GABA/rs10808141_profile_position.png",4,220,900)</f>
        <v/>
      </c>
    </row>
    <row r="3763">
      <c r="A3763" t="inlineStr">
        <is>
          <t>chr7</t>
        </is>
      </c>
      <c r="B3763" t="n">
        <v>105101395</v>
      </c>
      <c r="C3763" t="inlineStr">
        <is>
          <t>A</t>
        </is>
      </c>
      <c r="D3763" t="inlineStr">
        <is>
          <t>T</t>
        </is>
      </c>
      <c r="E3763" t="inlineStr">
        <is>
          <t>rs10953468</t>
        </is>
      </c>
      <c r="F3763" t="n">
        <v>-0.0159033566399999</v>
      </c>
      <c r="G3763" t="n">
        <v>0.475979557294383</v>
      </c>
      <c r="H3763" t="n">
        <v>0.0222426544455142</v>
      </c>
      <c r="I3763" t="n">
        <v>0.0487057116781199</v>
      </c>
      <c r="J3763" t="n">
        <v>0.0040512240581348</v>
      </c>
      <c r="K3763" t="n">
        <v>0.8345243642441169</v>
      </c>
      <c r="L3763" t="b">
        <v>0</v>
      </c>
      <c r="M3763" t="b">
        <v>0</v>
      </c>
      <c r="N3763" t="inlineStr">
        <is>
          <t>ref</t>
        </is>
      </c>
      <c r="O3763" t="n">
        <v>-5</v>
      </c>
      <c r="P3763" t="n">
        <v>0.0002747</v>
      </c>
      <c r="Q3763" t="n">
        <v>100</v>
      </c>
      <c r="R3763" t="n">
        <v>0.03223</v>
      </c>
      <c r="S3763">
        <f>IMAGE("https://mitra.stanford.edu/kundaje/oak/projects/neuro-variants/variant_position/credible/roussos_2024/variant_figures/roussos_2024.childhood.GABA/rs10953468_count_position.png",4,220,900)</f>
        <v/>
      </c>
      <c r="T3763">
        <f>IMAGE("https://mitra.stanford.edu/kundaje/oak/projects/neuro-variants/variant_position/credible/roussos_2024/variant_figures/roussos_2024.childhood.GABA/rs10953468_profile_position.png",4,220,900)</f>
        <v/>
      </c>
    </row>
    <row r="3764">
      <c r="A3764" t="inlineStr">
        <is>
          <t>chr7</t>
        </is>
      </c>
      <c r="B3764" t="n">
        <v>105179032</v>
      </c>
      <c r="C3764" t="inlineStr">
        <is>
          <t>T</t>
        </is>
      </c>
      <c r="D3764" t="inlineStr">
        <is>
          <t>C</t>
        </is>
      </c>
      <c r="E3764" t="inlineStr">
        <is>
          <t>rs6943183</t>
        </is>
      </c>
      <c r="F3764" t="n">
        <v>0.01540924512</v>
      </c>
      <c r="G3764" t="n">
        <v>0.5206054582921883</v>
      </c>
      <c r="H3764" t="n">
        <v>0.0182234151770354</v>
      </c>
      <c r="I3764" t="n">
        <v>0.1109280443385423</v>
      </c>
      <c r="J3764" t="n">
        <v>0.0181252748633536</v>
      </c>
      <c r="K3764" t="n">
        <v>0.6655233813378425</v>
      </c>
      <c r="L3764" t="b">
        <v>0</v>
      </c>
      <c r="M3764" t="b">
        <v>0</v>
      </c>
      <c r="N3764" t="inlineStr">
        <is>
          <t>alt</t>
        </is>
      </c>
      <c r="O3764" t="n">
        <v>-90</v>
      </c>
      <c r="P3764" t="n">
        <v>0.00551</v>
      </c>
      <c r="Q3764" t="n">
        <v>65</v>
      </c>
      <c r="R3764" t="n">
        <v>0.0515</v>
      </c>
      <c r="S3764">
        <f>IMAGE("https://mitra.stanford.edu/kundaje/oak/projects/neuro-variants/variant_position/credible/roussos_2024/variant_figures/roussos_2024.childhood.GABA/rs6943183_count_position.png",4,220,900)</f>
        <v/>
      </c>
      <c r="T3764">
        <f>IMAGE("https://mitra.stanford.edu/kundaje/oak/projects/neuro-variants/variant_position/credible/roussos_2024/variant_figures/roussos_2024.childhood.GABA/rs6943183_profile_position.png",4,220,900)</f>
        <v/>
      </c>
    </row>
    <row r="3765">
      <c r="A3765" t="inlineStr">
        <is>
          <t>chr7</t>
        </is>
      </c>
      <c r="B3765" t="n">
        <v>105187651</v>
      </c>
      <c r="C3765" t="inlineStr">
        <is>
          <t>C</t>
        </is>
      </c>
      <c r="D3765" t="inlineStr">
        <is>
          <t>T</t>
        </is>
      </c>
      <c r="E3765" t="inlineStr">
        <is>
          <t>rs3779210</t>
        </is>
      </c>
      <c r="F3765" t="n">
        <v>-0.00242213816</v>
      </c>
      <c r="G3765" t="n">
        <v>0.5743781341707924</v>
      </c>
      <c r="H3765" t="n">
        <v>0.0088293381036084</v>
      </c>
      <c r="I3765" t="n">
        <v>0.7690884028665068</v>
      </c>
      <c r="J3765" t="n">
        <v>0.009396661850013499</v>
      </c>
      <c r="K3765" t="n">
        <v>0.7521652978665492</v>
      </c>
      <c r="L3765" t="b">
        <v>0</v>
      </c>
      <c r="M3765" t="b">
        <v>0</v>
      </c>
      <c r="N3765" t="inlineStr">
        <is>
          <t>ref</t>
        </is>
      </c>
      <c r="O3765" t="n">
        <v>-100</v>
      </c>
      <c r="P3765" t="n">
        <v>0.006126</v>
      </c>
      <c r="Q3765" t="n">
        <v>-50</v>
      </c>
      <c r="R3765" t="n">
        <v>0.03333</v>
      </c>
      <c r="S3765">
        <f>IMAGE("https://mitra.stanford.edu/kundaje/oak/projects/neuro-variants/variant_position/credible/roussos_2024/variant_figures/roussos_2024.childhood.GABA/rs3779210_count_position.png",4,220,900)</f>
        <v/>
      </c>
      <c r="T3765">
        <f>IMAGE("https://mitra.stanford.edu/kundaje/oak/projects/neuro-variants/variant_position/credible/roussos_2024/variant_figures/roussos_2024.childhood.GABA/rs3779210_profile_position.png",4,220,900)</f>
        <v/>
      </c>
    </row>
    <row r="3766">
      <c r="A3766" t="inlineStr">
        <is>
          <t>chr7</t>
        </is>
      </c>
      <c r="B3766" t="n">
        <v>105195441</v>
      </c>
      <c r="C3766" t="inlineStr">
        <is>
          <t>T</t>
        </is>
      </c>
      <c r="D3766" t="inlineStr">
        <is>
          <t>C</t>
        </is>
      </c>
      <c r="E3766" t="inlineStr">
        <is>
          <t>rs10281886</t>
        </is>
      </c>
      <c r="F3766" t="n">
        <v>0.0337657108</v>
      </c>
      <c r="G3766" t="n">
        <v>0.2542587650517972</v>
      </c>
      <c r="H3766" t="n">
        <v>0.012765566023735</v>
      </c>
      <c r="I3766" t="n">
        <v>0.3697501402375698</v>
      </c>
      <c r="J3766" t="n">
        <v>0.0565380829720843</v>
      </c>
      <c r="K3766" t="n">
        <v>0.4736160492709835</v>
      </c>
      <c r="L3766" t="b">
        <v>0</v>
      </c>
      <c r="M3766" t="b">
        <v>0</v>
      </c>
      <c r="N3766" t="inlineStr">
        <is>
          <t>alt</t>
        </is>
      </c>
      <c r="O3766" t="n">
        <v>75</v>
      </c>
      <c r="P3766" t="n">
        <v>0.004074</v>
      </c>
      <c r="Q3766" t="n">
        <v>-100</v>
      </c>
      <c r="R3766" t="n">
        <v>0.03278</v>
      </c>
      <c r="S3766">
        <f>IMAGE("https://mitra.stanford.edu/kundaje/oak/projects/neuro-variants/variant_position/credible/roussos_2024/variant_figures/roussos_2024.childhood.GABA/rs10281886_count_position.png",4,220,900)</f>
        <v/>
      </c>
      <c r="T3766">
        <f>IMAGE("https://mitra.stanford.edu/kundaje/oak/projects/neuro-variants/variant_position/credible/roussos_2024/variant_figures/roussos_2024.childhood.GABA/rs10281886_profile_position.png",4,220,900)</f>
        <v/>
      </c>
    </row>
    <row r="3767">
      <c r="A3767" t="inlineStr">
        <is>
          <t>chr7</t>
        </is>
      </c>
      <c r="B3767" t="n">
        <v>105203881</v>
      </c>
      <c r="C3767" t="inlineStr">
        <is>
          <t>C</t>
        </is>
      </c>
      <c r="D3767" t="inlineStr">
        <is>
          <t>T</t>
        </is>
      </c>
      <c r="E3767" t="inlineStr">
        <is>
          <t>rs2240463</t>
        </is>
      </c>
      <c r="F3767" t="n">
        <v>-0.003620959926</v>
      </c>
      <c r="G3767" t="n">
        <v>0.6820236831287615</v>
      </c>
      <c r="H3767" t="n">
        <v>0.0206960346410127</v>
      </c>
      <c r="I3767" t="n">
        <v>0.0646759563200574</v>
      </c>
      <c r="J3767" t="n">
        <v>0.1745586479864296</v>
      </c>
      <c r="K3767" t="n">
        <v>0.2447139925745146</v>
      </c>
      <c r="L3767" t="b">
        <v>0</v>
      </c>
      <c r="M3767" t="b">
        <v>0</v>
      </c>
      <c r="N3767" t="inlineStr">
        <is>
          <t>ref</t>
        </is>
      </c>
      <c r="O3767" t="n">
        <v>100</v>
      </c>
      <c r="P3767" t="n">
        <v>0.01636</v>
      </c>
      <c r="Q3767" t="n">
        <v>-80</v>
      </c>
      <c r="R3767" t="n">
        <v>0.12463</v>
      </c>
      <c r="S3767">
        <f>IMAGE("https://mitra.stanford.edu/kundaje/oak/projects/neuro-variants/variant_position/credible/roussos_2024/variant_figures/roussos_2024.childhood.GABA/rs2240463_count_position.png",4,220,900)</f>
        <v/>
      </c>
      <c r="T3767">
        <f>IMAGE("https://mitra.stanford.edu/kundaje/oak/projects/neuro-variants/variant_position/credible/roussos_2024/variant_figures/roussos_2024.childhood.GABA/rs2240463_profile_position.png",4,220,900)</f>
        <v/>
      </c>
    </row>
    <row r="3768">
      <c r="A3768" t="inlineStr">
        <is>
          <t>chr7</t>
        </is>
      </c>
      <c r="B3768" t="n">
        <v>105204072</v>
      </c>
      <c r="C3768" t="inlineStr">
        <is>
          <t>G</t>
        </is>
      </c>
      <c r="D3768" t="inlineStr">
        <is>
          <t>A</t>
        </is>
      </c>
      <c r="E3768" t="inlineStr">
        <is>
          <t>rs10281422</t>
        </is>
      </c>
      <c r="F3768" t="n">
        <v>-0.0717015506</v>
      </c>
      <c r="G3768" t="n">
        <v>0.0722652081529746</v>
      </c>
      <c r="H3768" t="n">
        <v>0.016995140508095</v>
      </c>
      <c r="I3768" t="n">
        <v>0.1425057246096464</v>
      </c>
      <c r="J3768" t="n">
        <v>0.2450053402022993</v>
      </c>
      <c r="K3768" t="n">
        <v>0.1749236018032621</v>
      </c>
      <c r="L3768" t="b">
        <v>0</v>
      </c>
      <c r="M3768" t="b">
        <v>0</v>
      </c>
      <c r="N3768" t="inlineStr">
        <is>
          <t>ref</t>
        </is>
      </c>
      <c r="O3768" t="n">
        <v>35</v>
      </c>
      <c r="P3768" t="n">
        <v>0.007904</v>
      </c>
      <c r="Q3768" t="n">
        <v>50</v>
      </c>
      <c r="R3768" t="n">
        <v>0.07043000000000001</v>
      </c>
      <c r="S3768">
        <f>IMAGE("https://mitra.stanford.edu/kundaje/oak/projects/neuro-variants/variant_position/credible/roussos_2024/variant_figures/roussos_2024.childhood.GABA/rs10281422_count_position.png",4,220,900)</f>
        <v/>
      </c>
      <c r="T3768">
        <f>IMAGE("https://mitra.stanford.edu/kundaje/oak/projects/neuro-variants/variant_position/credible/roussos_2024/variant_figures/roussos_2024.childhood.GABA/rs10281422_profile_position.png",4,220,900)</f>
        <v/>
      </c>
    </row>
    <row r="3769">
      <c r="A3769" t="inlineStr">
        <is>
          <t>chr7</t>
        </is>
      </c>
      <c r="B3769" t="n">
        <v>105204647</v>
      </c>
      <c r="C3769" t="inlineStr">
        <is>
          <t>T</t>
        </is>
      </c>
      <c r="D3769" t="inlineStr">
        <is>
          <t>C</t>
        </is>
      </c>
      <c r="E3769" t="inlineStr">
        <is>
          <t>rs41562</t>
        </is>
      </c>
      <c r="F3769" t="n">
        <v>0.0577493128</v>
      </c>
      <c r="G3769" t="n">
        <v>0.1026953208684618</v>
      </c>
      <c r="H3769" t="n">
        <v>0.0150522049730798</v>
      </c>
      <c r="I3769" t="n">
        <v>0.2234827042486115</v>
      </c>
      <c r="J3769" t="n">
        <v>0.3517025821448765</v>
      </c>
      <c r="K3769" t="n">
        <v>0.1080156752410148</v>
      </c>
      <c r="L3769" t="b">
        <v>0</v>
      </c>
      <c r="M3769" t="b">
        <v>0</v>
      </c>
      <c r="N3769" t="inlineStr">
        <is>
          <t>alt</t>
        </is>
      </c>
      <c r="O3769" t="n">
        <v>-15</v>
      </c>
      <c r="P3769" t="n">
        <v>0.000778</v>
      </c>
      <c r="Q3769" t="n">
        <v>-80</v>
      </c>
      <c r="R3769" t="n">
        <v>0.06836</v>
      </c>
      <c r="S3769">
        <f>IMAGE("https://mitra.stanford.edu/kundaje/oak/projects/neuro-variants/variant_position/credible/roussos_2024/variant_figures/roussos_2024.childhood.GABA/rs41562_count_position.png",4,220,900)</f>
        <v/>
      </c>
      <c r="T3769">
        <f>IMAGE("https://mitra.stanford.edu/kundaje/oak/projects/neuro-variants/variant_position/credible/roussos_2024/variant_figures/roussos_2024.childhood.GABA/rs41562_profile_position.png",4,220,900)</f>
        <v/>
      </c>
    </row>
    <row r="3770">
      <c r="A3770" t="inlineStr">
        <is>
          <t>chr7</t>
        </is>
      </c>
      <c r="B3770" t="n">
        <v>105204806</v>
      </c>
      <c r="C3770" t="inlineStr">
        <is>
          <t>G</t>
        </is>
      </c>
      <c r="D3770" t="inlineStr">
        <is>
          <t>C</t>
        </is>
      </c>
      <c r="E3770" t="inlineStr">
        <is>
          <t>rs2237613</t>
        </is>
      </c>
      <c r="F3770" t="n">
        <v>-0.0471894356</v>
      </c>
      <c r="G3770" t="n">
        <v>0.1616197511564836</v>
      </c>
      <c r="H3770" t="n">
        <v>0.0168119572296626</v>
      </c>
      <c r="I3770" t="n">
        <v>0.149098147287283</v>
      </c>
      <c r="J3770" t="n">
        <v>0.291908022868631</v>
      </c>
      <c r="K3770" t="n">
        <v>0.1427639198351027</v>
      </c>
      <c r="L3770" t="b">
        <v>0</v>
      </c>
      <c r="M3770" t="b">
        <v>0</v>
      </c>
      <c r="N3770" t="inlineStr">
        <is>
          <t>ref</t>
        </is>
      </c>
      <c r="O3770" t="n">
        <v>-85</v>
      </c>
      <c r="P3770" t="n">
        <v>0.002335</v>
      </c>
      <c r="Q3770" t="n">
        <v>-100</v>
      </c>
      <c r="R3770" t="n">
        <v>0.164</v>
      </c>
      <c r="S3770">
        <f>IMAGE("https://mitra.stanford.edu/kundaje/oak/projects/neuro-variants/variant_position/credible/roussos_2024/variant_figures/roussos_2024.childhood.GABA/rs2237613_count_position.png",4,220,900)</f>
        <v/>
      </c>
      <c r="T3770">
        <f>IMAGE("https://mitra.stanford.edu/kundaje/oak/projects/neuro-variants/variant_position/credible/roussos_2024/variant_figures/roussos_2024.childhood.GABA/rs2237613_profile_position.png",4,220,900)</f>
        <v/>
      </c>
    </row>
    <row r="3771">
      <c r="A3771" t="inlineStr">
        <is>
          <t>chr7</t>
        </is>
      </c>
      <c r="B3771" t="n">
        <v>105215424</v>
      </c>
      <c r="C3771" t="inlineStr">
        <is>
          <t>C</t>
        </is>
      </c>
      <c r="D3771" t="inlineStr">
        <is>
          <t>A</t>
        </is>
      </c>
      <c r="E3771" t="inlineStr">
        <is>
          <t>rs4730073</t>
        </is>
      </c>
      <c r="F3771" t="n">
        <v>0.1466875912</v>
      </c>
      <c r="G3771" t="n">
        <v>0.0126360337280539</v>
      </c>
      <c r="H3771" t="n">
        <v>0.0364037815589452</v>
      </c>
      <c r="I3771" t="n">
        <v>0.0059113735211079</v>
      </c>
      <c r="J3771" t="n">
        <v>0.08970073925153391</v>
      </c>
      <c r="K3771" t="n">
        <v>0.3701075670152093</v>
      </c>
      <c r="L3771" t="b">
        <v>1</v>
      </c>
      <c r="M3771" t="b">
        <v>1</v>
      </c>
      <c r="N3771" t="inlineStr">
        <is>
          <t>alt</t>
        </is>
      </c>
      <c r="O3771" t="n">
        <v>-80</v>
      </c>
      <c r="P3771" t="n">
        <v>0.004257</v>
      </c>
      <c r="Q3771" t="n">
        <v>40</v>
      </c>
      <c r="R3771" t="n">
        <v>0.0271</v>
      </c>
      <c r="S3771">
        <f>IMAGE("https://mitra.stanford.edu/kundaje/oak/projects/neuro-variants/variant_position/credible/roussos_2024/variant_figures/roussos_2024.childhood.GABA/rs4730073_count_position.png",4,220,900)</f>
        <v/>
      </c>
      <c r="T3771">
        <f>IMAGE("https://mitra.stanford.edu/kundaje/oak/projects/neuro-variants/variant_position/credible/roussos_2024/variant_figures/roussos_2024.childhood.GABA/rs4730073_profile_position.png",4,220,900)</f>
        <v/>
      </c>
    </row>
    <row r="3772">
      <c r="A3772" t="inlineStr">
        <is>
          <t>chr7</t>
        </is>
      </c>
      <c r="B3772" t="n">
        <v>105231445</v>
      </c>
      <c r="C3772" t="inlineStr">
        <is>
          <t>G</t>
        </is>
      </c>
      <c r="D3772" t="inlineStr">
        <is>
          <t>T</t>
        </is>
      </c>
      <c r="E3772" t="inlineStr">
        <is>
          <t>rs10953470</t>
        </is>
      </c>
      <c r="F3772" t="n">
        <v>-0.06614937409999989</v>
      </c>
      <c r="G3772" t="n">
        <v>0.0797074843097579</v>
      </c>
      <c r="H3772" t="n">
        <v>0.0170771572665808</v>
      </c>
      <c r="I3772" t="n">
        <v>0.1409423217747064</v>
      </c>
      <c r="J3772" t="n">
        <v>0.0715806998806307</v>
      </c>
      <c r="K3772" t="n">
        <v>0.4396591822612478</v>
      </c>
      <c r="L3772" t="b">
        <v>0</v>
      </c>
      <c r="M3772" t="b">
        <v>0</v>
      </c>
      <c r="N3772" t="inlineStr">
        <is>
          <t>ref</t>
        </is>
      </c>
      <c r="O3772" t="n">
        <v>15</v>
      </c>
      <c r="P3772" t="n">
        <v>0.004704</v>
      </c>
      <c r="Q3772" t="n">
        <v>5</v>
      </c>
      <c r="R3772" t="n">
        <v>0.01001</v>
      </c>
      <c r="S3772">
        <f>IMAGE("https://mitra.stanford.edu/kundaje/oak/projects/neuro-variants/variant_position/credible/roussos_2024/variant_figures/roussos_2024.childhood.GABA/rs10953470_count_position.png",4,220,900)</f>
        <v/>
      </c>
      <c r="T3772">
        <f>IMAGE("https://mitra.stanford.edu/kundaje/oak/projects/neuro-variants/variant_position/credible/roussos_2024/variant_figures/roussos_2024.childhood.GABA/rs10953470_profile_position.png",4,220,900)</f>
        <v/>
      </c>
    </row>
    <row r="3773">
      <c r="A3773" t="inlineStr">
        <is>
          <t>chr7</t>
        </is>
      </c>
      <c r="B3773" t="n">
        <v>105241083</v>
      </c>
      <c r="C3773" t="inlineStr">
        <is>
          <t>A</t>
        </is>
      </c>
      <c r="D3773" t="inlineStr">
        <is>
          <t>G</t>
        </is>
      </c>
      <c r="E3773" t="inlineStr">
        <is>
          <t>rs3801282</t>
        </is>
      </c>
      <c r="F3773" t="n">
        <v>-0.02942676776</v>
      </c>
      <c r="G3773" t="n">
        <v>0.3087488779936543</v>
      </c>
      <c r="H3773" t="n">
        <v>0.0163840009140707</v>
      </c>
      <c r="I3773" t="n">
        <v>0.1657642668685894</v>
      </c>
      <c r="J3773" t="n">
        <v>0.0493476576406776</v>
      </c>
      <c r="K3773" t="n">
        <v>0.4922749568271714</v>
      </c>
      <c r="L3773" t="b">
        <v>0</v>
      </c>
      <c r="M3773" t="b">
        <v>0</v>
      </c>
      <c r="N3773" t="inlineStr">
        <is>
          <t>ref</t>
        </is>
      </c>
      <c r="O3773" t="n">
        <v>-10</v>
      </c>
      <c r="P3773" t="n">
        <v>0.001144</v>
      </c>
      <c r="Q3773" t="n">
        <v>20</v>
      </c>
      <c r="R3773" t="n">
        <v>0.06444999999999999</v>
      </c>
      <c r="S3773">
        <f>IMAGE("https://mitra.stanford.edu/kundaje/oak/projects/neuro-variants/variant_position/credible/roussos_2024/variant_figures/roussos_2024.childhood.GABA/rs3801282_count_position.png",4,220,900)</f>
        <v/>
      </c>
      <c r="T3773">
        <f>IMAGE("https://mitra.stanford.edu/kundaje/oak/projects/neuro-variants/variant_position/credible/roussos_2024/variant_figures/roussos_2024.childhood.GABA/rs3801282_profile_position.png",4,220,900)</f>
        <v/>
      </c>
    </row>
    <row r="3774">
      <c r="A3774" t="inlineStr">
        <is>
          <t>chr7</t>
        </is>
      </c>
      <c r="B3774" t="n">
        <v>105266570</v>
      </c>
      <c r="C3774" t="inlineStr">
        <is>
          <t>C</t>
        </is>
      </c>
      <c r="D3774" t="inlineStr">
        <is>
          <t>T</t>
        </is>
      </c>
      <c r="E3774" t="inlineStr">
        <is>
          <t>rs3801278</t>
        </is>
      </c>
      <c r="F3774" t="n">
        <v>-0.0238369062</v>
      </c>
      <c r="G3774" t="n">
        <v>0.3681068478699234</v>
      </c>
      <c r="H3774" t="n">
        <v>0.008343627196458999</v>
      </c>
      <c r="I3774" t="n">
        <v>0.814205227888856</v>
      </c>
      <c r="J3774" t="n">
        <v>0.0005727628740758</v>
      </c>
      <c r="K3774" t="n">
        <v>0.94628798209694</v>
      </c>
      <c r="L3774" t="b">
        <v>0</v>
      </c>
      <c r="M3774" t="b">
        <v>0</v>
      </c>
      <c r="N3774" t="inlineStr">
        <is>
          <t>ref</t>
        </is>
      </c>
      <c r="O3774" t="n">
        <v>95</v>
      </c>
      <c r="P3774" t="n">
        <v>0.002623</v>
      </c>
      <c r="Q3774" t="n">
        <v>-75</v>
      </c>
      <c r="R3774" t="n">
        <v>0.01642</v>
      </c>
      <c r="S3774">
        <f>IMAGE("https://mitra.stanford.edu/kundaje/oak/projects/neuro-variants/variant_position/credible/roussos_2024/variant_figures/roussos_2024.childhood.GABA/rs3801278_count_position.png",4,220,900)</f>
        <v/>
      </c>
      <c r="T3774">
        <f>IMAGE("https://mitra.stanford.edu/kundaje/oak/projects/neuro-variants/variant_position/credible/roussos_2024/variant_figures/roussos_2024.childhood.GABA/rs3801278_profile_position.png",4,220,900)</f>
        <v/>
      </c>
    </row>
    <row r="3775">
      <c r="A3775" t="inlineStr">
        <is>
          <t>chr7</t>
        </is>
      </c>
      <c r="B3775" t="n">
        <v>105288617</v>
      </c>
      <c r="C3775" t="inlineStr">
        <is>
          <t>A</t>
        </is>
      </c>
      <c r="D3775" t="inlineStr">
        <is>
          <t>C</t>
        </is>
      </c>
      <c r="E3775" t="inlineStr">
        <is>
          <t>rs6466055</t>
        </is>
      </c>
      <c r="F3775" t="n">
        <v>-0.00383994136</v>
      </c>
      <c r="G3775" t="n">
        <v>0.7073375149131099</v>
      </c>
      <c r="H3775" t="n">
        <v>0.0315846800605624</v>
      </c>
      <c r="I3775" t="n">
        <v>0.0100260608499308</v>
      </c>
      <c r="J3775" t="n">
        <v>0.08428724005779969</v>
      </c>
      <c r="K3775" t="n">
        <v>0.3931195036419367</v>
      </c>
      <c r="L3775" t="b">
        <v>1</v>
      </c>
      <c r="M3775" t="b">
        <v>0</v>
      </c>
      <c r="N3775" t="inlineStr">
        <is>
          <t>ref</t>
        </is>
      </c>
      <c r="O3775" t="n">
        <v>-70</v>
      </c>
      <c r="P3775" t="n">
        <v>0.004982</v>
      </c>
      <c r="Q3775" t="n">
        <v>35</v>
      </c>
      <c r="R3775" t="n">
        <v>0.1184</v>
      </c>
      <c r="S3775">
        <f>IMAGE("https://mitra.stanford.edu/kundaje/oak/projects/neuro-variants/variant_position/credible/roussos_2024/variant_figures/roussos_2024.childhood.GABA/rs6466055_count_position.png",4,220,900)</f>
        <v/>
      </c>
      <c r="T3775">
        <f>IMAGE("https://mitra.stanford.edu/kundaje/oak/projects/neuro-variants/variant_position/credible/roussos_2024/variant_figures/roussos_2024.childhood.GABA/rs6466055_profile_position.png",4,220,900)</f>
        <v/>
      </c>
    </row>
    <row r="3776">
      <c r="A3776" t="inlineStr">
        <is>
          <t>chr7</t>
        </is>
      </c>
      <c r="B3776" t="n">
        <v>105288820</v>
      </c>
      <c r="C3776" t="inlineStr">
        <is>
          <t>T</t>
        </is>
      </c>
      <c r="D3776" t="inlineStr">
        <is>
          <t>C</t>
        </is>
      </c>
      <c r="E3776" t="inlineStr">
        <is>
          <t>rs6466056</t>
        </is>
      </c>
      <c r="F3776" t="n">
        <v>0.06775291980000001</v>
      </c>
      <c r="G3776" t="n">
        <v>0.0794115721202715</v>
      </c>
      <c r="H3776" t="n">
        <v>0.0135112951786657</v>
      </c>
      <c r="I3776" t="n">
        <v>0.311440040033472</v>
      </c>
      <c r="J3776" t="n">
        <v>0.1101537140583442</v>
      </c>
      <c r="K3776" t="n">
        <v>0.3378718471614768</v>
      </c>
      <c r="L3776" t="b">
        <v>0</v>
      </c>
      <c r="M3776" t="b">
        <v>0</v>
      </c>
      <c r="N3776" t="inlineStr">
        <is>
          <t>alt</t>
        </is>
      </c>
      <c r="O3776" t="n">
        <v>100</v>
      </c>
      <c r="P3776" t="n">
        <v>0.0192</v>
      </c>
      <c r="Q3776" t="n">
        <v>-55</v>
      </c>
      <c r="R3776" t="n">
        <v>0.0725</v>
      </c>
      <c r="S3776">
        <f>IMAGE("https://mitra.stanford.edu/kundaje/oak/projects/neuro-variants/variant_position/credible/roussos_2024/variant_figures/roussos_2024.childhood.GABA/rs6466056_count_position.png",4,220,900)</f>
        <v/>
      </c>
      <c r="T3776">
        <f>IMAGE("https://mitra.stanford.edu/kundaje/oak/projects/neuro-variants/variant_position/credible/roussos_2024/variant_figures/roussos_2024.childhood.GABA/rs6466056_profile_position.png",4,220,900)</f>
        <v/>
      </c>
    </row>
    <row r="3777">
      <c r="A3777" t="inlineStr">
        <is>
          <t>chr7</t>
        </is>
      </c>
      <c r="B3777" t="n">
        <v>105289803</v>
      </c>
      <c r="C3777" t="inlineStr">
        <is>
          <t>T</t>
        </is>
      </c>
      <c r="D3777" t="inlineStr">
        <is>
          <t>C</t>
        </is>
      </c>
      <c r="E3777" t="inlineStr">
        <is>
          <t>rs2057884</t>
        </is>
      </c>
      <c r="F3777" t="n">
        <v>0.0043570634539999</v>
      </c>
      <c r="G3777" t="n">
        <v>0.7481389495538039</v>
      </c>
      <c r="H3777" t="n">
        <v>0.0065914650867836</v>
      </c>
      <c r="I3777" t="n">
        <v>0.9663880708475504</v>
      </c>
      <c r="J3777" t="n">
        <v>0.0200299470168163</v>
      </c>
      <c r="K3777" t="n">
        <v>0.6428109986400203</v>
      </c>
      <c r="L3777" t="b">
        <v>0</v>
      </c>
      <c r="M3777" t="b">
        <v>0</v>
      </c>
      <c r="N3777" t="inlineStr">
        <is>
          <t>alt</t>
        </is>
      </c>
      <c r="O3777" t="n">
        <v>60</v>
      </c>
      <c r="P3777" t="n">
        <v>0.002724</v>
      </c>
      <c r="Q3777" t="n">
        <v>55</v>
      </c>
      <c r="R3777" t="n">
        <v>0.07385</v>
      </c>
      <c r="S3777">
        <f>IMAGE("https://mitra.stanford.edu/kundaje/oak/projects/neuro-variants/variant_position/credible/roussos_2024/variant_figures/roussos_2024.childhood.GABA/rs2057884_count_position.png",4,220,900)</f>
        <v/>
      </c>
      <c r="T3777">
        <f>IMAGE("https://mitra.stanford.edu/kundaje/oak/projects/neuro-variants/variant_position/credible/roussos_2024/variant_figures/roussos_2024.childhood.GABA/rs2057884_profile_position.png",4,220,900)</f>
        <v/>
      </c>
    </row>
    <row r="3778">
      <c r="A3778" t="inlineStr">
        <is>
          <t>chr7</t>
        </is>
      </c>
      <c r="B3778" t="n">
        <v>110407907</v>
      </c>
      <c r="C3778" t="inlineStr">
        <is>
          <t>C</t>
        </is>
      </c>
      <c r="D3778" t="inlineStr">
        <is>
          <t>T</t>
        </is>
      </c>
      <c r="E3778" t="inlineStr">
        <is>
          <t>rs4730430</t>
        </is>
      </c>
      <c r="F3778" t="n">
        <v>-0.216700434</v>
      </c>
      <c r="G3778" t="n">
        <v>0.0036605065014975</v>
      </c>
      <c r="H3778" t="n">
        <v>0.0262904745079323</v>
      </c>
      <c r="I3778" t="n">
        <v>0.0236404772106917</v>
      </c>
      <c r="J3778" t="n">
        <v>0.0541486042177126</v>
      </c>
      <c r="K3778" t="n">
        <v>0.480833960678235</v>
      </c>
      <c r="L3778" t="b">
        <v>1</v>
      </c>
      <c r="M3778" t="b">
        <v>1</v>
      </c>
      <c r="N3778" t="inlineStr">
        <is>
          <t>ref</t>
        </is>
      </c>
      <c r="O3778" t="n">
        <v>-10</v>
      </c>
      <c r="P3778" t="n">
        <v>0.000641</v>
      </c>
      <c r="Q3778" t="n">
        <v>-65</v>
      </c>
      <c r="R3778" t="n">
        <v>0.08105</v>
      </c>
      <c r="S3778">
        <f>IMAGE("https://mitra.stanford.edu/kundaje/oak/projects/neuro-variants/variant_position/credible/roussos_2024/variant_figures/roussos_2024.childhood.GABA/rs4730430_count_position.png",4,220,900)</f>
        <v/>
      </c>
      <c r="T3778">
        <f>IMAGE("https://mitra.stanford.edu/kundaje/oak/projects/neuro-variants/variant_position/credible/roussos_2024/variant_figures/roussos_2024.childhood.GABA/rs4730430_profile_position.png",4,220,900)</f>
        <v/>
      </c>
    </row>
    <row r="3779">
      <c r="A3779" t="inlineStr">
        <is>
          <t>chr7</t>
        </is>
      </c>
      <c r="B3779" t="n">
        <v>110413547</v>
      </c>
      <c r="C3779" t="inlineStr">
        <is>
          <t>A</t>
        </is>
      </c>
      <c r="D3779" t="inlineStr">
        <is>
          <t>G</t>
        </is>
      </c>
      <c r="E3779" t="inlineStr">
        <is>
          <t>rs55634663</t>
        </is>
      </c>
      <c r="F3779" t="n">
        <v>0.0133948063399999</v>
      </c>
      <c r="G3779" t="n">
        <v>0.5281821206716492</v>
      </c>
      <c r="H3779" t="n">
        <v>0.0164886717230926</v>
      </c>
      <c r="I3779" t="n">
        <v>0.1606623926892876</v>
      </c>
      <c r="J3779" t="n">
        <v>0.0068993319511632</v>
      </c>
      <c r="K3779" t="n">
        <v>0.7857731463154132</v>
      </c>
      <c r="L3779" t="b">
        <v>0</v>
      </c>
      <c r="M3779" t="b">
        <v>0</v>
      </c>
      <c r="N3779" t="inlineStr">
        <is>
          <t>alt</t>
        </is>
      </c>
      <c r="O3779" t="n">
        <v>15</v>
      </c>
      <c r="P3779" t="n">
        <v>0.000412</v>
      </c>
      <c r="Q3779" t="n">
        <v>90</v>
      </c>
      <c r="R3779" t="n">
        <v>0.04703</v>
      </c>
      <c r="S3779">
        <f>IMAGE("https://mitra.stanford.edu/kundaje/oak/projects/neuro-variants/variant_position/credible/roussos_2024/variant_figures/roussos_2024.childhood.GABA/rs55634663_count_position.png",4,220,900)</f>
        <v/>
      </c>
      <c r="T3779">
        <f>IMAGE("https://mitra.stanford.edu/kundaje/oak/projects/neuro-variants/variant_position/credible/roussos_2024/variant_figures/roussos_2024.childhood.GABA/rs55634663_profile_position.png",4,220,900)</f>
        <v/>
      </c>
    </row>
    <row r="3780">
      <c r="A3780" t="inlineStr">
        <is>
          <t>chr7</t>
        </is>
      </c>
      <c r="B3780" t="n">
        <v>110432071</v>
      </c>
      <c r="C3780" t="inlineStr">
        <is>
          <t>G</t>
        </is>
      </c>
      <c r="D3780" t="inlineStr">
        <is>
          <t>T</t>
        </is>
      </c>
      <c r="E3780" t="inlineStr">
        <is>
          <t>rs211792</t>
        </is>
      </c>
      <c r="F3780" t="n">
        <v>0.0109026992599999</v>
      </c>
      <c r="G3780" t="n">
        <v>0.5519383409356072</v>
      </c>
      <c r="H3780" t="n">
        <v>0.0118275672325228</v>
      </c>
      <c r="I3780" t="n">
        <v>0.4495313659351339</v>
      </c>
      <c r="J3780" t="n">
        <v>0.06918598563380859</v>
      </c>
      <c r="K3780" t="n">
        <v>0.43035567311258</v>
      </c>
      <c r="L3780" t="b">
        <v>0</v>
      </c>
      <c r="M3780" t="b">
        <v>0</v>
      </c>
      <c r="N3780" t="inlineStr">
        <is>
          <t>alt</t>
        </is>
      </c>
      <c r="O3780" t="n">
        <v>90</v>
      </c>
      <c r="P3780" t="n">
        <v>0.00737</v>
      </c>
      <c r="Q3780" t="n">
        <v>90</v>
      </c>
      <c r="R3780" t="n">
        <v>0.1484</v>
      </c>
      <c r="S3780">
        <f>IMAGE("https://mitra.stanford.edu/kundaje/oak/projects/neuro-variants/variant_position/credible/roussos_2024/variant_figures/roussos_2024.childhood.GABA/rs211792_count_position.png",4,220,900)</f>
        <v/>
      </c>
      <c r="T3780">
        <f>IMAGE("https://mitra.stanford.edu/kundaje/oak/projects/neuro-variants/variant_position/credible/roussos_2024/variant_figures/roussos_2024.childhood.GABA/rs211792_profile_position.png",4,220,900)</f>
        <v/>
      </c>
    </row>
    <row r="3781">
      <c r="A3781" t="inlineStr">
        <is>
          <t>chr7</t>
        </is>
      </c>
      <c r="B3781" t="n">
        <v>110467153</v>
      </c>
      <c r="C3781" t="inlineStr">
        <is>
          <t>A</t>
        </is>
      </c>
      <c r="D3781" t="inlineStr">
        <is>
          <t>C</t>
        </is>
      </c>
      <c r="E3781" t="inlineStr">
        <is>
          <t>rs56680698</t>
        </is>
      </c>
      <c r="F3781" t="n">
        <v>0.06874067219999989</v>
      </c>
      <c r="G3781" t="n">
        <v>0.0683362894399196</v>
      </c>
      <c r="H3781" t="n">
        <v>0.0138705852282426</v>
      </c>
      <c r="I3781" t="n">
        <v>0.2920581698928576</v>
      </c>
      <c r="J3781" t="n">
        <v>0.2212718058260559</v>
      </c>
      <c r="K3781" t="n">
        <v>0.1949400774087293</v>
      </c>
      <c r="L3781" t="b">
        <v>0</v>
      </c>
      <c r="M3781" t="b">
        <v>0</v>
      </c>
      <c r="N3781" t="inlineStr">
        <is>
          <t>alt</t>
        </is>
      </c>
      <c r="O3781" t="n">
        <v>10</v>
      </c>
      <c r="P3781" t="n">
        <v>0.00293</v>
      </c>
      <c r="Q3781" t="n">
        <v>-95</v>
      </c>
      <c r="R3781" t="n">
        <v>0.003784</v>
      </c>
      <c r="S3781">
        <f>IMAGE("https://mitra.stanford.edu/kundaje/oak/projects/neuro-variants/variant_position/credible/roussos_2024/variant_figures/roussos_2024.childhood.GABA/rs56680698_count_position.png",4,220,900)</f>
        <v/>
      </c>
      <c r="T3781">
        <f>IMAGE("https://mitra.stanford.edu/kundaje/oak/projects/neuro-variants/variant_position/credible/roussos_2024/variant_figures/roussos_2024.childhood.GABA/rs56680698_profile_position.png",4,220,900)</f>
        <v/>
      </c>
    </row>
    <row r="3782">
      <c r="A3782" t="inlineStr">
        <is>
          <t>chr7</t>
        </is>
      </c>
      <c r="B3782" t="n">
        <v>110668619</v>
      </c>
      <c r="C3782" t="inlineStr">
        <is>
          <t>C</t>
        </is>
      </c>
      <c r="D3782" t="inlineStr">
        <is>
          <t>T</t>
        </is>
      </c>
      <c r="E3782" t="inlineStr">
        <is>
          <t>rs1525674</t>
        </is>
      </c>
      <c r="F3782" t="n">
        <v>-0.0100450831</v>
      </c>
      <c r="G3782" t="n">
        <v>0.6254023109882939</v>
      </c>
      <c r="H3782" t="n">
        <v>0.0206980928706453</v>
      </c>
      <c r="I3782" t="n">
        <v>0.0666266233698852</v>
      </c>
      <c r="J3782" t="n">
        <v>0.0293972901091076</v>
      </c>
      <c r="K3782" t="n">
        <v>0.5791150256229127</v>
      </c>
      <c r="L3782" t="b">
        <v>0</v>
      </c>
      <c r="M3782" t="b">
        <v>0</v>
      </c>
      <c r="N3782" t="inlineStr">
        <is>
          <t>ref</t>
        </is>
      </c>
      <c r="O3782" t="n">
        <v>45</v>
      </c>
      <c r="P3782" t="n">
        <v>0.01001</v>
      </c>
      <c r="Q3782" t="n">
        <v>35</v>
      </c>
      <c r="R3782" t="n">
        <v>0.03983</v>
      </c>
      <c r="S3782">
        <f>IMAGE("https://mitra.stanford.edu/kundaje/oak/projects/neuro-variants/variant_position/credible/roussos_2024/variant_figures/roussos_2024.childhood.GABA/rs1525674_count_position.png",4,220,900)</f>
        <v/>
      </c>
      <c r="T3782">
        <f>IMAGE("https://mitra.stanford.edu/kundaje/oak/projects/neuro-variants/variant_position/credible/roussos_2024/variant_figures/roussos_2024.childhood.GABA/rs1525674_profile_position.png",4,220,900)</f>
        <v/>
      </c>
    </row>
    <row r="3783">
      <c r="A3783" t="inlineStr">
        <is>
          <t>chr7</t>
        </is>
      </c>
      <c r="B3783" t="n">
        <v>111227479</v>
      </c>
      <c r="C3783" t="inlineStr">
        <is>
          <t>A</t>
        </is>
      </c>
      <c r="D3783" t="inlineStr">
        <is>
          <t>G</t>
        </is>
      </c>
      <c r="E3783" t="inlineStr">
        <is>
          <t>rs214475</t>
        </is>
      </c>
      <c r="F3783" t="n">
        <v>-0.0152297828</v>
      </c>
      <c r="G3783" t="n">
        <v>0.337020041011807</v>
      </c>
      <c r="H3783" t="n">
        <v>0.0105758036799504</v>
      </c>
      <c r="I3783" t="n">
        <v>0.572402619803279</v>
      </c>
      <c r="J3783" t="n">
        <v>0.0378630814014365</v>
      </c>
      <c r="K3783" t="n">
        <v>0.5358573763986466</v>
      </c>
      <c r="L3783" t="b">
        <v>0</v>
      </c>
      <c r="M3783" t="b">
        <v>0</v>
      </c>
      <c r="N3783" t="inlineStr">
        <is>
          <t>ref</t>
        </is>
      </c>
      <c r="O3783" t="n">
        <v>80</v>
      </c>
      <c r="P3783" t="n">
        <v>0.005688</v>
      </c>
      <c r="Q3783" t="n">
        <v>80</v>
      </c>
      <c r="R3783" t="n">
        <v>0.234</v>
      </c>
      <c r="S3783">
        <f>IMAGE("https://mitra.stanford.edu/kundaje/oak/projects/neuro-variants/variant_position/credible/roussos_2024/variant_figures/roussos_2024.childhood.GABA/rs214475_count_position.png",4,220,900)</f>
        <v/>
      </c>
      <c r="T3783">
        <f>IMAGE("https://mitra.stanford.edu/kundaje/oak/projects/neuro-variants/variant_position/credible/roussos_2024/variant_figures/roussos_2024.childhood.GABA/rs214475_profile_position.png",4,220,900)</f>
        <v/>
      </c>
    </row>
    <row r="3784">
      <c r="A3784" t="inlineStr">
        <is>
          <t>chr7</t>
        </is>
      </c>
      <c r="B3784" t="n">
        <v>111269113</v>
      </c>
      <c r="C3784" t="inlineStr">
        <is>
          <t>C</t>
        </is>
      </c>
      <c r="D3784" t="inlineStr">
        <is>
          <t>T</t>
        </is>
      </c>
      <c r="E3784" t="inlineStr">
        <is>
          <t>rs6959670</t>
        </is>
      </c>
      <c r="F3784" t="n">
        <v>0.110961368</v>
      </c>
      <c r="G3784" t="n">
        <v>0.0300579008461469</v>
      </c>
      <c r="H3784" t="n">
        <v>0.0204724044137142</v>
      </c>
      <c r="I3784" t="n">
        <v>0.0716936385178094</v>
      </c>
      <c r="J3784" t="n">
        <v>0.0153902536072542</v>
      </c>
      <c r="K3784" t="n">
        <v>0.6811038454188812</v>
      </c>
      <c r="L3784" t="b">
        <v>0</v>
      </c>
      <c r="M3784" t="b">
        <v>0</v>
      </c>
      <c r="N3784" t="inlineStr">
        <is>
          <t>alt</t>
        </is>
      </c>
      <c r="O3784" t="n">
        <v>20</v>
      </c>
      <c r="P3784" t="n">
        <v>0.001221</v>
      </c>
      <c r="Q3784" t="n">
        <v>65</v>
      </c>
      <c r="R3784" t="n">
        <v>0.02661</v>
      </c>
      <c r="S3784">
        <f>IMAGE("https://mitra.stanford.edu/kundaje/oak/projects/neuro-variants/variant_position/credible/roussos_2024/variant_figures/roussos_2024.childhood.GABA/rs6959670_count_position.png",4,220,900)</f>
        <v/>
      </c>
      <c r="T3784">
        <f>IMAGE("https://mitra.stanford.edu/kundaje/oak/projects/neuro-variants/variant_position/credible/roussos_2024/variant_figures/roussos_2024.childhood.GABA/rs6959670_profile_position.png",4,220,900)</f>
        <v/>
      </c>
    </row>
    <row r="3785">
      <c r="A3785" t="inlineStr">
        <is>
          <t>chr7</t>
        </is>
      </c>
      <c r="B3785" t="n">
        <v>111277630</v>
      </c>
      <c r="C3785" t="inlineStr">
        <is>
          <t>C</t>
        </is>
      </c>
      <c r="D3785" t="inlineStr">
        <is>
          <t>T</t>
        </is>
      </c>
      <c r="E3785" t="inlineStr">
        <is>
          <t>rs13239254</t>
        </is>
      </c>
      <c r="F3785" t="n">
        <v>-0.03129493706</v>
      </c>
      <c r="G3785" t="n">
        <v>0.3192052399933957</v>
      </c>
      <c r="H3785" t="n">
        <v>0.0132492648106627</v>
      </c>
      <c r="I3785" t="n">
        <v>0.3299346970668469</v>
      </c>
      <c r="J3785" t="n">
        <v>0.141334212896065</v>
      </c>
      <c r="K3785" t="n">
        <v>0.2833923397046946</v>
      </c>
      <c r="L3785" t="b">
        <v>0</v>
      </c>
      <c r="M3785" t="b">
        <v>0</v>
      </c>
      <c r="N3785" t="inlineStr">
        <is>
          <t>ref</t>
        </is>
      </c>
      <c r="O3785" t="n">
        <v>-5</v>
      </c>
      <c r="P3785" t="n">
        <v>0.0006713999999999999</v>
      </c>
      <c r="Q3785" t="n">
        <v>-15</v>
      </c>
      <c r="R3785" t="n">
        <v>0.0083</v>
      </c>
      <c r="S3785">
        <f>IMAGE("https://mitra.stanford.edu/kundaje/oak/projects/neuro-variants/variant_position/credible/roussos_2024/variant_figures/roussos_2024.childhood.GABA/rs13239254_count_position.png",4,220,900)</f>
        <v/>
      </c>
      <c r="T3785">
        <f>IMAGE("https://mitra.stanford.edu/kundaje/oak/projects/neuro-variants/variant_position/credible/roussos_2024/variant_figures/roussos_2024.childhood.GABA/rs13239254_profile_position.png",4,220,900)</f>
        <v/>
      </c>
    </row>
    <row r="3786">
      <c r="A3786" t="inlineStr">
        <is>
          <t>chr7</t>
        </is>
      </c>
      <c r="B3786" t="n">
        <v>111348537</v>
      </c>
      <c r="C3786" t="inlineStr">
        <is>
          <t>G</t>
        </is>
      </c>
      <c r="D3786" t="inlineStr">
        <is>
          <t>T</t>
        </is>
      </c>
      <c r="E3786" t="inlineStr">
        <is>
          <t>rs35426637</t>
        </is>
      </c>
      <c r="F3786" t="n">
        <v>-0.040650447</v>
      </c>
      <c r="G3786" t="n">
        <v>0.2148428930824503</v>
      </c>
      <c r="H3786" t="n">
        <v>0.0149518052315423</v>
      </c>
      <c r="I3786" t="n">
        <v>0.2285130966131477</v>
      </c>
      <c r="J3786" t="n">
        <v>0.0458995623128311</v>
      </c>
      <c r="K3786" t="n">
        <v>0.4998574075882321</v>
      </c>
      <c r="L3786" t="b">
        <v>0</v>
      </c>
      <c r="M3786" t="b">
        <v>0</v>
      </c>
      <c r="N3786" t="inlineStr">
        <is>
          <t>ref</t>
        </is>
      </c>
      <c r="O3786" t="n">
        <v>-100</v>
      </c>
      <c r="P3786" t="n">
        <v>0.00784</v>
      </c>
      <c r="Q3786" t="n">
        <v>-20</v>
      </c>
      <c r="R3786" t="n">
        <v>0.006348</v>
      </c>
      <c r="S3786">
        <f>IMAGE("https://mitra.stanford.edu/kundaje/oak/projects/neuro-variants/variant_position/credible/roussos_2024/variant_figures/roussos_2024.childhood.GABA/rs35426637_count_position.png",4,220,900)</f>
        <v/>
      </c>
      <c r="T3786">
        <f>IMAGE("https://mitra.stanford.edu/kundaje/oak/projects/neuro-variants/variant_position/credible/roussos_2024/variant_figures/roussos_2024.childhood.GABA/rs35426637_profile_position.png",4,220,900)</f>
        <v/>
      </c>
    </row>
    <row r="3787">
      <c r="A3787" t="inlineStr">
        <is>
          <t>chr7</t>
        </is>
      </c>
      <c r="B3787" t="n">
        <v>115389596</v>
      </c>
      <c r="C3787" t="inlineStr">
        <is>
          <t>T</t>
        </is>
      </c>
      <c r="D3787" t="inlineStr">
        <is>
          <t>C</t>
        </is>
      </c>
      <c r="E3787" t="inlineStr">
        <is>
          <t>rs59369558</t>
        </is>
      </c>
      <c r="F3787" t="n">
        <v>0.0430750874</v>
      </c>
      <c r="G3787" t="n">
        <v>0.1760111323010942</v>
      </c>
      <c r="H3787" t="n">
        <v>0.0150468887933286</v>
      </c>
      <c r="I3787" t="n">
        <v>0.2224172263363316</v>
      </c>
      <c r="J3787" t="n">
        <v>0.0336097673347154</v>
      </c>
      <c r="K3787" t="n">
        <v>0.5688287771309757</v>
      </c>
      <c r="L3787" t="b">
        <v>0</v>
      </c>
      <c r="M3787" t="b">
        <v>0</v>
      </c>
      <c r="N3787" t="inlineStr">
        <is>
          <t>alt</t>
        </is>
      </c>
      <c r="O3787" t="n">
        <v>-100</v>
      </c>
      <c r="P3787" t="n">
        <v>0.006954</v>
      </c>
      <c r="Q3787" t="n">
        <v>-15</v>
      </c>
      <c r="R3787" t="n">
        <v>0.00232</v>
      </c>
      <c r="S3787">
        <f>IMAGE("https://mitra.stanford.edu/kundaje/oak/projects/neuro-variants/variant_position/credible/roussos_2024/variant_figures/roussos_2024.childhood.GABA/rs59369558_count_position.png",4,220,900)</f>
        <v/>
      </c>
      <c r="T3787">
        <f>IMAGE("https://mitra.stanford.edu/kundaje/oak/projects/neuro-variants/variant_position/credible/roussos_2024/variant_figures/roussos_2024.childhood.GABA/rs59369558_profile_position.png",4,220,900)</f>
        <v/>
      </c>
    </row>
    <row r="3788">
      <c r="A3788" t="inlineStr">
        <is>
          <t>chr7</t>
        </is>
      </c>
      <c r="B3788" t="n">
        <v>115405658</v>
      </c>
      <c r="C3788" t="inlineStr">
        <is>
          <t>A</t>
        </is>
      </c>
      <c r="D3788" t="inlineStr">
        <is>
          <t>C</t>
        </is>
      </c>
      <c r="E3788" t="inlineStr">
        <is>
          <t>rs12706031</t>
        </is>
      </c>
      <c r="F3788" t="n">
        <v>-0.0491106036</v>
      </c>
      <c r="G3788" t="n">
        <v>0.1618747674631803</v>
      </c>
      <c r="H3788" t="n">
        <v>0.0208288810242083</v>
      </c>
      <c r="I3788" t="n">
        <v>0.0628635177240392</v>
      </c>
      <c r="J3788" t="n">
        <v>0.0093893321605829</v>
      </c>
      <c r="K3788" t="n">
        <v>0.7577682630341483</v>
      </c>
      <c r="L3788" t="b">
        <v>0</v>
      </c>
      <c r="M3788" t="b">
        <v>0</v>
      </c>
      <c r="N3788" t="inlineStr">
        <is>
          <t>ref</t>
        </is>
      </c>
      <c r="O3788" t="n">
        <v>-35</v>
      </c>
      <c r="P3788" t="n">
        <v>0.005188</v>
      </c>
      <c r="Q3788" t="n">
        <v>40</v>
      </c>
      <c r="R3788" t="n">
        <v>0.03833</v>
      </c>
      <c r="S3788">
        <f>IMAGE("https://mitra.stanford.edu/kundaje/oak/projects/neuro-variants/variant_position/credible/roussos_2024/variant_figures/roussos_2024.childhood.GABA/rs12706031_count_position.png",4,220,900)</f>
        <v/>
      </c>
      <c r="T3788">
        <f>IMAGE("https://mitra.stanford.edu/kundaje/oak/projects/neuro-variants/variant_position/credible/roussos_2024/variant_figures/roussos_2024.childhood.GABA/rs12706031_profile_position.png",4,220,900)</f>
        <v/>
      </c>
    </row>
    <row r="3789">
      <c r="A3789" t="inlineStr">
        <is>
          <t>chr7</t>
        </is>
      </c>
      <c r="B3789" t="n">
        <v>115417808</v>
      </c>
      <c r="C3789" t="inlineStr">
        <is>
          <t>G</t>
        </is>
      </c>
      <c r="D3789" t="inlineStr">
        <is>
          <t>C</t>
        </is>
      </c>
      <c r="E3789" t="inlineStr">
        <is>
          <t>rs2401924</t>
        </is>
      </c>
      <c r="F3789" t="n">
        <v>-0.1793127619999999</v>
      </c>
      <c r="G3789" t="n">
        <v>0.0066791298351351</v>
      </c>
      <c r="H3789" t="n">
        <v>0.0251992811450116</v>
      </c>
      <c r="I3789" t="n">
        <v>0.0336680568470148</v>
      </c>
      <c r="J3789" t="n">
        <v>0.1563297103725576</v>
      </c>
      <c r="K3789" t="n">
        <v>0.2589970157359632</v>
      </c>
      <c r="L3789" t="b">
        <v>1</v>
      </c>
      <c r="M3789" t="b">
        <v>1</v>
      </c>
      <c r="N3789" t="inlineStr">
        <is>
          <t>ref</t>
        </is>
      </c>
      <c r="O3789" t="n">
        <v>-100</v>
      </c>
      <c r="P3789" t="n">
        <v>0.03262</v>
      </c>
      <c r="Q3789" t="n">
        <v>-45</v>
      </c>
      <c r="R3789" t="n">
        <v>0.0293</v>
      </c>
      <c r="S3789">
        <f>IMAGE("https://mitra.stanford.edu/kundaje/oak/projects/neuro-variants/variant_position/credible/roussos_2024/variant_figures/roussos_2024.childhood.GABA/rs2401924_count_position.png",4,220,900)</f>
        <v/>
      </c>
      <c r="T3789">
        <f>IMAGE("https://mitra.stanford.edu/kundaje/oak/projects/neuro-variants/variant_position/credible/roussos_2024/variant_figures/roussos_2024.childhood.GABA/rs2401924_profile_position.png",4,220,900)</f>
        <v/>
      </c>
    </row>
    <row r="3790">
      <c r="A3790" t="inlineStr">
        <is>
          <t>chr7</t>
        </is>
      </c>
      <c r="B3790" t="n">
        <v>115420155</v>
      </c>
      <c r="C3790" t="inlineStr">
        <is>
          <t>G</t>
        </is>
      </c>
      <c r="D3790" t="inlineStr">
        <is>
          <t>A</t>
        </is>
      </c>
      <c r="E3790" t="inlineStr">
        <is>
          <t>rs62474713</t>
        </is>
      </c>
      <c r="F3790" t="n">
        <v>-0.0381764506</v>
      </c>
      <c r="G3790" t="n">
        <v>0.2259267975602206</v>
      </c>
      <c r="H3790" t="n">
        <v>0.0118173329930183</v>
      </c>
      <c r="I3790" t="n">
        <v>0.4579539086781244</v>
      </c>
      <c r="J3790" t="n">
        <v>0.0499916232120792</v>
      </c>
      <c r="K3790" t="n">
        <v>0.4843053219003305</v>
      </c>
      <c r="L3790" t="b">
        <v>0</v>
      </c>
      <c r="M3790" t="b">
        <v>0</v>
      </c>
      <c r="N3790" t="inlineStr">
        <is>
          <t>ref</t>
        </is>
      </c>
      <c r="O3790" t="n">
        <v>-100</v>
      </c>
      <c r="P3790" t="n">
        <v>0.01017</v>
      </c>
      <c r="Q3790" t="n">
        <v>100</v>
      </c>
      <c r="R3790" t="n">
        <v>0.05377</v>
      </c>
      <c r="S3790">
        <f>IMAGE("https://mitra.stanford.edu/kundaje/oak/projects/neuro-variants/variant_position/credible/roussos_2024/variant_figures/roussos_2024.childhood.GABA/rs62474713_count_position.png",4,220,900)</f>
        <v/>
      </c>
      <c r="T3790">
        <f>IMAGE("https://mitra.stanford.edu/kundaje/oak/projects/neuro-variants/variant_position/credible/roussos_2024/variant_figures/roussos_2024.childhood.GABA/rs62474713_profile_position.png",4,220,900)</f>
        <v/>
      </c>
    </row>
    <row r="3791">
      <c r="A3791" t="inlineStr">
        <is>
          <t>chr7</t>
        </is>
      </c>
      <c r="B3791" t="n">
        <v>115421602</v>
      </c>
      <c r="C3791" t="inlineStr">
        <is>
          <t>A</t>
        </is>
      </c>
      <c r="D3791" t="inlineStr">
        <is>
          <t>G</t>
        </is>
      </c>
      <c r="E3791" t="inlineStr">
        <is>
          <t>rs2401925</t>
        </is>
      </c>
      <c r="F3791" t="n">
        <v>0.0569609338</v>
      </c>
      <c r="G3791" t="n">
        <v>0.1020632847512157</v>
      </c>
      <c r="H3791" t="n">
        <v>0.0164643852338459</v>
      </c>
      <c r="I3791" t="n">
        <v>0.1606841715432795</v>
      </c>
      <c r="J3791" t="n">
        <v>0.0119505350673283</v>
      </c>
      <c r="K3791" t="n">
        <v>0.7256645154374828</v>
      </c>
      <c r="L3791" t="b">
        <v>0</v>
      </c>
      <c r="M3791" t="b">
        <v>0</v>
      </c>
      <c r="N3791" t="inlineStr">
        <is>
          <t>alt</t>
        </is>
      </c>
      <c r="O3791" t="n">
        <v>-100</v>
      </c>
      <c r="P3791" t="n">
        <v>0.06859999999999999</v>
      </c>
      <c r="Q3791" t="n">
        <v>35</v>
      </c>
      <c r="R3791" t="n">
        <v>0.02173</v>
      </c>
      <c r="S3791">
        <f>IMAGE("https://mitra.stanford.edu/kundaje/oak/projects/neuro-variants/variant_position/credible/roussos_2024/variant_figures/roussos_2024.childhood.GABA/rs2401925_count_position.png",4,220,900)</f>
        <v/>
      </c>
      <c r="T3791">
        <f>IMAGE("https://mitra.stanford.edu/kundaje/oak/projects/neuro-variants/variant_position/credible/roussos_2024/variant_figures/roussos_2024.childhood.GABA/rs2401925_profile_position.png",4,220,900)</f>
        <v/>
      </c>
    </row>
    <row r="3792">
      <c r="A3792" t="inlineStr">
        <is>
          <t>chr7</t>
        </is>
      </c>
      <c r="B3792" t="n">
        <v>115428659</v>
      </c>
      <c r="C3792" t="inlineStr">
        <is>
          <t>A</t>
        </is>
      </c>
      <c r="D3792" t="inlineStr">
        <is>
          <t>G</t>
        </is>
      </c>
      <c r="E3792" t="inlineStr">
        <is>
          <t>rs1358394</t>
        </is>
      </c>
      <c r="F3792" t="n">
        <v>-0.0748571002</v>
      </c>
      <c r="G3792" t="n">
        <v>0.0769398226802846</v>
      </c>
      <c r="H3792" t="n">
        <v>0.0234241169662409</v>
      </c>
      <c r="I3792" t="n">
        <v>0.0388610177989189</v>
      </c>
      <c r="J3792" t="n">
        <v>0.0381897761303427</v>
      </c>
      <c r="K3792" t="n">
        <v>0.5343116733547383</v>
      </c>
      <c r="L3792" t="b">
        <v>0</v>
      </c>
      <c r="M3792" t="b">
        <v>0</v>
      </c>
      <c r="N3792" t="inlineStr">
        <is>
          <t>ref</t>
        </is>
      </c>
      <c r="O3792" t="n">
        <v>55</v>
      </c>
      <c r="P3792" t="n">
        <v>0.02104</v>
      </c>
      <c r="Q3792" t="n">
        <v>70</v>
      </c>
      <c r="R3792" t="n">
        <v>0.11096</v>
      </c>
      <c r="S3792">
        <f>IMAGE("https://mitra.stanford.edu/kundaje/oak/projects/neuro-variants/variant_position/credible/roussos_2024/variant_figures/roussos_2024.childhood.GABA/rs1358394_count_position.png",4,220,900)</f>
        <v/>
      </c>
      <c r="T3792">
        <f>IMAGE("https://mitra.stanford.edu/kundaje/oak/projects/neuro-variants/variant_position/credible/roussos_2024/variant_figures/roussos_2024.childhood.GABA/rs1358394_profile_position.png",4,220,900)</f>
        <v/>
      </c>
    </row>
    <row r="3793">
      <c r="A3793" t="inlineStr">
        <is>
          <t>chr7</t>
        </is>
      </c>
      <c r="B3793" t="n">
        <v>115464509</v>
      </c>
      <c r="C3793" t="inlineStr">
        <is>
          <t>T</t>
        </is>
      </c>
      <c r="D3793" t="inlineStr">
        <is>
          <t>C</t>
        </is>
      </c>
      <c r="E3793" t="inlineStr">
        <is>
          <t>rs4730682</t>
        </is>
      </c>
      <c r="F3793" t="n">
        <v>0.0251886989</v>
      </c>
      <c r="G3793" t="n">
        <v>0.3447055479747584</v>
      </c>
      <c r="H3793" t="n">
        <v>0.0166797619477222</v>
      </c>
      <c r="I3793" t="n">
        <v>0.1533438913453158</v>
      </c>
      <c r="J3793" t="n">
        <v>0.0004670059265773</v>
      </c>
      <c r="K3793" t="n">
        <v>0.9541164384810196</v>
      </c>
      <c r="L3793" t="b">
        <v>0</v>
      </c>
      <c r="M3793" t="b">
        <v>0</v>
      </c>
      <c r="N3793" t="inlineStr">
        <is>
          <t>alt</t>
        </is>
      </c>
      <c r="O3793" t="n">
        <v>-50</v>
      </c>
      <c r="P3793" t="n">
        <v>0.0007315000000000001</v>
      </c>
      <c r="Q3793" t="n">
        <v>-95</v>
      </c>
      <c r="R3793" t="n">
        <v>0.07214</v>
      </c>
      <c r="S3793">
        <f>IMAGE("https://mitra.stanford.edu/kundaje/oak/projects/neuro-variants/variant_position/credible/roussos_2024/variant_figures/roussos_2024.childhood.GABA/rs4730682_count_position.png",4,220,900)</f>
        <v/>
      </c>
      <c r="T3793">
        <f>IMAGE("https://mitra.stanford.edu/kundaje/oak/projects/neuro-variants/variant_position/credible/roussos_2024/variant_figures/roussos_2024.childhood.GABA/rs4730682_profile_position.png",4,220,900)</f>
        <v/>
      </c>
    </row>
    <row r="3794">
      <c r="A3794" t="inlineStr">
        <is>
          <t>chr7</t>
        </is>
      </c>
      <c r="B3794" t="n">
        <v>127857531</v>
      </c>
      <c r="C3794" t="inlineStr">
        <is>
          <t>C</t>
        </is>
      </c>
      <c r="D3794" t="inlineStr">
        <is>
          <t>T</t>
        </is>
      </c>
      <c r="E3794" t="inlineStr">
        <is>
          <t>rs10269552</t>
        </is>
      </c>
      <c r="F3794" t="n">
        <v>0.002609958538</v>
      </c>
      <c r="G3794" t="n">
        <v>0.8668393802839975</v>
      </c>
      <c r="H3794" t="n">
        <v>0.0203855921184113</v>
      </c>
      <c r="I3794" t="n">
        <v>0.0697582030681167</v>
      </c>
      <c r="J3794" t="n">
        <v>0.151284789847333</v>
      </c>
      <c r="K3794" t="n">
        <v>0.2780988484574164</v>
      </c>
      <c r="L3794" t="b">
        <v>0</v>
      </c>
      <c r="M3794" t="b">
        <v>0</v>
      </c>
      <c r="N3794" t="inlineStr">
        <is>
          <t>alt</t>
        </is>
      </c>
      <c r="O3794" t="n">
        <v>-95</v>
      </c>
      <c r="P3794" t="n">
        <v>0.07915999999999999</v>
      </c>
      <c r="Q3794" t="n">
        <v>-60</v>
      </c>
      <c r="R3794" t="n">
        <v>0.1123</v>
      </c>
      <c r="S3794">
        <f>IMAGE("https://mitra.stanford.edu/kundaje/oak/projects/neuro-variants/variant_position/credible/roussos_2024/variant_figures/roussos_2024.childhood.GABA/rs10269552_count_position.png",4,220,900)</f>
        <v/>
      </c>
      <c r="T3794">
        <f>IMAGE("https://mitra.stanford.edu/kundaje/oak/projects/neuro-variants/variant_position/credible/roussos_2024/variant_figures/roussos_2024.childhood.GABA/rs10269552_profile_position.png",4,220,900)</f>
        <v/>
      </c>
    </row>
    <row r="3795">
      <c r="A3795" t="inlineStr">
        <is>
          <t>chr7</t>
        </is>
      </c>
      <c r="B3795" t="n">
        <v>128029531</v>
      </c>
      <c r="C3795" t="inlineStr">
        <is>
          <t>T</t>
        </is>
      </c>
      <c r="D3795" t="inlineStr">
        <is>
          <t>C</t>
        </is>
      </c>
      <c r="E3795" t="inlineStr">
        <is>
          <t>rs73238074</t>
        </is>
      </c>
      <c r="F3795" t="n">
        <v>0.1531174932</v>
      </c>
      <c r="G3795" t="n">
        <v>0.009670319742950699</v>
      </c>
      <c r="H3795" t="n">
        <v>0.0226267820928904</v>
      </c>
      <c r="I3795" t="n">
        <v>0.0459906011235047</v>
      </c>
      <c r="J3795" t="n">
        <v>0.4052899415719042</v>
      </c>
      <c r="K3795" t="n">
        <v>0.08090131963448061</v>
      </c>
      <c r="L3795" t="b">
        <v>1</v>
      </c>
      <c r="M3795" t="b">
        <v>1</v>
      </c>
      <c r="N3795" t="inlineStr">
        <is>
          <t>alt</t>
        </is>
      </c>
      <c r="O3795" t="n">
        <v>5</v>
      </c>
      <c r="P3795" t="n">
        <v>0.000475</v>
      </c>
      <c r="Q3795" t="n">
        <v>25</v>
      </c>
      <c r="R3795" t="n">
        <v>0.01477</v>
      </c>
      <c r="S3795">
        <f>IMAGE("https://mitra.stanford.edu/kundaje/oak/projects/neuro-variants/variant_position/credible/roussos_2024/variant_figures/roussos_2024.childhood.GABA/rs73238074_count_position.png",4,220,900)</f>
        <v/>
      </c>
      <c r="T3795">
        <f>IMAGE("https://mitra.stanford.edu/kundaje/oak/projects/neuro-variants/variant_position/credible/roussos_2024/variant_figures/roussos_2024.childhood.GABA/rs73238074_profile_position.png",4,220,900)</f>
        <v/>
      </c>
    </row>
    <row r="3796">
      <c r="A3796" t="inlineStr">
        <is>
          <t>chr7</t>
        </is>
      </c>
      <c r="B3796" t="n">
        <v>128066983</v>
      </c>
      <c r="C3796" t="inlineStr">
        <is>
          <t>C</t>
        </is>
      </c>
      <c r="D3796" t="inlineStr">
        <is>
          <t>T</t>
        </is>
      </c>
      <c r="E3796" t="inlineStr">
        <is>
          <t>rs3757753</t>
        </is>
      </c>
      <c r="F3796" t="n">
        <v>-0.0455347109999999</v>
      </c>
      <c r="G3796" t="n">
        <v>0.1703151906356849</v>
      </c>
      <c r="H3796" t="n">
        <v>0.0106376776521301</v>
      </c>
      <c r="I3796" t="n">
        <v>0.5688353572448582</v>
      </c>
      <c r="J3796" t="n">
        <v>0.3727932399321479</v>
      </c>
      <c r="K3796" t="n">
        <v>0.0979650616947805</v>
      </c>
      <c r="L3796" t="b">
        <v>0</v>
      </c>
      <c r="M3796" t="b">
        <v>0</v>
      </c>
      <c r="N3796" t="inlineStr">
        <is>
          <t>ref</t>
        </is>
      </c>
      <c r="O3796" t="n">
        <v>90</v>
      </c>
      <c r="P3796" t="n">
        <v>0.001068</v>
      </c>
      <c r="Q3796" t="n">
        <v>-100</v>
      </c>
      <c r="R3796" t="n">
        <v>0.0728</v>
      </c>
      <c r="S3796">
        <f>IMAGE("https://mitra.stanford.edu/kundaje/oak/projects/neuro-variants/variant_position/credible/roussos_2024/variant_figures/roussos_2024.childhood.GABA/rs3757753_count_position.png",4,220,900)</f>
        <v/>
      </c>
      <c r="T3796">
        <f>IMAGE("https://mitra.stanford.edu/kundaje/oak/projects/neuro-variants/variant_position/credible/roussos_2024/variant_figures/roussos_2024.childhood.GABA/rs3757753_profile_position.png",4,220,900)</f>
        <v/>
      </c>
    </row>
    <row r="3797">
      <c r="A3797" t="inlineStr">
        <is>
          <t>chr7</t>
        </is>
      </c>
      <c r="B3797" t="n">
        <v>128075850</v>
      </c>
      <c r="C3797" t="inlineStr">
        <is>
          <t>T</t>
        </is>
      </c>
      <c r="D3797" t="inlineStr">
        <is>
          <t>C</t>
        </is>
      </c>
      <c r="E3797" t="inlineStr">
        <is>
          <t>rs322832</t>
        </is>
      </c>
      <c r="F3797" t="n">
        <v>-0.01885554806</v>
      </c>
      <c r="G3797" t="n">
        <v>0.2732762880934115</v>
      </c>
      <c r="H3797" t="n">
        <v>0.0112588155178731</v>
      </c>
      <c r="I3797" t="n">
        <v>0.4887296054104882</v>
      </c>
      <c r="J3797" t="n">
        <v>0.5540397059747439</v>
      </c>
      <c r="K3797" t="n">
        <v>0.038501510725698</v>
      </c>
      <c r="L3797" t="b">
        <v>0</v>
      </c>
      <c r="M3797" t="b">
        <v>0</v>
      </c>
      <c r="N3797" t="inlineStr">
        <is>
          <t>ref</t>
        </is>
      </c>
      <c r="O3797" t="n">
        <v>-60</v>
      </c>
      <c r="P3797" t="n">
        <v>0.002167</v>
      </c>
      <c r="Q3797" t="n">
        <v>85</v>
      </c>
      <c r="R3797" t="n">
        <v>0.07006999999999999</v>
      </c>
      <c r="S3797">
        <f>IMAGE("https://mitra.stanford.edu/kundaje/oak/projects/neuro-variants/variant_position/credible/roussos_2024/variant_figures/roussos_2024.childhood.GABA/rs322832_count_position.png",4,220,900)</f>
        <v/>
      </c>
      <c r="T3797">
        <f>IMAGE("https://mitra.stanford.edu/kundaje/oak/projects/neuro-variants/variant_position/credible/roussos_2024/variant_figures/roussos_2024.childhood.GABA/rs322832_profile_position.png",4,220,900)</f>
        <v/>
      </c>
    </row>
    <row r="3798">
      <c r="A3798" t="inlineStr">
        <is>
          <t>chr7</t>
        </is>
      </c>
      <c r="B3798" t="n">
        <v>128099669</v>
      </c>
      <c r="C3798" t="inlineStr">
        <is>
          <t>G</t>
        </is>
      </c>
      <c r="D3798" t="inlineStr">
        <is>
          <t>T</t>
        </is>
      </c>
      <c r="E3798" t="inlineStr">
        <is>
          <t>rs6954161</t>
        </is>
      </c>
      <c r="F3798" t="n">
        <v>0.01005922764</v>
      </c>
      <c r="G3798" t="n">
        <v>0.5134349329787885</v>
      </c>
      <c r="H3798" t="n">
        <v>0.0251004720034382</v>
      </c>
      <c r="I3798" t="n">
        <v>0.0284017898048291</v>
      </c>
      <c r="J3798" t="n">
        <v>0.1416787082993026</v>
      </c>
      <c r="K3798" t="n">
        <v>0.2958269392093173</v>
      </c>
      <c r="L3798" t="b">
        <v>0</v>
      </c>
      <c r="M3798" t="b">
        <v>0</v>
      </c>
      <c r="N3798" t="inlineStr">
        <is>
          <t>alt</t>
        </is>
      </c>
      <c r="O3798" t="n">
        <v>-5</v>
      </c>
      <c r="P3798" t="n">
        <v>2.86e-06</v>
      </c>
      <c r="Q3798" t="n">
        <v>-95</v>
      </c>
      <c r="R3798" t="n">
        <v>0.0217</v>
      </c>
      <c r="S3798">
        <f>IMAGE("https://mitra.stanford.edu/kundaje/oak/projects/neuro-variants/variant_position/credible/roussos_2024/variant_figures/roussos_2024.childhood.GABA/rs6954161_count_position.png",4,220,900)</f>
        <v/>
      </c>
      <c r="T3798">
        <f>IMAGE("https://mitra.stanford.edu/kundaje/oak/projects/neuro-variants/variant_position/credible/roussos_2024/variant_figures/roussos_2024.childhood.GABA/rs6954161_profile_position.png",4,220,900)</f>
        <v/>
      </c>
    </row>
    <row r="3799">
      <c r="A3799" t="inlineStr">
        <is>
          <t>chr7</t>
        </is>
      </c>
      <c r="B3799" t="n">
        <v>128100012</v>
      </c>
      <c r="C3799" t="inlineStr">
        <is>
          <t>A</t>
        </is>
      </c>
      <c r="D3799" t="inlineStr">
        <is>
          <t>G</t>
        </is>
      </c>
      <c r="E3799" t="inlineStr">
        <is>
          <t>rs6954389</t>
        </is>
      </c>
      <c r="F3799" t="n">
        <v>0.0683951916</v>
      </c>
      <c r="G3799" t="n">
        <v>0.0737694423660354</v>
      </c>
      <c r="H3799" t="n">
        <v>0.0148805400654424</v>
      </c>
      <c r="I3799" t="n">
        <v>0.2314281960672357</v>
      </c>
      <c r="J3799" t="n">
        <v>0.1863374589013842</v>
      </c>
      <c r="K3799" t="n">
        <v>0.2350805732875962</v>
      </c>
      <c r="L3799" t="b">
        <v>0</v>
      </c>
      <c r="M3799" t="b">
        <v>0</v>
      </c>
      <c r="N3799" t="inlineStr">
        <is>
          <t>alt</t>
        </is>
      </c>
      <c r="O3799" t="n">
        <v>-95</v>
      </c>
      <c r="P3799" t="n">
        <v>0.002407</v>
      </c>
      <c r="Q3799" t="n">
        <v>75</v>
      </c>
      <c r="R3799" t="n">
        <v>0.1375</v>
      </c>
      <c r="S3799">
        <f>IMAGE("https://mitra.stanford.edu/kundaje/oak/projects/neuro-variants/variant_position/credible/roussos_2024/variant_figures/roussos_2024.childhood.GABA/rs6954389_count_position.png",4,220,900)</f>
        <v/>
      </c>
      <c r="T3799">
        <f>IMAGE("https://mitra.stanford.edu/kundaje/oak/projects/neuro-variants/variant_position/credible/roussos_2024/variant_figures/roussos_2024.childhood.GABA/rs6954389_profile_position.png",4,220,900)</f>
        <v/>
      </c>
    </row>
    <row r="3800">
      <c r="A3800" t="inlineStr">
        <is>
          <t>chr7</t>
        </is>
      </c>
      <c r="B3800" t="n">
        <v>128100939</v>
      </c>
      <c r="C3800" t="inlineStr">
        <is>
          <t>G</t>
        </is>
      </c>
      <c r="D3800" t="inlineStr">
        <is>
          <t>T</t>
        </is>
      </c>
      <c r="E3800" t="inlineStr">
        <is>
          <t>rs7792971</t>
        </is>
      </c>
      <c r="F3800" t="n">
        <v>-0.0026908744</v>
      </c>
      <c r="G3800" t="n">
        <v>0.3316184578665165</v>
      </c>
      <c r="H3800" t="n">
        <v>0.0115058600070193</v>
      </c>
      <c r="I3800" t="n">
        <v>0.4792483839111295</v>
      </c>
      <c r="J3800" t="n">
        <v>0.3512167284454776</v>
      </c>
      <c r="K3800" t="n">
        <v>0.1079788062931328</v>
      </c>
      <c r="L3800" t="b">
        <v>0</v>
      </c>
      <c r="M3800" t="b">
        <v>0</v>
      </c>
      <c r="N3800" t="inlineStr">
        <is>
          <t>ref</t>
        </is>
      </c>
      <c r="O3800" t="n">
        <v>-50</v>
      </c>
      <c r="P3800" t="n">
        <v>0.000977</v>
      </c>
      <c r="Q3800" t="n">
        <v>-5</v>
      </c>
      <c r="R3800" t="n">
        <v>0.00354</v>
      </c>
      <c r="S3800">
        <f>IMAGE("https://mitra.stanford.edu/kundaje/oak/projects/neuro-variants/variant_position/credible/roussos_2024/variant_figures/roussos_2024.childhood.GABA/rs7792971_count_position.png",4,220,900)</f>
        <v/>
      </c>
      <c r="T3800">
        <f>IMAGE("https://mitra.stanford.edu/kundaje/oak/projects/neuro-variants/variant_position/credible/roussos_2024/variant_figures/roussos_2024.childhood.GABA/rs7792971_profile_position.png",4,220,900)</f>
        <v/>
      </c>
    </row>
    <row r="3801">
      <c r="A3801" t="inlineStr">
        <is>
          <t>chr7</t>
        </is>
      </c>
      <c r="B3801" t="n">
        <v>128102510</v>
      </c>
      <c r="C3801" t="inlineStr">
        <is>
          <t>G</t>
        </is>
      </c>
      <c r="D3801" t="inlineStr">
        <is>
          <t>A</t>
        </is>
      </c>
      <c r="E3801" t="inlineStr">
        <is>
          <t>rs6467161</t>
        </is>
      </c>
      <c r="F3801" t="n">
        <v>5.805068000000017e-05</v>
      </c>
      <c r="G3801" t="n">
        <v>0.8066357113492936</v>
      </c>
      <c r="H3801" t="n">
        <v>0.0089888261198302</v>
      </c>
      <c r="I3801" t="n">
        <v>0.7455352687282706</v>
      </c>
      <c r="J3801" t="n">
        <v>0.2123997403195744</v>
      </c>
      <c r="K3801" t="n">
        <v>0.205094664384925</v>
      </c>
      <c r="L3801" t="b">
        <v>0</v>
      </c>
      <c r="M3801" t="b">
        <v>0</v>
      </c>
      <c r="N3801" t="inlineStr">
        <is>
          <t>alt</t>
        </is>
      </c>
      <c r="O3801" t="n">
        <v>-100</v>
      </c>
      <c r="P3801" t="n">
        <v>0.006695</v>
      </c>
      <c r="Q3801" t="n">
        <v>-75</v>
      </c>
      <c r="R3801" t="n">
        <v>0.0842</v>
      </c>
      <c r="S3801">
        <f>IMAGE("https://mitra.stanford.edu/kundaje/oak/projects/neuro-variants/variant_position/credible/roussos_2024/variant_figures/roussos_2024.childhood.GABA/rs6467161_count_position.png",4,220,900)</f>
        <v/>
      </c>
      <c r="T3801">
        <f>IMAGE("https://mitra.stanford.edu/kundaje/oak/projects/neuro-variants/variant_position/credible/roussos_2024/variant_figures/roussos_2024.childhood.GABA/rs6467161_profile_position.png",4,220,900)</f>
        <v/>
      </c>
    </row>
    <row r="3802">
      <c r="A3802" t="inlineStr">
        <is>
          <t>chr7</t>
        </is>
      </c>
      <c r="B3802" t="n">
        <v>128103272</v>
      </c>
      <c r="C3802" t="inlineStr">
        <is>
          <t>G</t>
        </is>
      </c>
      <c r="D3802" t="inlineStr">
        <is>
          <t>A</t>
        </is>
      </c>
      <c r="E3802" t="inlineStr">
        <is>
          <t>rs7803473</t>
        </is>
      </c>
      <c r="F3802" t="n">
        <v>-0.018943112</v>
      </c>
      <c r="G3802" t="n">
        <v>0.4405187426982422</v>
      </c>
      <c r="H3802" t="n">
        <v>0.0123081613955684</v>
      </c>
      <c r="I3802" t="n">
        <v>0.3881531445083871</v>
      </c>
      <c r="J3802" t="n">
        <v>0.6471477037130112</v>
      </c>
      <c r="K3802" t="n">
        <v>0.0215187919090371</v>
      </c>
      <c r="L3802" t="b">
        <v>0</v>
      </c>
      <c r="M3802" t="b">
        <v>0</v>
      </c>
      <c r="N3802" t="inlineStr">
        <is>
          <t>ref</t>
        </is>
      </c>
      <c r="O3802" t="n">
        <v>-15</v>
      </c>
      <c r="P3802" t="n">
        <v>0.001221</v>
      </c>
      <c r="Q3802" t="n">
        <v>100</v>
      </c>
      <c r="R3802" t="n">
        <v>0.05774</v>
      </c>
      <c r="S3802">
        <f>IMAGE("https://mitra.stanford.edu/kundaje/oak/projects/neuro-variants/variant_position/credible/roussos_2024/variant_figures/roussos_2024.childhood.GABA/rs7803473_count_position.png",4,220,900)</f>
        <v/>
      </c>
      <c r="T3802">
        <f>IMAGE("https://mitra.stanford.edu/kundaje/oak/projects/neuro-variants/variant_position/credible/roussos_2024/variant_figures/roussos_2024.childhood.GABA/rs7803473_profile_position.png",4,220,900)</f>
        <v/>
      </c>
    </row>
    <row r="3803">
      <c r="A3803" t="inlineStr">
        <is>
          <t>chr7</t>
        </is>
      </c>
      <c r="B3803" t="n">
        <v>128103586</v>
      </c>
      <c r="C3803" t="inlineStr">
        <is>
          <t>G</t>
        </is>
      </c>
      <c r="D3803" t="inlineStr">
        <is>
          <t>A</t>
        </is>
      </c>
      <c r="E3803" t="inlineStr">
        <is>
          <t>rs6467163</t>
        </is>
      </c>
      <c r="F3803" t="n">
        <v>-0.397920798</v>
      </c>
      <c r="G3803" t="n">
        <v>0.0005704277671843</v>
      </c>
      <c r="H3803" t="n">
        <v>0.0760934945652056</v>
      </c>
      <c r="I3803" t="n">
        <v>0.0005206492322062</v>
      </c>
      <c r="J3803" t="n">
        <v>0.7822234089338442</v>
      </c>
      <c r="K3803" t="n">
        <v>0.007881478862613599</v>
      </c>
      <c r="L3803" t="b">
        <v>1</v>
      </c>
      <c r="M3803" t="b">
        <v>1</v>
      </c>
      <c r="N3803" t="inlineStr">
        <is>
          <t>ref</t>
        </is>
      </c>
      <c r="O3803" t="n">
        <v>30</v>
      </c>
      <c r="P3803" t="n">
        <v>0.005768</v>
      </c>
      <c r="Q3803" t="n">
        <v>85</v>
      </c>
      <c r="R3803" t="n">
        <v>0.136</v>
      </c>
      <c r="S3803">
        <f>IMAGE("https://mitra.stanford.edu/kundaje/oak/projects/neuro-variants/variant_position/credible/roussos_2024/variant_figures/roussos_2024.childhood.GABA/rs6467163_count_position.png",4,220,900)</f>
        <v/>
      </c>
      <c r="T3803">
        <f>IMAGE("https://mitra.stanford.edu/kundaje/oak/projects/neuro-variants/variant_position/credible/roussos_2024/variant_figures/roussos_2024.childhood.GABA/rs6467163_profile_position.png",4,220,900)</f>
        <v/>
      </c>
    </row>
    <row r="3804">
      <c r="A3804" t="inlineStr">
        <is>
          <t>chr7</t>
        </is>
      </c>
      <c r="B3804" t="n">
        <v>128133841</v>
      </c>
      <c r="C3804" t="inlineStr">
        <is>
          <t>G</t>
        </is>
      </c>
      <c r="D3804" t="inlineStr">
        <is>
          <t>A</t>
        </is>
      </c>
      <c r="E3804" t="inlineStr">
        <is>
          <t>rs73239723</t>
        </is>
      </c>
      <c r="F3804" t="n">
        <v>0.021217591</v>
      </c>
      <c r="G3804" t="n">
        <v>0.3857811594533352</v>
      </c>
      <c r="H3804" t="n">
        <v>0.0132834271905267</v>
      </c>
      <c r="I3804" t="n">
        <v>0.3309362998454969</v>
      </c>
      <c r="J3804" t="n">
        <v>0.08492597013675091</v>
      </c>
      <c r="K3804" t="n">
        <v>0.3980028066475747</v>
      </c>
      <c r="L3804" t="b">
        <v>0</v>
      </c>
      <c r="M3804" t="b">
        <v>0</v>
      </c>
      <c r="N3804" t="inlineStr">
        <is>
          <t>alt</t>
        </is>
      </c>
      <c r="O3804" t="n">
        <v>-35</v>
      </c>
      <c r="P3804" t="n">
        <v>0.0013275</v>
      </c>
      <c r="Q3804" t="n">
        <v>100</v>
      </c>
      <c r="R3804" t="n">
        <v>0.07969999999999999</v>
      </c>
      <c r="S3804">
        <f>IMAGE("https://mitra.stanford.edu/kundaje/oak/projects/neuro-variants/variant_position/credible/roussos_2024/variant_figures/roussos_2024.childhood.GABA/rs73239723_count_position.png",4,220,900)</f>
        <v/>
      </c>
      <c r="T3804">
        <f>IMAGE("https://mitra.stanford.edu/kundaje/oak/projects/neuro-variants/variant_position/credible/roussos_2024/variant_figures/roussos_2024.childhood.GABA/rs73239723_profile_position.png",4,220,900)</f>
        <v/>
      </c>
    </row>
    <row r="3805">
      <c r="A3805" t="inlineStr">
        <is>
          <t>chr7</t>
        </is>
      </c>
      <c r="B3805" t="n">
        <v>128266837</v>
      </c>
      <c r="C3805" t="inlineStr">
        <is>
          <t>G</t>
        </is>
      </c>
      <c r="D3805" t="inlineStr">
        <is>
          <t>A</t>
        </is>
      </c>
      <c r="E3805" t="inlineStr">
        <is>
          <t>rs142949934</t>
        </is>
      </c>
      <c r="F3805" t="n">
        <v>-0.0339621366</v>
      </c>
      <c r="G3805" t="n">
        <v>0.2618358304081341</v>
      </c>
      <c r="H3805" t="n">
        <v>0.0082905668812143</v>
      </c>
      <c r="I3805" t="n">
        <v>0.8191767612719778</v>
      </c>
      <c r="J3805" t="n">
        <v>0.3858379929216141</v>
      </c>
      <c r="K3805" t="n">
        <v>0.09201081469252161</v>
      </c>
      <c r="L3805" t="b">
        <v>0</v>
      </c>
      <c r="M3805" t="b">
        <v>0</v>
      </c>
      <c r="N3805" t="inlineStr">
        <is>
          <t>ref</t>
        </is>
      </c>
      <c r="O3805" t="n">
        <v>-55</v>
      </c>
      <c r="P3805" t="n">
        <v>0.008095</v>
      </c>
      <c r="Q3805" t="n">
        <v>85</v>
      </c>
      <c r="R3805" t="n">
        <v>0.1385</v>
      </c>
      <c r="S3805">
        <f>IMAGE("https://mitra.stanford.edu/kundaje/oak/projects/neuro-variants/variant_position/credible/roussos_2024/variant_figures/roussos_2024.childhood.GABA/rs142949934_count_position.png",4,220,900)</f>
        <v/>
      </c>
      <c r="T3805">
        <f>IMAGE("https://mitra.stanford.edu/kundaje/oak/projects/neuro-variants/variant_position/credible/roussos_2024/variant_figures/roussos_2024.childhood.GABA/rs142949934_profile_position.png",4,220,900)</f>
        <v/>
      </c>
    </row>
    <row r="3806">
      <c r="A3806" t="inlineStr">
        <is>
          <t>chr7</t>
        </is>
      </c>
      <c r="B3806" t="n">
        <v>128291271</v>
      </c>
      <c r="C3806" t="inlineStr">
        <is>
          <t>C</t>
        </is>
      </c>
      <c r="D3806" t="inlineStr">
        <is>
          <t>T</t>
        </is>
      </c>
      <c r="E3806" t="inlineStr">
        <is>
          <t>rs2122628</t>
        </is>
      </c>
      <c r="F3806" t="n">
        <v>-0.0475078686</v>
      </c>
      <c r="G3806" t="n">
        <v>0.1672033724270415</v>
      </c>
      <c r="H3806" t="n">
        <v>0.0208383941605398</v>
      </c>
      <c r="I3806" t="n">
        <v>0.0632854655851546</v>
      </c>
      <c r="J3806" t="n">
        <v>0.0309291952001004</v>
      </c>
      <c r="K3806" t="n">
        <v>0.5812588354251371</v>
      </c>
      <c r="L3806" t="b">
        <v>0</v>
      </c>
      <c r="M3806" t="b">
        <v>0</v>
      </c>
      <c r="N3806" t="inlineStr">
        <is>
          <t>ref</t>
        </is>
      </c>
      <c r="O3806" t="n">
        <v>-60</v>
      </c>
      <c r="P3806" t="n">
        <v>0.002197</v>
      </c>
      <c r="Q3806" t="n">
        <v>10</v>
      </c>
      <c r="R3806" t="n">
        <v>0.01288</v>
      </c>
      <c r="S3806">
        <f>IMAGE("https://mitra.stanford.edu/kundaje/oak/projects/neuro-variants/variant_position/credible/roussos_2024/variant_figures/roussos_2024.childhood.GABA/rs2122628_count_position.png",4,220,900)</f>
        <v/>
      </c>
      <c r="T3806">
        <f>IMAGE("https://mitra.stanford.edu/kundaje/oak/projects/neuro-variants/variant_position/credible/roussos_2024/variant_figures/roussos_2024.childhood.GABA/rs2122628_profile_position.png",4,220,900)</f>
        <v/>
      </c>
    </row>
    <row r="3807">
      <c r="A3807" t="inlineStr">
        <is>
          <t>chr7</t>
        </is>
      </c>
      <c r="B3807" t="n">
        <v>128292333</v>
      </c>
      <c r="C3807" t="inlineStr">
        <is>
          <t>T</t>
        </is>
      </c>
      <c r="D3807" t="inlineStr">
        <is>
          <t>G</t>
        </is>
      </c>
      <c r="E3807" t="inlineStr">
        <is>
          <t>rs10245775</t>
        </is>
      </c>
      <c r="F3807" t="n">
        <v>0.0448461754</v>
      </c>
      <c r="G3807" t="n">
        <v>0.1677886581957707</v>
      </c>
      <c r="H3807" t="n">
        <v>0.0123492443031946</v>
      </c>
      <c r="I3807" t="n">
        <v>0.4099253746045656</v>
      </c>
      <c r="J3807" t="n">
        <v>0.5044218969236246</v>
      </c>
      <c r="K3807" t="n">
        <v>0.0496962292237538</v>
      </c>
      <c r="L3807" t="b">
        <v>0</v>
      </c>
      <c r="M3807" t="b">
        <v>0</v>
      </c>
      <c r="N3807" t="inlineStr">
        <is>
          <t>alt</t>
        </is>
      </c>
      <c r="O3807" t="n">
        <v>-70</v>
      </c>
      <c r="P3807" t="n">
        <v>0.002079</v>
      </c>
      <c r="Q3807" t="n">
        <v>100</v>
      </c>
      <c r="R3807" t="n">
        <v>0.1063</v>
      </c>
      <c r="S3807">
        <f>IMAGE("https://mitra.stanford.edu/kundaje/oak/projects/neuro-variants/variant_position/credible/roussos_2024/variant_figures/roussos_2024.childhood.GABA/rs10245775_count_position.png",4,220,900)</f>
        <v/>
      </c>
      <c r="T3807">
        <f>IMAGE("https://mitra.stanford.edu/kundaje/oak/projects/neuro-variants/variant_position/credible/roussos_2024/variant_figures/roussos_2024.childhood.GABA/rs10245775_profile_position.png",4,220,900)</f>
        <v/>
      </c>
    </row>
    <row r="3808">
      <c r="A3808" t="inlineStr">
        <is>
          <t>chr7</t>
        </is>
      </c>
      <c r="B3808" t="n">
        <v>131832443</v>
      </c>
      <c r="C3808" t="inlineStr">
        <is>
          <t>C</t>
        </is>
      </c>
      <c r="D3808" t="inlineStr">
        <is>
          <t>A</t>
        </is>
      </c>
      <c r="E3808" t="inlineStr">
        <is>
          <t>rs6944918</t>
        </is>
      </c>
      <c r="F3808" t="n">
        <v>0.00280961946</v>
      </c>
      <c r="G3808" t="n">
        <v>0.8258734692629729</v>
      </c>
      <c r="H3808" t="n">
        <v>0.0116298577114458</v>
      </c>
      <c r="I3808" t="n">
        <v>0.4752194180156823</v>
      </c>
      <c r="J3808" t="n">
        <v>0.3063370400619882</v>
      </c>
      <c r="K3808" t="n">
        <v>0.1336943714894184</v>
      </c>
      <c r="L3808" t="b">
        <v>0</v>
      </c>
      <c r="M3808" t="b">
        <v>0</v>
      </c>
      <c r="N3808" t="inlineStr">
        <is>
          <t>alt</t>
        </is>
      </c>
      <c r="O3808" t="n">
        <v>-75</v>
      </c>
      <c r="P3808" t="n">
        <v>0.002344</v>
      </c>
      <c r="Q3808" t="n">
        <v>90</v>
      </c>
      <c r="R3808" t="n">
        <v>0.0502</v>
      </c>
      <c r="S3808">
        <f>IMAGE("https://mitra.stanford.edu/kundaje/oak/projects/neuro-variants/variant_position/credible/roussos_2024/variant_figures/roussos_2024.childhood.GABA/rs6944918_count_position.png",4,220,900)</f>
        <v/>
      </c>
      <c r="T3808">
        <f>IMAGE("https://mitra.stanford.edu/kundaje/oak/projects/neuro-variants/variant_position/credible/roussos_2024/variant_figures/roussos_2024.childhood.GABA/rs6944918_profile_position.png",4,220,900)</f>
        <v/>
      </c>
    </row>
    <row r="3809">
      <c r="A3809" t="inlineStr">
        <is>
          <t>chr7</t>
        </is>
      </c>
      <c r="B3809" t="n">
        <v>131832656</v>
      </c>
      <c r="C3809" t="inlineStr">
        <is>
          <t>G</t>
        </is>
      </c>
      <c r="D3809" t="inlineStr">
        <is>
          <t>A</t>
        </is>
      </c>
      <c r="E3809" t="inlineStr">
        <is>
          <t>rs6945544</t>
        </is>
      </c>
      <c r="F3809" t="n">
        <v>-0.0593733602</v>
      </c>
      <c r="G3809" t="n">
        <v>0.1198877431093163</v>
      </c>
      <c r="H3809" t="n">
        <v>0.018240631199865</v>
      </c>
      <c r="I3809" t="n">
        <v>0.1152804299309281</v>
      </c>
      <c r="J3809" t="n">
        <v>0.3369678121924148</v>
      </c>
      <c r="K3809" t="n">
        <v>0.1161152006308422</v>
      </c>
      <c r="L3809" t="b">
        <v>0</v>
      </c>
      <c r="M3809" t="b">
        <v>0</v>
      </c>
      <c r="N3809" t="inlineStr">
        <is>
          <t>ref</t>
        </is>
      </c>
      <c r="O3809" t="n">
        <v>90</v>
      </c>
      <c r="P3809" t="n">
        <v>0.003658</v>
      </c>
      <c r="Q3809" t="n">
        <v>-25</v>
      </c>
      <c r="R3809" t="n">
        <v>0.03595</v>
      </c>
      <c r="S3809">
        <f>IMAGE("https://mitra.stanford.edu/kundaje/oak/projects/neuro-variants/variant_position/credible/roussos_2024/variant_figures/roussos_2024.childhood.GABA/rs6945544_count_position.png",4,220,900)</f>
        <v/>
      </c>
      <c r="T3809">
        <f>IMAGE("https://mitra.stanford.edu/kundaje/oak/projects/neuro-variants/variant_position/credible/roussos_2024/variant_figures/roussos_2024.childhood.GABA/rs6945544_profile_position.png",4,220,900)</f>
        <v/>
      </c>
    </row>
    <row r="3810">
      <c r="A3810" t="inlineStr">
        <is>
          <t>chr7</t>
        </is>
      </c>
      <c r="B3810" t="n">
        <v>131854604</v>
      </c>
      <c r="C3810" t="inlineStr">
        <is>
          <t>T</t>
        </is>
      </c>
      <c r="D3810" t="inlineStr">
        <is>
          <t>C</t>
        </is>
      </c>
      <c r="E3810" t="inlineStr">
        <is>
          <t>rs11975170</t>
        </is>
      </c>
      <c r="F3810" t="n">
        <v>0.14955846</v>
      </c>
      <c r="G3810" t="n">
        <v>0.0101018084281555</v>
      </c>
      <c r="H3810" t="n">
        <v>0.0198989199851107</v>
      </c>
      <c r="I3810" t="n">
        <v>0.07593234929813029</v>
      </c>
      <c r="J3810" t="n">
        <v>0.07240476639232681</v>
      </c>
      <c r="K3810" t="n">
        <v>0.4413653018697905</v>
      </c>
      <c r="L3810" t="b">
        <v>1</v>
      </c>
      <c r="M3810" t="b">
        <v>0</v>
      </c>
      <c r="N3810" t="inlineStr">
        <is>
          <t>alt</t>
        </is>
      </c>
      <c r="O3810" t="n">
        <v>-85</v>
      </c>
      <c r="P3810" t="n">
        <v>0.02065</v>
      </c>
      <c r="Q3810" t="n">
        <v>70</v>
      </c>
      <c r="R3810" t="n">
        <v>0.0498</v>
      </c>
      <c r="S3810">
        <f>IMAGE("https://mitra.stanford.edu/kundaje/oak/projects/neuro-variants/variant_position/credible/roussos_2024/variant_figures/roussos_2024.childhood.GABA/rs11975170_count_position.png",4,220,900)</f>
        <v/>
      </c>
      <c r="T3810">
        <f>IMAGE("https://mitra.stanford.edu/kundaje/oak/projects/neuro-variants/variant_position/credible/roussos_2024/variant_figures/roussos_2024.childhood.GABA/rs11975170_profile_position.png",4,220,900)</f>
        <v/>
      </c>
    </row>
    <row r="3811">
      <c r="A3811" t="inlineStr">
        <is>
          <t>chr7</t>
        </is>
      </c>
      <c r="B3811" t="n">
        <v>131861984</v>
      </c>
      <c r="C3811" t="inlineStr">
        <is>
          <t>T</t>
        </is>
      </c>
      <c r="D3811" t="inlineStr">
        <is>
          <t>C</t>
        </is>
      </c>
      <c r="E3811" t="inlineStr">
        <is>
          <t>rs10954343</t>
        </is>
      </c>
      <c r="F3811" t="n">
        <v>-0.0400716505999999</v>
      </c>
      <c r="G3811" t="n">
        <v>0.2232860808430835</v>
      </c>
      <c r="H3811" t="n">
        <v>0.0266368428275623</v>
      </c>
      <c r="I3811" t="n">
        <v>0.0215837405684397</v>
      </c>
      <c r="J3811" t="n">
        <v>0.3290842076605725</v>
      </c>
      <c r="K3811" t="n">
        <v>0.1194142914847752</v>
      </c>
      <c r="L3811" t="b">
        <v>0</v>
      </c>
      <c r="M3811" t="b">
        <v>0</v>
      </c>
      <c r="N3811" t="inlineStr">
        <is>
          <t>ref</t>
        </is>
      </c>
      <c r="O3811" t="n">
        <v>60</v>
      </c>
      <c r="P3811" t="n">
        <v>0.02747</v>
      </c>
      <c r="Q3811" t="n">
        <v>50</v>
      </c>
      <c r="R3811" t="n">
        <v>0.0354</v>
      </c>
      <c r="S3811">
        <f>IMAGE("https://mitra.stanford.edu/kundaje/oak/projects/neuro-variants/variant_position/credible/roussos_2024/variant_figures/roussos_2024.childhood.GABA/rs10954343_count_position.png",4,220,900)</f>
        <v/>
      </c>
      <c r="T3811">
        <f>IMAGE("https://mitra.stanford.edu/kundaje/oak/projects/neuro-variants/variant_position/credible/roussos_2024/variant_figures/roussos_2024.childhood.GABA/rs10954343_profile_position.png",4,220,900)</f>
        <v/>
      </c>
    </row>
    <row r="3812">
      <c r="A3812" t="inlineStr">
        <is>
          <t>chr7</t>
        </is>
      </c>
      <c r="B3812" t="n">
        <v>131864194</v>
      </c>
      <c r="C3812" t="inlineStr">
        <is>
          <t>A</t>
        </is>
      </c>
      <c r="D3812" t="inlineStr">
        <is>
          <t>G</t>
        </is>
      </c>
      <c r="E3812" t="inlineStr">
        <is>
          <t>rs6955090</t>
        </is>
      </c>
      <c r="F3812" t="n">
        <v>-0.00179538752</v>
      </c>
      <c r="G3812" t="n">
        <v>0.8255697776926921</v>
      </c>
      <c r="H3812" t="n">
        <v>0.0077667303567327</v>
      </c>
      <c r="I3812" t="n">
        <v>0.8794992871021842</v>
      </c>
      <c r="J3812" t="n">
        <v>0.0151954932880986</v>
      </c>
      <c r="K3812" t="n">
        <v>0.6972987772293475</v>
      </c>
      <c r="L3812" t="b">
        <v>0</v>
      </c>
      <c r="M3812" t="b">
        <v>0</v>
      </c>
      <c r="N3812" t="inlineStr">
        <is>
          <t>ref</t>
        </is>
      </c>
      <c r="O3812" t="n">
        <v>95</v>
      </c>
      <c r="P3812" t="n">
        <v>0.01418</v>
      </c>
      <c r="Q3812" t="n">
        <v>100</v>
      </c>
      <c r="R3812" t="n">
        <v>0.1083</v>
      </c>
      <c r="S3812">
        <f>IMAGE("https://mitra.stanford.edu/kundaje/oak/projects/neuro-variants/variant_position/credible/roussos_2024/variant_figures/roussos_2024.childhood.GABA/rs6955090_count_position.png",4,220,900)</f>
        <v/>
      </c>
      <c r="T3812">
        <f>IMAGE("https://mitra.stanford.edu/kundaje/oak/projects/neuro-variants/variant_position/credible/roussos_2024/variant_figures/roussos_2024.childhood.GABA/rs6955090_profile_position.png",4,220,900)</f>
        <v/>
      </c>
    </row>
    <row r="3813">
      <c r="A3813" t="inlineStr">
        <is>
          <t>chr7</t>
        </is>
      </c>
      <c r="B3813" t="n">
        <v>131885258</v>
      </c>
      <c r="C3813" t="inlineStr">
        <is>
          <t>C</t>
        </is>
      </c>
      <c r="D3813" t="inlineStr">
        <is>
          <t>A</t>
        </is>
      </c>
      <c r="E3813" t="inlineStr">
        <is>
          <t>rs73725651</t>
        </is>
      </c>
      <c r="F3813" t="n">
        <v>-0.01217670812</v>
      </c>
      <c r="G3813" t="n">
        <v>0.5970842372074531</v>
      </c>
      <c r="H3813" t="n">
        <v>0.0135695153150734</v>
      </c>
      <c r="I3813" t="n">
        <v>0.3095165131574141</v>
      </c>
      <c r="J3813" t="n">
        <v>0.0904085778308307</v>
      </c>
      <c r="K3813" t="n">
        <v>0.3964114557552428</v>
      </c>
      <c r="L3813" t="b">
        <v>0</v>
      </c>
      <c r="M3813" t="b">
        <v>0</v>
      </c>
      <c r="N3813" t="inlineStr">
        <is>
          <t>ref</t>
        </is>
      </c>
      <c r="O3813" t="n">
        <v>75</v>
      </c>
      <c r="P3813" t="n">
        <v>0.001984</v>
      </c>
      <c r="Q3813" t="n">
        <v>-70</v>
      </c>
      <c r="R3813" t="n">
        <v>0.04218</v>
      </c>
      <c r="S3813">
        <f>IMAGE("https://mitra.stanford.edu/kundaje/oak/projects/neuro-variants/variant_position/credible/roussos_2024/variant_figures/roussos_2024.childhood.GABA/rs73725651_count_position.png",4,220,900)</f>
        <v/>
      </c>
      <c r="T3813">
        <f>IMAGE("https://mitra.stanford.edu/kundaje/oak/projects/neuro-variants/variant_position/credible/roussos_2024/variant_figures/roussos_2024.childhood.GABA/rs73725651_profile_position.png",4,220,900)</f>
        <v/>
      </c>
    </row>
    <row r="3814">
      <c r="A3814" t="inlineStr">
        <is>
          <t>chr7</t>
        </is>
      </c>
      <c r="B3814" t="n">
        <v>131886936</v>
      </c>
      <c r="C3814" t="inlineStr">
        <is>
          <t>G</t>
        </is>
      </c>
      <c r="D3814" t="inlineStr">
        <is>
          <t>A</t>
        </is>
      </c>
      <c r="E3814" t="inlineStr">
        <is>
          <t>rs7799455</t>
        </is>
      </c>
      <c r="F3814" t="n">
        <v>-0.0029624886999999</v>
      </c>
      <c r="G3814" t="n">
        <v>0.5089708094471513</v>
      </c>
      <c r="H3814" t="n">
        <v>0.011981537323422</v>
      </c>
      <c r="I3814" t="n">
        <v>0.4389210173705216</v>
      </c>
      <c r="J3814" t="n">
        <v>0.0212372515758831</v>
      </c>
      <c r="K3814" t="n">
        <v>0.6663966057592546</v>
      </c>
      <c r="L3814" t="b">
        <v>0</v>
      </c>
      <c r="M3814" t="b">
        <v>0</v>
      </c>
      <c r="N3814" t="inlineStr">
        <is>
          <t>ref</t>
        </is>
      </c>
      <c r="O3814" t="n">
        <v>-25</v>
      </c>
      <c r="P3814" t="n">
        <v>0.003408</v>
      </c>
      <c r="Q3814" t="n">
        <v>90</v>
      </c>
      <c r="R3814" t="n">
        <v>0.04987</v>
      </c>
      <c r="S3814">
        <f>IMAGE("https://mitra.stanford.edu/kundaje/oak/projects/neuro-variants/variant_position/credible/roussos_2024/variant_figures/roussos_2024.childhood.GABA/rs7799455_count_position.png",4,220,900)</f>
        <v/>
      </c>
      <c r="T3814">
        <f>IMAGE("https://mitra.stanford.edu/kundaje/oak/projects/neuro-variants/variant_position/credible/roussos_2024/variant_figures/roussos_2024.childhood.GABA/rs7799455_profile_position.png",4,220,900)</f>
        <v/>
      </c>
    </row>
    <row r="3815">
      <c r="A3815" t="inlineStr">
        <is>
          <t>chr7</t>
        </is>
      </c>
      <c r="B3815" t="n">
        <v>131913188</v>
      </c>
      <c r="C3815" t="inlineStr">
        <is>
          <t>C</t>
        </is>
      </c>
      <c r="D3815" t="inlineStr">
        <is>
          <t>T</t>
        </is>
      </c>
      <c r="E3815" t="inlineStr">
        <is>
          <t>rs10260150</t>
        </is>
      </c>
      <c r="F3815" t="n">
        <v>-0.130486515</v>
      </c>
      <c r="G3815" t="n">
        <v>0.0168049301543071</v>
      </c>
      <c r="H3815" t="n">
        <v>0.0256641673935094</v>
      </c>
      <c r="I3815" t="n">
        <v>0.0303124082055966</v>
      </c>
      <c r="J3815" t="n">
        <v>0.1440451508868923</v>
      </c>
      <c r="K3815" t="n">
        <v>0.280334431867687</v>
      </c>
      <c r="L3815" t="b">
        <v>1</v>
      </c>
      <c r="M3815" t="b">
        <v>0</v>
      </c>
      <c r="N3815" t="inlineStr">
        <is>
          <t>ref</t>
        </is>
      </c>
      <c r="O3815" t="n">
        <v>-95</v>
      </c>
      <c r="P3815" t="n">
        <v>0.00645</v>
      </c>
      <c r="Q3815" t="n">
        <v>100</v>
      </c>
      <c r="R3815" t="n">
        <v>0.1592</v>
      </c>
      <c r="S3815">
        <f>IMAGE("https://mitra.stanford.edu/kundaje/oak/projects/neuro-variants/variant_position/credible/roussos_2024/variant_figures/roussos_2024.childhood.GABA/rs10260150_count_position.png",4,220,900)</f>
        <v/>
      </c>
      <c r="T3815">
        <f>IMAGE("https://mitra.stanford.edu/kundaje/oak/projects/neuro-variants/variant_position/credible/roussos_2024/variant_figures/roussos_2024.childhood.GABA/rs10260150_profile_position.png",4,220,900)</f>
        <v/>
      </c>
    </row>
    <row r="3816">
      <c r="A3816" t="inlineStr">
        <is>
          <t>chr7</t>
        </is>
      </c>
      <c r="B3816" t="n">
        <v>132064837</v>
      </c>
      <c r="C3816" t="inlineStr">
        <is>
          <t>A</t>
        </is>
      </c>
      <c r="D3816" t="inlineStr">
        <is>
          <t>G</t>
        </is>
      </c>
      <c r="E3816" t="inlineStr">
        <is>
          <t>rs11772439</t>
        </is>
      </c>
      <c r="F3816" t="n">
        <v>0.1166645039999999</v>
      </c>
      <c r="G3816" t="n">
        <v>0.019094999844404</v>
      </c>
      <c r="H3816" t="n">
        <v>0.0201343695736234</v>
      </c>
      <c r="I3816" t="n">
        <v>0.0731233492732245</v>
      </c>
      <c r="J3816" t="n">
        <v>0.2254685765743125</v>
      </c>
      <c r="K3816" t="n">
        <v>0.1987781929848897</v>
      </c>
      <c r="L3816" t="b">
        <v>1</v>
      </c>
      <c r="M3816" t="b">
        <v>0</v>
      </c>
      <c r="N3816" t="inlineStr">
        <is>
          <t>alt</t>
        </is>
      </c>
      <c r="O3816" t="n">
        <v>-25</v>
      </c>
      <c r="P3816" t="n">
        <v>0.001724</v>
      </c>
      <c r="Q3816" t="n">
        <v>35</v>
      </c>
      <c r="R3816" t="n">
        <v>0.1177</v>
      </c>
      <c r="S3816">
        <f>IMAGE("https://mitra.stanford.edu/kundaje/oak/projects/neuro-variants/variant_position/credible/roussos_2024/variant_figures/roussos_2024.childhood.GABA/rs11772439_count_position.png",4,220,900)</f>
        <v/>
      </c>
      <c r="T3816">
        <f>IMAGE("https://mitra.stanford.edu/kundaje/oak/projects/neuro-variants/variant_position/credible/roussos_2024/variant_figures/roussos_2024.childhood.GABA/rs11772439_profile_position.png",4,220,900)</f>
        <v/>
      </c>
    </row>
    <row r="3817">
      <c r="A3817" t="inlineStr">
        <is>
          <t>chr7</t>
        </is>
      </c>
      <c r="B3817" t="n">
        <v>132076501</v>
      </c>
      <c r="C3817" t="inlineStr">
        <is>
          <t>C</t>
        </is>
      </c>
      <c r="D3817" t="inlineStr">
        <is>
          <t>A</t>
        </is>
      </c>
      <c r="E3817" t="inlineStr">
        <is>
          <t>rs10954356</t>
        </is>
      </c>
      <c r="F3817" t="n">
        <v>-0.0806245439999999</v>
      </c>
      <c r="G3817" t="n">
        <v>0.0498083005948507</v>
      </c>
      <c r="H3817" t="n">
        <v>0.013562446774051</v>
      </c>
      <c r="I3817" t="n">
        <v>0.3109787237176077</v>
      </c>
      <c r="J3817" t="n">
        <v>0.5490691294423153</v>
      </c>
      <c r="K3817" t="n">
        <v>0.0390657691492283</v>
      </c>
      <c r="L3817" t="b">
        <v>0</v>
      </c>
      <c r="M3817" t="b">
        <v>0</v>
      </c>
      <c r="N3817" t="inlineStr">
        <is>
          <t>ref</t>
        </is>
      </c>
      <c r="O3817" t="n">
        <v>-25</v>
      </c>
      <c r="P3817" t="n">
        <v>0.001297</v>
      </c>
      <c r="Q3817" t="n">
        <v>-60</v>
      </c>
      <c r="R3817" t="n">
        <v>0.0696</v>
      </c>
      <c r="S3817">
        <f>IMAGE("https://mitra.stanford.edu/kundaje/oak/projects/neuro-variants/variant_position/credible/roussos_2024/variant_figures/roussos_2024.childhood.GABA/rs10954356_count_position.png",4,220,900)</f>
        <v/>
      </c>
      <c r="T3817">
        <f>IMAGE("https://mitra.stanford.edu/kundaje/oak/projects/neuro-variants/variant_position/credible/roussos_2024/variant_figures/roussos_2024.childhood.GABA/rs10954356_profile_position.png",4,220,900)</f>
        <v/>
      </c>
    </row>
    <row r="3818">
      <c r="A3818" t="inlineStr">
        <is>
          <t>chr7</t>
        </is>
      </c>
      <c r="B3818" t="n">
        <v>132145569</v>
      </c>
      <c r="C3818" t="inlineStr">
        <is>
          <t>G</t>
        </is>
      </c>
      <c r="D3818" t="inlineStr">
        <is>
          <t>A</t>
        </is>
      </c>
      <c r="E3818" t="inlineStr">
        <is>
          <t>rs2122635</t>
        </is>
      </c>
      <c r="F3818" t="n">
        <v>-0.5427687019999999</v>
      </c>
      <c r="G3818" t="n">
        <v>0.0002259374057778</v>
      </c>
      <c r="H3818" t="n">
        <v>0.096307830717749</v>
      </c>
      <c r="I3818" t="n">
        <v>0.0002871195028575</v>
      </c>
      <c r="J3818" t="n">
        <v>0.5981225524072794</v>
      </c>
      <c r="K3818" t="n">
        <v>0.0297830960680111</v>
      </c>
      <c r="L3818" t="b">
        <v>1</v>
      </c>
      <c r="M3818" t="b">
        <v>1</v>
      </c>
      <c r="N3818" t="inlineStr">
        <is>
          <t>ref</t>
        </is>
      </c>
      <c r="O3818" t="n">
        <v>5</v>
      </c>
      <c r="P3818" t="n">
        <v>0.00177</v>
      </c>
      <c r="Q3818" t="n">
        <v>85</v>
      </c>
      <c r="R3818" t="n">
        <v>0.1304</v>
      </c>
      <c r="S3818">
        <f>IMAGE("https://mitra.stanford.edu/kundaje/oak/projects/neuro-variants/variant_position/credible/roussos_2024/variant_figures/roussos_2024.childhood.GABA/rs2122635_count_position.png",4,220,900)</f>
        <v/>
      </c>
      <c r="T3818">
        <f>IMAGE("https://mitra.stanford.edu/kundaje/oak/projects/neuro-variants/variant_position/credible/roussos_2024/variant_figures/roussos_2024.childhood.GABA/rs2122635_profile_position.png",4,220,900)</f>
        <v/>
      </c>
    </row>
    <row r="3819">
      <c r="A3819" t="inlineStr">
        <is>
          <t>chr7</t>
        </is>
      </c>
      <c r="B3819" t="n">
        <v>137378039</v>
      </c>
      <c r="C3819" t="inlineStr">
        <is>
          <t>C</t>
        </is>
      </c>
      <c r="D3819" t="inlineStr">
        <is>
          <t>A</t>
        </is>
      </c>
      <c r="E3819" t="inlineStr">
        <is>
          <t>rs11771579</t>
        </is>
      </c>
      <c r="F3819" t="n">
        <v>-0.0019854394599999</v>
      </c>
      <c r="G3819" t="n">
        <v>0.3143501444394587</v>
      </c>
      <c r="H3819" t="n">
        <v>0.0283931372031046</v>
      </c>
      <c r="I3819" t="n">
        <v>0.0173474123886243</v>
      </c>
      <c r="J3819" t="n">
        <v>0.043342547800046</v>
      </c>
      <c r="K3819" t="n">
        <v>0.5169981637298501</v>
      </c>
      <c r="L3819" t="b">
        <v>1</v>
      </c>
      <c r="M3819" t="b">
        <v>0</v>
      </c>
      <c r="N3819" t="inlineStr">
        <is>
          <t>ref</t>
        </is>
      </c>
      <c r="O3819" t="n">
        <v>10</v>
      </c>
      <c r="P3819" t="n">
        <v>0.0005875</v>
      </c>
      <c r="Q3819" t="n">
        <v>-55</v>
      </c>
      <c r="R3819" t="n">
        <v>0.0646</v>
      </c>
      <c r="S3819">
        <f>IMAGE("https://mitra.stanford.edu/kundaje/oak/projects/neuro-variants/variant_position/credible/roussos_2024/variant_figures/roussos_2024.childhood.GABA/rs11771579_count_position.png",4,220,900)</f>
        <v/>
      </c>
      <c r="T3819">
        <f>IMAGE("https://mitra.stanford.edu/kundaje/oak/projects/neuro-variants/variant_position/credible/roussos_2024/variant_figures/roussos_2024.childhood.GABA/rs11771579_profile_position.png",4,220,900)</f>
        <v/>
      </c>
    </row>
    <row r="3820">
      <c r="A3820" t="inlineStr">
        <is>
          <t>chr7</t>
        </is>
      </c>
      <c r="B3820" t="n">
        <v>137386398</v>
      </c>
      <c r="C3820" t="inlineStr">
        <is>
          <t>T</t>
        </is>
      </c>
      <c r="D3820" t="inlineStr">
        <is>
          <t>C</t>
        </is>
      </c>
      <c r="E3820" t="inlineStr">
        <is>
          <t>rs4518583</t>
        </is>
      </c>
      <c r="F3820" t="n">
        <v>0.0629722216</v>
      </c>
      <c r="G3820" t="n">
        <v>0.0901300931006267</v>
      </c>
      <c r="H3820" t="n">
        <v>0.0131423243942641</v>
      </c>
      <c r="I3820" t="n">
        <v>0.3442802952111868</v>
      </c>
      <c r="J3820" t="n">
        <v>0.0312276182697744</v>
      </c>
      <c r="K3820" t="n">
        <v>0.5979387505972302</v>
      </c>
      <c r="L3820" t="b">
        <v>0</v>
      </c>
      <c r="M3820" t="b">
        <v>0</v>
      </c>
      <c r="N3820" t="inlineStr">
        <is>
          <t>alt</t>
        </is>
      </c>
      <c r="O3820" t="n">
        <v>75</v>
      </c>
      <c r="P3820" t="n">
        <v>0.007263</v>
      </c>
      <c r="Q3820" t="n">
        <v>-100</v>
      </c>
      <c r="R3820" t="n">
        <v>0.04675</v>
      </c>
      <c r="S3820">
        <f>IMAGE("https://mitra.stanford.edu/kundaje/oak/projects/neuro-variants/variant_position/credible/roussos_2024/variant_figures/roussos_2024.childhood.GABA/rs4518583_count_position.png",4,220,900)</f>
        <v/>
      </c>
      <c r="T3820">
        <f>IMAGE("https://mitra.stanford.edu/kundaje/oak/projects/neuro-variants/variant_position/credible/roussos_2024/variant_figures/roussos_2024.childhood.GABA/rs4518583_profile_position.png",4,220,900)</f>
        <v/>
      </c>
    </row>
    <row r="3821">
      <c r="A3821" t="inlineStr">
        <is>
          <t>chr7</t>
        </is>
      </c>
      <c r="B3821" t="n">
        <v>137387785</v>
      </c>
      <c r="C3821" t="inlineStr">
        <is>
          <t>T</t>
        </is>
      </c>
      <c r="D3821" t="inlineStr">
        <is>
          <t>A</t>
        </is>
      </c>
      <c r="E3821" t="inlineStr">
        <is>
          <t>rs728055</t>
        </is>
      </c>
      <c r="F3821" t="n">
        <v>0.00112281796</v>
      </c>
      <c r="G3821" t="n">
        <v>0.8086147060347832</v>
      </c>
      <c r="H3821" t="n">
        <v>0.0198588153501007</v>
      </c>
      <c r="I3821" t="n">
        <v>0.07975297239695329</v>
      </c>
      <c r="J3821" t="n">
        <v>0.1324705241775041</v>
      </c>
      <c r="K3821" t="n">
        <v>0.3011197319447568</v>
      </c>
      <c r="L3821" t="b">
        <v>0</v>
      </c>
      <c r="M3821" t="b">
        <v>0</v>
      </c>
      <c r="N3821" t="inlineStr">
        <is>
          <t>alt</t>
        </is>
      </c>
      <c r="O3821" t="n">
        <v>85</v>
      </c>
      <c r="P3821" t="n">
        <v>0.01297</v>
      </c>
      <c r="Q3821" t="n">
        <v>-70</v>
      </c>
      <c r="R3821" t="n">
        <v>0.06619999999999999</v>
      </c>
      <c r="S3821">
        <f>IMAGE("https://mitra.stanford.edu/kundaje/oak/projects/neuro-variants/variant_position/credible/roussos_2024/variant_figures/roussos_2024.childhood.GABA/rs728055_count_position.png",4,220,900)</f>
        <v/>
      </c>
      <c r="T3821">
        <f>IMAGE("https://mitra.stanford.edu/kundaje/oak/projects/neuro-variants/variant_position/credible/roussos_2024/variant_figures/roussos_2024.childhood.GABA/rs728055_profile_position.png",4,220,900)</f>
        <v/>
      </c>
    </row>
    <row r="3822">
      <c r="A3822" t="inlineStr">
        <is>
          <t>chr7</t>
        </is>
      </c>
      <c r="B3822" t="n">
        <v>137388185</v>
      </c>
      <c r="C3822" t="inlineStr">
        <is>
          <t>A</t>
        </is>
      </c>
      <c r="D3822" t="inlineStr">
        <is>
          <t>C</t>
        </is>
      </c>
      <c r="E3822" t="inlineStr">
        <is>
          <t>rs2278829</t>
        </is>
      </c>
      <c r="F3822" t="n">
        <v>0.08477399100000001</v>
      </c>
      <c r="G3822" t="n">
        <v>0.0530584016730231</v>
      </c>
      <c r="H3822" t="n">
        <v>0.0175741412806662</v>
      </c>
      <c r="I3822" t="n">
        <v>0.1251797637070711</v>
      </c>
      <c r="J3822" t="n">
        <v>0.2329542836799229</v>
      </c>
      <c r="K3822" t="n">
        <v>0.1817530809055643</v>
      </c>
      <c r="L3822" t="b">
        <v>0</v>
      </c>
      <c r="M3822" t="b">
        <v>0</v>
      </c>
      <c r="N3822" t="inlineStr">
        <is>
          <t>alt</t>
        </is>
      </c>
      <c r="O3822" t="n">
        <v>-100</v>
      </c>
      <c r="P3822" t="n">
        <v>0.00685</v>
      </c>
      <c r="Q3822" t="n">
        <v>70</v>
      </c>
      <c r="R3822" t="n">
        <v>0.1527</v>
      </c>
      <c r="S3822">
        <f>IMAGE("https://mitra.stanford.edu/kundaje/oak/projects/neuro-variants/variant_position/credible/roussos_2024/variant_figures/roussos_2024.childhood.GABA/rs2278829_count_position.png",4,220,900)</f>
        <v/>
      </c>
      <c r="T3822">
        <f>IMAGE("https://mitra.stanford.edu/kundaje/oak/projects/neuro-variants/variant_position/credible/roussos_2024/variant_figures/roussos_2024.childhood.GABA/rs2278829_profile_position.png",4,220,900)</f>
        <v/>
      </c>
    </row>
    <row r="3823">
      <c r="A3823" t="inlineStr">
        <is>
          <t>chr7</t>
        </is>
      </c>
      <c r="B3823" t="n">
        <v>137389794</v>
      </c>
      <c r="C3823" t="inlineStr">
        <is>
          <t>G</t>
        </is>
      </c>
      <c r="D3823" t="inlineStr">
        <is>
          <t>A</t>
        </is>
      </c>
      <c r="E3823" t="inlineStr">
        <is>
          <t>rs7779548</t>
        </is>
      </c>
      <c r="F3823" t="n">
        <v>-0.0600997053999999</v>
      </c>
      <c r="G3823" t="n">
        <v>0.0998341833453822</v>
      </c>
      <c r="H3823" t="n">
        <v>0.0350419750597019</v>
      </c>
      <c r="I3823" t="n">
        <v>0.006573593554705</v>
      </c>
      <c r="J3823" t="n">
        <v>0.1172865489727963</v>
      </c>
      <c r="K3823" t="n">
        <v>0.3196472491033374</v>
      </c>
      <c r="L3823" t="b">
        <v>1</v>
      </c>
      <c r="M3823" t="b">
        <v>1</v>
      </c>
      <c r="N3823" t="inlineStr">
        <is>
          <t>ref</t>
        </is>
      </c>
      <c r="O3823" t="n">
        <v>5</v>
      </c>
      <c r="P3823" t="n">
        <v>0.0008755</v>
      </c>
      <c r="Q3823" t="n">
        <v>-85</v>
      </c>
      <c r="R3823" t="n">
        <v>0.04434</v>
      </c>
      <c r="S3823">
        <f>IMAGE("https://mitra.stanford.edu/kundaje/oak/projects/neuro-variants/variant_position/credible/roussos_2024/variant_figures/roussos_2024.childhood.GABA/rs7779548_count_position.png",4,220,900)</f>
        <v/>
      </c>
      <c r="T3823">
        <f>IMAGE("https://mitra.stanford.edu/kundaje/oak/projects/neuro-variants/variant_position/credible/roussos_2024/variant_figures/roussos_2024.childhood.GABA/rs7779548_profile_position.png",4,220,900)</f>
        <v/>
      </c>
    </row>
    <row r="3824">
      <c r="A3824" t="inlineStr">
        <is>
          <t>chr7</t>
        </is>
      </c>
      <c r="B3824" t="n">
        <v>137392157</v>
      </c>
      <c r="C3824" t="inlineStr">
        <is>
          <t>G</t>
        </is>
      </c>
      <c r="D3824" t="inlineStr">
        <is>
          <t>T</t>
        </is>
      </c>
      <c r="E3824" t="inlineStr">
        <is>
          <t>rs11766321</t>
        </is>
      </c>
      <c r="F3824" t="n">
        <v>0.0050618877</v>
      </c>
      <c r="G3824" t="n">
        <v>0.6789762604376085</v>
      </c>
      <c r="H3824" t="n">
        <v>0.0233130757681577</v>
      </c>
      <c r="I3824" t="n">
        <v>0.0392772518339135</v>
      </c>
      <c r="J3824" t="n">
        <v>0.0003811438503905</v>
      </c>
      <c r="K3824" t="n">
        <v>0.9461070060314301</v>
      </c>
      <c r="L3824" t="b">
        <v>0</v>
      </c>
      <c r="M3824" t="b">
        <v>0</v>
      </c>
      <c r="N3824" t="inlineStr">
        <is>
          <t>alt</t>
        </is>
      </c>
      <c r="O3824" t="n">
        <v>100</v>
      </c>
      <c r="P3824" t="n">
        <v>0.00801</v>
      </c>
      <c r="Q3824" t="n">
        <v>65</v>
      </c>
      <c r="R3824" t="n">
        <v>0.03394</v>
      </c>
      <c r="S3824">
        <f>IMAGE("https://mitra.stanford.edu/kundaje/oak/projects/neuro-variants/variant_position/credible/roussos_2024/variant_figures/roussos_2024.childhood.GABA/rs11766321_count_position.png",4,220,900)</f>
        <v/>
      </c>
      <c r="T3824">
        <f>IMAGE("https://mitra.stanford.edu/kundaje/oak/projects/neuro-variants/variant_position/credible/roussos_2024/variant_figures/roussos_2024.childhood.GABA/rs11766321_profile_position.png",4,220,900)</f>
        <v/>
      </c>
    </row>
    <row r="3825">
      <c r="A3825" t="inlineStr">
        <is>
          <t>chr7</t>
        </is>
      </c>
      <c r="B3825" t="n">
        <v>137393444</v>
      </c>
      <c r="C3825" t="inlineStr">
        <is>
          <t>G</t>
        </is>
      </c>
      <c r="D3825" t="inlineStr">
        <is>
          <t>C</t>
        </is>
      </c>
      <c r="E3825" t="inlineStr">
        <is>
          <t>rs13222414</t>
        </is>
      </c>
      <c r="F3825" t="n">
        <v>0.009688411920000001</v>
      </c>
      <c r="G3825" t="n">
        <v>0.6176462650298854</v>
      </c>
      <c r="H3825" t="n">
        <v>0.008402722587056899</v>
      </c>
      <c r="I3825" t="n">
        <v>0.8184195803735087</v>
      </c>
      <c r="J3825" t="n">
        <v>0.0051601013591337</v>
      </c>
      <c r="K3825" t="n">
        <v>0.8114502095582079</v>
      </c>
      <c r="L3825" t="b">
        <v>0</v>
      </c>
      <c r="M3825" t="b">
        <v>0</v>
      </c>
      <c r="N3825" t="inlineStr">
        <is>
          <t>alt</t>
        </is>
      </c>
      <c r="O3825" t="n">
        <v>-100</v>
      </c>
      <c r="P3825" t="n">
        <v>0.04004</v>
      </c>
      <c r="Q3825" t="n">
        <v>15</v>
      </c>
      <c r="R3825" t="n">
        <v>0.04272</v>
      </c>
      <c r="S3825">
        <f>IMAGE("https://mitra.stanford.edu/kundaje/oak/projects/neuro-variants/variant_position/credible/roussos_2024/variant_figures/roussos_2024.childhood.GABA/rs13222414_count_position.png",4,220,900)</f>
        <v/>
      </c>
      <c r="T3825">
        <f>IMAGE("https://mitra.stanford.edu/kundaje/oak/projects/neuro-variants/variant_position/credible/roussos_2024/variant_figures/roussos_2024.childhood.GABA/rs13222414_profile_position.png",4,220,900)</f>
        <v/>
      </c>
    </row>
    <row r="3826">
      <c r="A3826" t="inlineStr">
        <is>
          <t>chr7</t>
        </is>
      </c>
      <c r="B3826" t="n">
        <v>137394538</v>
      </c>
      <c r="C3826" t="inlineStr">
        <is>
          <t>G</t>
        </is>
      </c>
      <c r="D3826" t="inlineStr">
        <is>
          <t>C</t>
        </is>
      </c>
      <c r="E3826" t="inlineStr">
        <is>
          <t>rs17530005</t>
        </is>
      </c>
      <c r="F3826" t="n">
        <v>0.06724107259999999</v>
      </c>
      <c r="G3826" t="n">
        <v>0.0734890132772554</v>
      </c>
      <c r="H3826" t="n">
        <v>0.0131754010222474</v>
      </c>
      <c r="I3826" t="n">
        <v>0.3449328221076002</v>
      </c>
      <c r="J3826" t="n">
        <v>0.0304077401520386</v>
      </c>
      <c r="K3826" t="n">
        <v>0.6104661537208664</v>
      </c>
      <c r="L3826" t="b">
        <v>0</v>
      </c>
      <c r="M3826" t="b">
        <v>0</v>
      </c>
      <c r="N3826" t="inlineStr">
        <is>
          <t>alt</t>
        </is>
      </c>
      <c r="O3826" t="n">
        <v>100</v>
      </c>
      <c r="P3826" t="n">
        <v>0.00287</v>
      </c>
      <c r="Q3826" t="n">
        <v>65</v>
      </c>
      <c r="R3826" t="n">
        <v>0.02536</v>
      </c>
      <c r="S3826">
        <f>IMAGE("https://mitra.stanford.edu/kundaje/oak/projects/neuro-variants/variant_position/credible/roussos_2024/variant_figures/roussos_2024.childhood.GABA/rs17530005_count_position.png",4,220,900)</f>
        <v/>
      </c>
      <c r="T3826">
        <f>IMAGE("https://mitra.stanford.edu/kundaje/oak/projects/neuro-variants/variant_position/credible/roussos_2024/variant_figures/roussos_2024.childhood.GABA/rs17530005_profile_position.png",4,220,900)</f>
        <v/>
      </c>
    </row>
    <row r="3827">
      <c r="A3827" t="inlineStr">
        <is>
          <t>chr7</t>
        </is>
      </c>
      <c r="B3827" t="n">
        <v>139355181</v>
      </c>
      <c r="C3827" t="inlineStr">
        <is>
          <t>C</t>
        </is>
      </c>
      <c r="D3827" t="inlineStr">
        <is>
          <t>T</t>
        </is>
      </c>
      <c r="E3827" t="inlineStr">
        <is>
          <t>rs7801613</t>
        </is>
      </c>
      <c r="F3827" t="n">
        <v>-0.0477526059999999</v>
      </c>
      <c r="G3827" t="n">
        <v>0.1526965010800207</v>
      </c>
      <c r="H3827" t="n">
        <v>0.0158116925461301</v>
      </c>
      <c r="I3827" t="n">
        <v>0.189137396498522</v>
      </c>
      <c r="J3827" t="n">
        <v>0.0020428891541537</v>
      </c>
      <c r="K3827" t="n">
        <v>0.8808442851531076</v>
      </c>
      <c r="L3827" t="b">
        <v>0</v>
      </c>
      <c r="M3827" t="b">
        <v>0</v>
      </c>
      <c r="N3827" t="inlineStr">
        <is>
          <t>ref</t>
        </is>
      </c>
      <c r="O3827" t="n">
        <v>100</v>
      </c>
      <c r="P3827" t="n">
        <v>0.0173</v>
      </c>
      <c r="Q3827" t="n">
        <v>-95</v>
      </c>
      <c r="R3827" t="n">
        <v>0.0617</v>
      </c>
      <c r="S3827">
        <f>IMAGE("https://mitra.stanford.edu/kundaje/oak/projects/neuro-variants/variant_position/credible/roussos_2024/variant_figures/roussos_2024.childhood.GABA/rs7801613_count_position.png",4,220,900)</f>
        <v/>
      </c>
      <c r="T3827">
        <f>IMAGE("https://mitra.stanford.edu/kundaje/oak/projects/neuro-variants/variant_position/credible/roussos_2024/variant_figures/roussos_2024.childhood.GABA/rs7801613_profile_position.png",4,220,900)</f>
        <v/>
      </c>
    </row>
    <row r="3828">
      <c r="A3828" t="inlineStr">
        <is>
          <t>chr7</t>
        </is>
      </c>
      <c r="B3828" t="n">
        <v>139385344</v>
      </c>
      <c r="C3828" t="inlineStr">
        <is>
          <t>A</t>
        </is>
      </c>
      <c r="D3828" t="inlineStr">
        <is>
          <t>G</t>
        </is>
      </c>
      <c r="E3828" t="inlineStr">
        <is>
          <t>rs6942519</t>
        </is>
      </c>
      <c r="F3828" t="n">
        <v>0.00347527702</v>
      </c>
      <c r="G3828" t="n">
        <v>0.7929545436211971</v>
      </c>
      <c r="H3828" t="n">
        <v>0.023559700973012</v>
      </c>
      <c r="I3828" t="n">
        <v>0.037757100748103</v>
      </c>
      <c r="J3828" t="n">
        <v>0.0152290004397812</v>
      </c>
      <c r="K3828" t="n">
        <v>0.6858250335864876</v>
      </c>
      <c r="L3828" t="b">
        <v>0</v>
      </c>
      <c r="M3828" t="b">
        <v>0</v>
      </c>
      <c r="N3828" t="inlineStr">
        <is>
          <t>alt</t>
        </is>
      </c>
      <c r="O3828" t="n">
        <v>-75</v>
      </c>
      <c r="P3828" t="n">
        <v>0.003235</v>
      </c>
      <c r="Q3828" t="n">
        <v>-85</v>
      </c>
      <c r="R3828" t="n">
        <v>0.0851</v>
      </c>
      <c r="S3828">
        <f>IMAGE("https://mitra.stanford.edu/kundaje/oak/projects/neuro-variants/variant_position/credible/roussos_2024/variant_figures/roussos_2024.childhood.GABA/rs6942519_count_position.png",4,220,900)</f>
        <v/>
      </c>
      <c r="T3828">
        <f>IMAGE("https://mitra.stanford.edu/kundaje/oak/projects/neuro-variants/variant_position/credible/roussos_2024/variant_figures/roussos_2024.childhood.GABA/rs6942519_profile_position.png",4,220,900)</f>
        <v/>
      </c>
    </row>
    <row r="3829">
      <c r="A3829" t="inlineStr">
        <is>
          <t>chr7</t>
        </is>
      </c>
      <c r="B3829" t="n">
        <v>139387747</v>
      </c>
      <c r="C3829" t="inlineStr">
        <is>
          <t>G</t>
        </is>
      </c>
      <c r="D3829" t="inlineStr">
        <is>
          <t>T</t>
        </is>
      </c>
      <c r="E3829" t="inlineStr">
        <is>
          <t>rs2355784</t>
        </is>
      </c>
      <c r="F3829" t="n">
        <v>-0.0021390248199999</v>
      </c>
      <c r="G3829" t="n">
        <v>0.7742278660632455</v>
      </c>
      <c r="H3829" t="n">
        <v>0.0272632954041642</v>
      </c>
      <c r="I3829" t="n">
        <v>0.0198016813350044</v>
      </c>
      <c r="J3829" t="n">
        <v>0.01621013172499</v>
      </c>
      <c r="K3829" t="n">
        <v>0.6871031342115681</v>
      </c>
      <c r="L3829" t="b">
        <v>1</v>
      </c>
      <c r="M3829" t="b">
        <v>0</v>
      </c>
      <c r="N3829" t="inlineStr">
        <is>
          <t>ref</t>
        </is>
      </c>
      <c r="O3829" t="n">
        <v>-100</v>
      </c>
      <c r="P3829" t="n">
        <v>0.01384</v>
      </c>
      <c r="Q3829" t="n">
        <v>-50</v>
      </c>
      <c r="R3829" t="n">
        <v>0.05267</v>
      </c>
      <c r="S3829">
        <f>IMAGE("https://mitra.stanford.edu/kundaje/oak/projects/neuro-variants/variant_position/credible/roussos_2024/variant_figures/roussos_2024.childhood.GABA/rs2355784_count_position.png",4,220,900)</f>
        <v/>
      </c>
      <c r="T3829">
        <f>IMAGE("https://mitra.stanford.edu/kundaje/oak/projects/neuro-variants/variant_position/credible/roussos_2024/variant_figures/roussos_2024.childhood.GABA/rs2355784_profile_position.png",4,220,900)</f>
        <v/>
      </c>
    </row>
    <row r="3830">
      <c r="A3830" t="inlineStr">
        <is>
          <t>chr7</t>
        </is>
      </c>
      <c r="B3830" t="n">
        <v>139419122</v>
      </c>
      <c r="C3830" t="inlineStr">
        <is>
          <t>A</t>
        </is>
      </c>
      <c r="D3830" t="inlineStr">
        <is>
          <t>C</t>
        </is>
      </c>
      <c r="E3830" t="inlineStr">
        <is>
          <t>rs10230398</t>
        </is>
      </c>
      <c r="F3830" t="n">
        <v>-0.012021261</v>
      </c>
      <c r="G3830" t="n">
        <v>0.5822934546468738</v>
      </c>
      <c r="H3830" t="n">
        <v>0.0341091810679387</v>
      </c>
      <c r="I3830" t="n">
        <v>0.0072670795743517</v>
      </c>
      <c r="J3830" t="n">
        <v>0.0021811061548448</v>
      </c>
      <c r="K3830" t="n">
        <v>0.8729569072598663</v>
      </c>
      <c r="L3830" t="b">
        <v>0</v>
      </c>
      <c r="M3830" t="b">
        <v>0</v>
      </c>
      <c r="N3830" t="inlineStr">
        <is>
          <t>ref</t>
        </is>
      </c>
      <c r="O3830" t="n">
        <v>-45</v>
      </c>
      <c r="P3830" t="n">
        <v>0.003174</v>
      </c>
      <c r="Q3830" t="n">
        <v>60</v>
      </c>
      <c r="R3830" t="n">
        <v>0.07227</v>
      </c>
      <c r="S3830">
        <f>IMAGE("https://mitra.stanford.edu/kundaje/oak/projects/neuro-variants/variant_position/credible/roussos_2024/variant_figures/roussos_2024.childhood.GABA/rs10230398_count_position.png",4,220,900)</f>
        <v/>
      </c>
      <c r="T3830">
        <f>IMAGE("https://mitra.stanford.edu/kundaje/oak/projects/neuro-variants/variant_position/credible/roussos_2024/variant_figures/roussos_2024.childhood.GABA/rs10230398_profile_position.png",4,220,900)</f>
        <v/>
      </c>
    </row>
    <row r="3831">
      <c r="A3831" t="inlineStr">
        <is>
          <t>chr7</t>
        </is>
      </c>
      <c r="B3831" t="n">
        <v>140951723</v>
      </c>
      <c r="C3831" t="inlineStr">
        <is>
          <t>G</t>
        </is>
      </c>
      <c r="D3831" t="inlineStr">
        <is>
          <t>A</t>
        </is>
      </c>
      <c r="E3831" t="inlineStr">
        <is>
          <t>rs801089</t>
        </is>
      </c>
      <c r="F3831" t="n">
        <v>-0.1578581547999999</v>
      </c>
      <c r="G3831" t="n">
        <v>0.0100740768760316</v>
      </c>
      <c r="H3831" t="n">
        <v>0.0220519761999662</v>
      </c>
      <c r="I3831" t="n">
        <v>0.0567695957604586</v>
      </c>
      <c r="J3831" t="n">
        <v>0.0029978429771103</v>
      </c>
      <c r="K3831" t="n">
        <v>0.8652735883633081</v>
      </c>
      <c r="L3831" t="b">
        <v>1</v>
      </c>
      <c r="M3831" t="b">
        <v>0</v>
      </c>
      <c r="N3831" t="inlineStr">
        <is>
          <t>ref</t>
        </is>
      </c>
      <c r="O3831" t="n">
        <v>-45</v>
      </c>
      <c r="P3831" t="n">
        <v>0.03705</v>
      </c>
      <c r="Q3831" t="n">
        <v>100</v>
      </c>
      <c r="R3831" t="n">
        <v>0.05725</v>
      </c>
      <c r="S3831">
        <f>IMAGE("https://mitra.stanford.edu/kundaje/oak/projects/neuro-variants/variant_position/credible/roussos_2024/variant_figures/roussos_2024.childhood.GABA/rs801089_count_position.png",4,220,900)</f>
        <v/>
      </c>
      <c r="T3831">
        <f>IMAGE("https://mitra.stanford.edu/kundaje/oak/projects/neuro-variants/variant_position/credible/roussos_2024/variant_figures/roussos_2024.childhood.GABA/rs801089_profile_position.png",4,220,900)</f>
        <v/>
      </c>
    </row>
    <row r="3832">
      <c r="A3832" t="inlineStr">
        <is>
          <t>chr7</t>
        </is>
      </c>
      <c r="B3832" t="n">
        <v>141006357</v>
      </c>
      <c r="C3832" t="inlineStr">
        <is>
          <t>G</t>
        </is>
      </c>
      <c r="D3832" t="inlineStr">
        <is>
          <t>T</t>
        </is>
      </c>
      <c r="E3832" t="inlineStr">
        <is>
          <t>rs6662</t>
        </is>
      </c>
      <c r="F3832" t="n">
        <v>0.0032991947999999</v>
      </c>
      <c r="G3832" t="n">
        <v>0.2937531501056388</v>
      </c>
      <c r="H3832" t="n">
        <v>0.0145233411944254</v>
      </c>
      <c r="I3832" t="n">
        <v>0.2509272664965926</v>
      </c>
      <c r="J3832" t="n">
        <v>0.0425781659022847</v>
      </c>
      <c r="K3832" t="n">
        <v>0.5347278400008254</v>
      </c>
      <c r="L3832" t="b">
        <v>0</v>
      </c>
      <c r="M3832" t="b">
        <v>0</v>
      </c>
      <c r="N3832" t="inlineStr">
        <is>
          <t>alt</t>
        </is>
      </c>
      <c r="O3832" t="n">
        <v>95</v>
      </c>
      <c r="P3832" t="n">
        <v>0.02853</v>
      </c>
      <c r="Q3832" t="n">
        <v>55</v>
      </c>
      <c r="R3832" t="n">
        <v>0.04858</v>
      </c>
      <c r="S3832">
        <f>IMAGE("https://mitra.stanford.edu/kundaje/oak/projects/neuro-variants/variant_position/credible/roussos_2024/variant_figures/roussos_2024.childhood.GABA/rs6662_count_position.png",4,220,900)</f>
        <v/>
      </c>
      <c r="T3832">
        <f>IMAGE("https://mitra.stanford.edu/kundaje/oak/projects/neuro-variants/variant_position/credible/roussos_2024/variant_figures/roussos_2024.childhood.GABA/rs6662_profile_position.png",4,220,900)</f>
        <v/>
      </c>
    </row>
    <row r="3833">
      <c r="A3833" t="inlineStr">
        <is>
          <t>chr7</t>
        </is>
      </c>
      <c r="B3833" t="n">
        <v>141016390</v>
      </c>
      <c r="C3833" t="inlineStr">
        <is>
          <t>T</t>
        </is>
      </c>
      <c r="D3833" t="inlineStr">
        <is>
          <t>C</t>
        </is>
      </c>
      <c r="E3833" t="inlineStr">
        <is>
          <t>rs246745</t>
        </is>
      </c>
      <c r="F3833" t="n">
        <v>0.0513978092</v>
      </c>
      <c r="G3833" t="n">
        <v>0.1283471743299246</v>
      </c>
      <c r="H3833" t="n">
        <v>0.0135063455336056</v>
      </c>
      <c r="I3833" t="n">
        <v>0.315595963691171</v>
      </c>
      <c r="J3833" t="n">
        <v>0.0755963225901027</v>
      </c>
      <c r="K3833" t="n">
        <v>0.4259445247443331</v>
      </c>
      <c r="L3833" t="b">
        <v>0</v>
      </c>
      <c r="M3833" t="b">
        <v>0</v>
      </c>
      <c r="N3833" t="inlineStr">
        <is>
          <t>alt</t>
        </is>
      </c>
      <c r="O3833" t="n">
        <v>-70</v>
      </c>
      <c r="P3833" t="n">
        <v>0.004993</v>
      </c>
      <c r="Q3833" t="n">
        <v>55</v>
      </c>
      <c r="R3833" t="n">
        <v>0.03555</v>
      </c>
      <c r="S3833">
        <f>IMAGE("https://mitra.stanford.edu/kundaje/oak/projects/neuro-variants/variant_position/credible/roussos_2024/variant_figures/roussos_2024.childhood.GABA/rs246745_count_position.png",4,220,900)</f>
        <v/>
      </c>
      <c r="T3833">
        <f>IMAGE("https://mitra.stanford.edu/kundaje/oak/projects/neuro-variants/variant_position/credible/roussos_2024/variant_figures/roussos_2024.childhood.GABA/rs246745_profile_position.png",4,220,900)</f>
        <v/>
      </c>
    </row>
    <row r="3834">
      <c r="A3834" t="inlineStr">
        <is>
          <t>chr7</t>
        </is>
      </c>
      <c r="B3834" t="n">
        <v>141034465</v>
      </c>
      <c r="C3834" t="inlineStr">
        <is>
          <t>T</t>
        </is>
      </c>
      <c r="D3834" t="inlineStr">
        <is>
          <t>C</t>
        </is>
      </c>
      <c r="E3834" t="inlineStr">
        <is>
          <t>rs1089258</t>
        </is>
      </c>
      <c r="F3834" t="n">
        <v>0.0839605074719999</v>
      </c>
      <c r="G3834" t="n">
        <v>0.0665112870271081</v>
      </c>
      <c r="H3834" t="n">
        <v>0.013712462235849</v>
      </c>
      <c r="I3834" t="n">
        <v>0.2984419836602126</v>
      </c>
      <c r="J3834" t="n">
        <v>0.0925404703566416</v>
      </c>
      <c r="K3834" t="n">
        <v>0.3892660190126374</v>
      </c>
      <c r="L3834" t="b">
        <v>0</v>
      </c>
      <c r="M3834" t="b">
        <v>0</v>
      </c>
      <c r="N3834" t="inlineStr">
        <is>
          <t>alt</t>
        </is>
      </c>
      <c r="O3834" t="n">
        <v>-15</v>
      </c>
      <c r="P3834" t="n">
        <v>0.00264</v>
      </c>
      <c r="Q3834" t="n">
        <v>-5</v>
      </c>
      <c r="R3834" t="n">
        <v>0.00464</v>
      </c>
      <c r="S3834">
        <f>IMAGE("https://mitra.stanford.edu/kundaje/oak/projects/neuro-variants/variant_position/credible/roussos_2024/variant_figures/roussos_2024.childhood.GABA/rs1089258_count_position.png",4,220,900)</f>
        <v/>
      </c>
      <c r="T3834">
        <f>IMAGE("https://mitra.stanford.edu/kundaje/oak/projects/neuro-variants/variant_position/credible/roussos_2024/variant_figures/roussos_2024.childhood.GABA/rs1089258_profile_position.png",4,220,900)</f>
        <v/>
      </c>
    </row>
    <row r="3835">
      <c r="A3835" t="inlineStr">
        <is>
          <t>chr7</t>
        </is>
      </c>
      <c r="B3835" t="n">
        <v>157664118</v>
      </c>
      <c r="C3835" t="inlineStr">
        <is>
          <t>G</t>
        </is>
      </c>
      <c r="D3835" t="inlineStr">
        <is>
          <t>A</t>
        </is>
      </c>
      <c r="E3835" t="inlineStr">
        <is>
          <t>rs10241251</t>
        </is>
      </c>
      <c r="F3835" t="n">
        <v>-0.0515894914</v>
      </c>
      <c r="G3835" t="n">
        <v>0.141969043900965</v>
      </c>
      <c r="H3835" t="n">
        <v>0.0121936064229615</v>
      </c>
      <c r="I3835" t="n">
        <v>0.3987135011200398</v>
      </c>
      <c r="J3835" t="n">
        <v>0.3827239220121044</v>
      </c>
      <c r="K3835" t="n">
        <v>0.0931481082588785</v>
      </c>
      <c r="L3835" t="b">
        <v>0</v>
      </c>
      <c r="M3835" t="b">
        <v>0</v>
      </c>
      <c r="N3835" t="inlineStr">
        <is>
          <t>ref</t>
        </is>
      </c>
      <c r="O3835" t="n">
        <v>30</v>
      </c>
      <c r="P3835" t="n">
        <v>0.003078</v>
      </c>
      <c r="Q3835" t="n">
        <v>90</v>
      </c>
      <c r="R3835" t="n">
        <v>0.0608</v>
      </c>
      <c r="S3835">
        <f>IMAGE("https://mitra.stanford.edu/kundaje/oak/projects/neuro-variants/variant_position/credible/roussos_2024/variant_figures/roussos_2024.childhood.GABA/rs10241251_count_position.png",4,220,900)</f>
        <v/>
      </c>
      <c r="T3835">
        <f>IMAGE("https://mitra.stanford.edu/kundaje/oak/projects/neuro-variants/variant_position/credible/roussos_2024/variant_figures/roussos_2024.childhood.GABA/rs10241251_profile_position.png",4,220,900)</f>
        <v/>
      </c>
    </row>
    <row r="3836">
      <c r="A3836" t="inlineStr">
        <is>
          <t>chr7</t>
        </is>
      </c>
      <c r="B3836" t="n">
        <v>157664482</v>
      </c>
      <c r="C3836" t="inlineStr">
        <is>
          <t>G</t>
        </is>
      </c>
      <c r="D3836" t="inlineStr">
        <is>
          <t>T</t>
        </is>
      </c>
      <c r="E3836" t="inlineStr">
        <is>
          <t>rs10244667</t>
        </is>
      </c>
      <c r="F3836" t="n">
        <v>-0.0382027076</v>
      </c>
      <c r="G3836" t="n">
        <v>0.2251465950707938</v>
      </c>
      <c r="H3836" t="n">
        <v>0.0116117478716299</v>
      </c>
      <c r="I3836" t="n">
        <v>0.4671869175071128</v>
      </c>
      <c r="J3836" t="n">
        <v>0.3223011036418085</v>
      </c>
      <c r="K3836" t="n">
        <v>0.1236145687201602</v>
      </c>
      <c r="L3836" t="b">
        <v>0</v>
      </c>
      <c r="M3836" t="b">
        <v>0</v>
      </c>
      <c r="N3836" t="inlineStr">
        <is>
          <t>ref</t>
        </is>
      </c>
      <c r="O3836" t="n">
        <v>-5</v>
      </c>
      <c r="P3836" t="n">
        <v>0.000868</v>
      </c>
      <c r="Q3836" t="n">
        <v>-60</v>
      </c>
      <c r="R3836" t="n">
        <v>0.1144</v>
      </c>
      <c r="S3836">
        <f>IMAGE("https://mitra.stanford.edu/kundaje/oak/projects/neuro-variants/variant_position/credible/roussos_2024/variant_figures/roussos_2024.childhood.GABA/rs10244667_count_position.png",4,220,900)</f>
        <v/>
      </c>
      <c r="T3836">
        <f>IMAGE("https://mitra.stanford.edu/kundaje/oak/projects/neuro-variants/variant_position/credible/roussos_2024/variant_figures/roussos_2024.childhood.GABA/rs10244667_profile_position.png",4,220,900)</f>
        <v/>
      </c>
    </row>
    <row r="3837">
      <c r="A3837" t="inlineStr">
        <is>
          <t>chr7</t>
        </is>
      </c>
      <c r="B3837" t="n">
        <v>157665453</v>
      </c>
      <c r="C3837" t="inlineStr">
        <is>
          <t>C</t>
        </is>
      </c>
      <c r="D3837" t="inlineStr">
        <is>
          <t>T</t>
        </is>
      </c>
      <c r="E3837" t="inlineStr">
        <is>
          <t>rs2366647</t>
        </is>
      </c>
      <c r="F3837" t="n">
        <v>-0.0608298103999999</v>
      </c>
      <c r="G3837" t="n">
        <v>0.1040138859851441</v>
      </c>
      <c r="H3837" t="n">
        <v>0.0134620880564187</v>
      </c>
      <c r="I3837" t="n">
        <v>0.3239300029509439</v>
      </c>
      <c r="J3837" t="n">
        <v>0.1997445079684194</v>
      </c>
      <c r="K3837" t="n">
        <v>0.2187211846642326</v>
      </c>
      <c r="L3837" t="b">
        <v>0</v>
      </c>
      <c r="M3837" t="b">
        <v>0</v>
      </c>
      <c r="N3837" t="inlineStr">
        <is>
          <t>ref</t>
        </is>
      </c>
      <c r="O3837" t="n">
        <v>35</v>
      </c>
      <c r="P3837" t="n">
        <v>0.003868</v>
      </c>
      <c r="Q3837" t="n">
        <v>-100</v>
      </c>
      <c r="R3837" t="n">
        <v>0.07355</v>
      </c>
      <c r="S3837">
        <f>IMAGE("https://mitra.stanford.edu/kundaje/oak/projects/neuro-variants/variant_position/credible/roussos_2024/variant_figures/roussos_2024.childhood.GABA/rs2366647_count_position.png",4,220,900)</f>
        <v/>
      </c>
      <c r="T3837">
        <f>IMAGE("https://mitra.stanford.edu/kundaje/oak/projects/neuro-variants/variant_position/credible/roussos_2024/variant_figures/roussos_2024.childhood.GABA/rs2366647_profile_position.png",4,220,900)</f>
        <v/>
      </c>
    </row>
    <row r="3838">
      <c r="A3838" t="inlineStr">
        <is>
          <t>chr8</t>
        </is>
      </c>
      <c r="B3838" t="n">
        <v>4325535</v>
      </c>
      <c r="C3838" t="inlineStr">
        <is>
          <t>A</t>
        </is>
      </c>
      <c r="D3838" t="inlineStr">
        <is>
          <t>G</t>
        </is>
      </c>
      <c r="E3838" t="inlineStr">
        <is>
          <t>rs13261217</t>
        </is>
      </c>
      <c r="F3838" t="n">
        <v>-0.264315526</v>
      </c>
      <c r="G3838" t="n">
        <v>0.0021473581162675</v>
      </c>
      <c r="H3838" t="n">
        <v>0.04090846836817</v>
      </c>
      <c r="I3838" t="n">
        <v>0.0039196139464954</v>
      </c>
      <c r="J3838" t="n">
        <v>0.4449393729974241</v>
      </c>
      <c r="K3838" t="n">
        <v>0.0691494278868393</v>
      </c>
      <c r="L3838" t="b">
        <v>1</v>
      </c>
      <c r="M3838" t="b">
        <v>1</v>
      </c>
      <c r="N3838" t="inlineStr">
        <is>
          <t>ref</t>
        </is>
      </c>
      <c r="O3838" t="n">
        <v>55</v>
      </c>
      <c r="P3838" t="n">
        <v>0.001587</v>
      </c>
      <c r="Q3838" t="n">
        <v>55</v>
      </c>
      <c r="R3838" t="n">
        <v>0.0415</v>
      </c>
      <c r="S3838">
        <f>IMAGE("https://mitra.stanford.edu/kundaje/oak/projects/neuro-variants/variant_position/credible/roussos_2024/variant_figures/roussos_2024.childhood.GABA/rs13261217_count_position.png",4,220,900)</f>
        <v/>
      </c>
      <c r="T3838">
        <f>IMAGE("https://mitra.stanford.edu/kundaje/oak/projects/neuro-variants/variant_position/credible/roussos_2024/variant_figures/roussos_2024.childhood.GABA/rs13261217_profile_position.png",4,220,900)</f>
        <v/>
      </c>
    </row>
    <row r="3839">
      <c r="A3839" t="inlineStr">
        <is>
          <t>chr8</t>
        </is>
      </c>
      <c r="B3839" t="n">
        <v>4364481</v>
      </c>
      <c r="C3839" t="inlineStr">
        <is>
          <t>T</t>
        </is>
      </c>
      <c r="D3839" t="inlineStr">
        <is>
          <t>G</t>
        </is>
      </c>
      <c r="E3839" t="inlineStr">
        <is>
          <t>rs7813162</t>
        </is>
      </c>
      <c r="F3839" t="n">
        <v>0.10912023</v>
      </c>
      <c r="G3839" t="n">
        <v>0.0233672028622384</v>
      </c>
      <c r="H3839" t="n">
        <v>0.0124022542940543</v>
      </c>
      <c r="I3839" t="n">
        <v>0.3945990763133274</v>
      </c>
      <c r="J3839" t="n">
        <v>0.1309700320412137</v>
      </c>
      <c r="K3839" t="n">
        <v>0.2984007003639951</v>
      </c>
      <c r="L3839" t="b">
        <v>0</v>
      </c>
      <c r="M3839" t="b">
        <v>0</v>
      </c>
      <c r="N3839" t="inlineStr">
        <is>
          <t>alt</t>
        </is>
      </c>
      <c r="O3839" t="n">
        <v>-90</v>
      </c>
      <c r="P3839" t="n">
        <v>0.01865</v>
      </c>
      <c r="Q3839" t="n">
        <v>85</v>
      </c>
      <c r="R3839" t="n">
        <v>0.1194</v>
      </c>
      <c r="S3839">
        <f>IMAGE("https://mitra.stanford.edu/kundaje/oak/projects/neuro-variants/variant_position/credible/roussos_2024/variant_figures/roussos_2024.childhood.GABA/rs7813162_count_position.png",4,220,900)</f>
        <v/>
      </c>
      <c r="T3839">
        <f>IMAGE("https://mitra.stanford.edu/kundaje/oak/projects/neuro-variants/variant_position/credible/roussos_2024/variant_figures/roussos_2024.childhood.GABA/rs7813162_profile_position.png",4,220,900)</f>
        <v/>
      </c>
    </row>
    <row r="3840">
      <c r="A3840" t="inlineStr">
        <is>
          <t>chr8</t>
        </is>
      </c>
      <c r="B3840" t="n">
        <v>4419110</v>
      </c>
      <c r="C3840" t="inlineStr">
        <is>
          <t>T</t>
        </is>
      </c>
      <c r="D3840" t="inlineStr">
        <is>
          <t>C</t>
        </is>
      </c>
      <c r="E3840" t="inlineStr">
        <is>
          <t>rs1230767</t>
        </is>
      </c>
      <c r="F3840" t="n">
        <v>0.217610918</v>
      </c>
      <c r="G3840" t="n">
        <v>0.004023226237653</v>
      </c>
      <c r="H3840" t="n">
        <v>0.0373713014471846</v>
      </c>
      <c r="I3840" t="n">
        <v>0.0054291995795057</v>
      </c>
      <c r="J3840" t="n">
        <v>0.1222403719293836</v>
      </c>
      <c r="K3840" t="n">
        <v>0.3060786836298793</v>
      </c>
      <c r="L3840" t="b">
        <v>1</v>
      </c>
      <c r="M3840" t="b">
        <v>1</v>
      </c>
      <c r="N3840" t="inlineStr">
        <is>
          <t>alt</t>
        </is>
      </c>
      <c r="O3840" t="n">
        <v>5</v>
      </c>
      <c r="P3840" t="n">
        <v>0.0002403</v>
      </c>
      <c r="Q3840" t="n">
        <v>0</v>
      </c>
      <c r="R3840" t="n">
        <v>0</v>
      </c>
      <c r="S3840">
        <f>IMAGE("https://mitra.stanford.edu/kundaje/oak/projects/neuro-variants/variant_position/credible/roussos_2024/variant_figures/roussos_2024.childhood.GABA/rs1230767_count_position.png",4,220,900)</f>
        <v/>
      </c>
      <c r="T3840">
        <f>IMAGE("https://mitra.stanford.edu/kundaje/oak/projects/neuro-variants/variant_position/credible/roussos_2024/variant_figures/roussos_2024.childhood.GABA/rs1230767_profile_position.png",4,220,900)</f>
        <v/>
      </c>
    </row>
    <row r="3841">
      <c r="A3841" t="inlineStr">
        <is>
          <t>chr8</t>
        </is>
      </c>
      <c r="B3841" t="n">
        <v>10265517</v>
      </c>
      <c r="C3841" t="inlineStr">
        <is>
          <t>C</t>
        </is>
      </c>
      <c r="D3841" t="inlineStr">
        <is>
          <t>T</t>
        </is>
      </c>
      <c r="E3841" t="inlineStr">
        <is>
          <t>rs12679687</t>
        </is>
      </c>
      <c r="F3841" t="n">
        <v>-0.1013722539999999</v>
      </c>
      <c r="G3841" t="n">
        <v>0.035250775076577</v>
      </c>
      <c r="H3841" t="n">
        <v>0.0208024309408797</v>
      </c>
      <c r="I3841" t="n">
        <v>0.0667274588510432</v>
      </c>
      <c r="J3841" t="n">
        <v>0.2357468953529768</v>
      </c>
      <c r="K3841" t="n">
        <v>0.1836351697014233</v>
      </c>
      <c r="L3841" t="b">
        <v>0</v>
      </c>
      <c r="M3841" t="b">
        <v>0</v>
      </c>
      <c r="N3841" t="inlineStr">
        <is>
          <t>ref</t>
        </is>
      </c>
      <c r="O3841" t="n">
        <v>-50</v>
      </c>
      <c r="P3841" t="n">
        <v>0.003847</v>
      </c>
      <c r="Q3841" t="n">
        <v>-30</v>
      </c>
      <c r="R3841" t="n">
        <v>0.036</v>
      </c>
      <c r="S3841">
        <f>IMAGE("https://mitra.stanford.edu/kundaje/oak/projects/neuro-variants/variant_position/credible/roussos_2024/variant_figures/roussos_2024.childhood.GABA/rs12679687_count_position.png",4,220,900)</f>
        <v/>
      </c>
      <c r="T3841">
        <f>IMAGE("https://mitra.stanford.edu/kundaje/oak/projects/neuro-variants/variant_position/credible/roussos_2024/variant_figures/roussos_2024.childhood.GABA/rs12679687_profile_position.png",4,220,900)</f>
        <v/>
      </c>
    </row>
    <row r="3842">
      <c r="A3842" t="inlineStr">
        <is>
          <t>chr8</t>
        </is>
      </c>
      <c r="B3842" t="n">
        <v>10280381</v>
      </c>
      <c r="C3842" t="inlineStr">
        <is>
          <t>G</t>
        </is>
      </c>
      <c r="D3842" t="inlineStr">
        <is>
          <t>A</t>
        </is>
      </c>
      <c r="E3842" t="inlineStr">
        <is>
          <t>rs2952245</t>
        </is>
      </c>
      <c r="F3842" t="n">
        <v>0.00165971736</v>
      </c>
      <c r="G3842" t="n">
        <v>0.8572487085805018</v>
      </c>
      <c r="H3842" t="n">
        <v>0.018697747949711</v>
      </c>
      <c r="I3842" t="n">
        <v>0.09975493891035959</v>
      </c>
      <c r="J3842" t="n">
        <v>0.0521716822684341</v>
      </c>
      <c r="K3842" t="n">
        <v>0.4891579049839782</v>
      </c>
      <c r="L3842" t="b">
        <v>0</v>
      </c>
      <c r="M3842" t="b">
        <v>0</v>
      </c>
      <c r="N3842" t="inlineStr">
        <is>
          <t>alt</t>
        </is>
      </c>
      <c r="O3842" t="n">
        <v>-65</v>
      </c>
      <c r="P3842" t="n">
        <v>0.003723</v>
      </c>
      <c r="Q3842" t="n">
        <v>100</v>
      </c>
      <c r="R3842" t="n">
        <v>0.0864</v>
      </c>
      <c r="S3842">
        <f>IMAGE("https://mitra.stanford.edu/kundaje/oak/projects/neuro-variants/variant_position/credible/roussos_2024/variant_figures/roussos_2024.childhood.GABA/rs2952245_count_position.png",4,220,900)</f>
        <v/>
      </c>
      <c r="T3842">
        <f>IMAGE("https://mitra.stanford.edu/kundaje/oak/projects/neuro-variants/variant_position/credible/roussos_2024/variant_figures/roussos_2024.childhood.GABA/rs2952245_profile_position.png",4,220,900)</f>
        <v/>
      </c>
    </row>
    <row r="3843">
      <c r="A3843" t="inlineStr">
        <is>
          <t>chr8</t>
        </is>
      </c>
      <c r="B3843" t="n">
        <v>10398391</v>
      </c>
      <c r="C3843" t="inlineStr">
        <is>
          <t>G</t>
        </is>
      </c>
      <c r="D3843" t="inlineStr">
        <is>
          <t>A</t>
        </is>
      </c>
      <c r="E3843" t="inlineStr">
        <is>
          <t>rs11250001</t>
        </is>
      </c>
      <c r="F3843" t="n">
        <v>-0.0048808614599999</v>
      </c>
      <c r="G3843" t="n">
        <v>0.5810927843396122</v>
      </c>
      <c r="H3843" t="n">
        <v>0.0263512706075596</v>
      </c>
      <c r="I3843" t="n">
        <v>0.0253214996126206</v>
      </c>
      <c r="J3843" t="n">
        <v>0.4851573789030595</v>
      </c>
      <c r="K3843" t="n">
        <v>0.0564547102240892</v>
      </c>
      <c r="L3843" t="b">
        <v>0</v>
      </c>
      <c r="M3843" t="b">
        <v>0</v>
      </c>
      <c r="N3843" t="inlineStr">
        <is>
          <t>ref</t>
        </is>
      </c>
      <c r="O3843" t="n">
        <v>100</v>
      </c>
      <c r="P3843" t="n">
        <v>0.03412</v>
      </c>
      <c r="Q3843" t="n">
        <v>100</v>
      </c>
      <c r="R3843" t="n">
        <v>0.1123</v>
      </c>
      <c r="S3843">
        <f>IMAGE("https://mitra.stanford.edu/kundaje/oak/projects/neuro-variants/variant_position/credible/roussos_2024/variant_figures/roussos_2024.childhood.GABA/rs11250001_count_position.png",4,220,900)</f>
        <v/>
      </c>
      <c r="T3843">
        <f>IMAGE("https://mitra.stanford.edu/kundaje/oak/projects/neuro-variants/variant_position/credible/roussos_2024/variant_figures/roussos_2024.childhood.GABA/rs11250001_profile_position.png",4,220,900)</f>
        <v/>
      </c>
    </row>
    <row r="3844">
      <c r="A3844" t="inlineStr">
        <is>
          <t>chr8</t>
        </is>
      </c>
      <c r="B3844" t="n">
        <v>10401678</v>
      </c>
      <c r="C3844" t="inlineStr">
        <is>
          <t>T</t>
        </is>
      </c>
      <c r="D3844" t="inlineStr">
        <is>
          <t>C</t>
        </is>
      </c>
      <c r="E3844" t="inlineStr">
        <is>
          <t>rs35388602</t>
        </is>
      </c>
      <c r="F3844" t="n">
        <v>0.0410338498</v>
      </c>
      <c r="G3844" t="n">
        <v>0.1965260951852749</v>
      </c>
      <c r="H3844" t="n">
        <v>0.0132738428314437</v>
      </c>
      <c r="I3844" t="n">
        <v>0.3299727432283755</v>
      </c>
      <c r="J3844" t="n">
        <v>0.16895352976901</v>
      </c>
      <c r="K3844" t="n">
        <v>0.2494452747857462</v>
      </c>
      <c r="L3844" t="b">
        <v>0</v>
      </c>
      <c r="M3844" t="b">
        <v>0</v>
      </c>
      <c r="N3844" t="inlineStr">
        <is>
          <t>alt</t>
        </is>
      </c>
      <c r="O3844" t="n">
        <v>55</v>
      </c>
      <c r="P3844" t="n">
        <v>0.00405</v>
      </c>
      <c r="Q3844" t="n">
        <v>-85</v>
      </c>
      <c r="R3844" t="n">
        <v>0.0848</v>
      </c>
      <c r="S3844">
        <f>IMAGE("https://mitra.stanford.edu/kundaje/oak/projects/neuro-variants/variant_position/credible/roussos_2024/variant_figures/roussos_2024.childhood.GABA/rs35388602_count_position.png",4,220,900)</f>
        <v/>
      </c>
      <c r="T3844">
        <f>IMAGE("https://mitra.stanford.edu/kundaje/oak/projects/neuro-variants/variant_position/credible/roussos_2024/variant_figures/roussos_2024.childhood.GABA/rs35388602_profile_position.png",4,220,900)</f>
        <v/>
      </c>
    </row>
    <row r="3845">
      <c r="A3845" t="inlineStr">
        <is>
          <t>chr8</t>
        </is>
      </c>
      <c r="B3845" t="n">
        <v>13742372</v>
      </c>
      <c r="C3845" t="inlineStr">
        <is>
          <t>A</t>
        </is>
      </c>
      <c r="D3845" t="inlineStr">
        <is>
          <t>G</t>
        </is>
      </c>
      <c r="E3845" t="inlineStr">
        <is>
          <t>rs7839817</t>
        </is>
      </c>
      <c r="F3845" t="n">
        <v>-0.02110653672</v>
      </c>
      <c r="G3845" t="n">
        <v>0.4329653727376883</v>
      </c>
      <c r="H3845" t="n">
        <v>0.018846856904533</v>
      </c>
      <c r="I3845" t="n">
        <v>0.0992646476079601</v>
      </c>
      <c r="J3845" t="n">
        <v>0.1688058888819081</v>
      </c>
      <c r="K3845" t="n">
        <v>0.2456111316532929</v>
      </c>
      <c r="L3845" t="b">
        <v>0</v>
      </c>
      <c r="M3845" t="b">
        <v>0</v>
      </c>
      <c r="N3845" t="inlineStr">
        <is>
          <t>ref</t>
        </is>
      </c>
      <c r="O3845" t="n">
        <v>-75</v>
      </c>
      <c r="P3845" t="n">
        <v>0.00851</v>
      </c>
      <c r="Q3845" t="n">
        <v>-100</v>
      </c>
      <c r="R3845" t="n">
        <v>0.06155</v>
      </c>
      <c r="S3845">
        <f>IMAGE("https://mitra.stanford.edu/kundaje/oak/projects/neuro-variants/variant_position/credible/roussos_2024/variant_figures/roussos_2024.childhood.GABA/rs7839817_count_position.png",4,220,900)</f>
        <v/>
      </c>
      <c r="T3845">
        <f>IMAGE("https://mitra.stanford.edu/kundaje/oak/projects/neuro-variants/variant_position/credible/roussos_2024/variant_figures/roussos_2024.childhood.GABA/rs7839817_profile_position.png",4,220,900)</f>
        <v/>
      </c>
    </row>
    <row r="3846">
      <c r="A3846" t="inlineStr">
        <is>
          <t>chr8</t>
        </is>
      </c>
      <c r="B3846" t="n">
        <v>13743692</v>
      </c>
      <c r="C3846" t="inlineStr">
        <is>
          <t>C</t>
        </is>
      </c>
      <c r="D3846" t="inlineStr">
        <is>
          <t>T</t>
        </is>
      </c>
      <c r="E3846" t="inlineStr">
        <is>
          <t>rs5012670</t>
        </is>
      </c>
      <c r="F3846" t="n">
        <v>0.0561353271999999</v>
      </c>
      <c r="G3846" t="n">
        <v>0.1120980251363552</v>
      </c>
      <c r="H3846" t="n">
        <v>0.0161897388362362</v>
      </c>
      <c r="I3846" t="n">
        <v>0.1736334831890922</v>
      </c>
      <c r="J3846" t="n">
        <v>0.0291187619107452</v>
      </c>
      <c r="K3846" t="n">
        <v>0.5877412124939634</v>
      </c>
      <c r="L3846" t="b">
        <v>0</v>
      </c>
      <c r="M3846" t="b">
        <v>0</v>
      </c>
      <c r="N3846" t="inlineStr">
        <is>
          <t>alt</t>
        </is>
      </c>
      <c r="O3846" t="n">
        <v>80</v>
      </c>
      <c r="P3846" t="n">
        <v>0.0083</v>
      </c>
      <c r="Q3846" t="n">
        <v>35</v>
      </c>
      <c r="R3846" t="n">
        <v>0.03394</v>
      </c>
      <c r="S3846">
        <f>IMAGE("https://mitra.stanford.edu/kundaje/oak/projects/neuro-variants/variant_position/credible/roussos_2024/variant_figures/roussos_2024.childhood.GABA/rs5012670_count_position.png",4,220,900)</f>
        <v/>
      </c>
      <c r="T3846">
        <f>IMAGE("https://mitra.stanford.edu/kundaje/oak/projects/neuro-variants/variant_position/credible/roussos_2024/variant_figures/roussos_2024.childhood.GABA/rs5012670_profile_position.png",4,220,900)</f>
        <v/>
      </c>
    </row>
    <row r="3847">
      <c r="A3847" t="inlineStr">
        <is>
          <t>chr8</t>
        </is>
      </c>
      <c r="B3847" t="n">
        <v>13744943</v>
      </c>
      <c r="C3847" t="inlineStr">
        <is>
          <t>T</t>
        </is>
      </c>
      <c r="D3847" t="inlineStr">
        <is>
          <t>C</t>
        </is>
      </c>
      <c r="E3847" t="inlineStr">
        <is>
          <t>rs13267233</t>
        </is>
      </c>
      <c r="F3847" t="n">
        <v>-0.042395728</v>
      </c>
      <c r="G3847" t="n">
        <v>0.1999990403119259</v>
      </c>
      <c r="H3847" t="n">
        <v>0.0219394521479301</v>
      </c>
      <c r="I3847" t="n">
        <v>0.0508781897077573</v>
      </c>
      <c r="J3847" t="n">
        <v>0.004527653871123</v>
      </c>
      <c r="K3847" t="n">
        <v>0.8329629032173543</v>
      </c>
      <c r="L3847" t="b">
        <v>0</v>
      </c>
      <c r="M3847" t="b">
        <v>0</v>
      </c>
      <c r="N3847" t="inlineStr">
        <is>
          <t>ref</t>
        </is>
      </c>
      <c r="O3847" t="n">
        <v>-90</v>
      </c>
      <c r="P3847" t="n">
        <v>0.006817</v>
      </c>
      <c r="Q3847" t="n">
        <v>80</v>
      </c>
      <c r="R3847" t="n">
        <v>0.03027</v>
      </c>
      <c r="S3847">
        <f>IMAGE("https://mitra.stanford.edu/kundaje/oak/projects/neuro-variants/variant_position/credible/roussos_2024/variant_figures/roussos_2024.childhood.GABA/rs13267233_count_position.png",4,220,900)</f>
        <v/>
      </c>
      <c r="T3847">
        <f>IMAGE("https://mitra.stanford.edu/kundaje/oak/projects/neuro-variants/variant_position/credible/roussos_2024/variant_figures/roussos_2024.childhood.GABA/rs13267233_profile_position.png",4,220,900)</f>
        <v/>
      </c>
    </row>
    <row r="3848">
      <c r="A3848" t="inlineStr">
        <is>
          <t>chr8</t>
        </is>
      </c>
      <c r="B3848" t="n">
        <v>13745057</v>
      </c>
      <c r="C3848" t="inlineStr">
        <is>
          <t>T</t>
        </is>
      </c>
      <c r="D3848" t="inlineStr">
        <is>
          <t>C</t>
        </is>
      </c>
      <c r="E3848" t="inlineStr">
        <is>
          <t>rs13267570</t>
        </is>
      </c>
      <c r="F3848" t="n">
        <v>-0.0415085152</v>
      </c>
      <c r="G3848" t="n">
        <v>0.2260708361081436</v>
      </c>
      <c r="H3848" t="n">
        <v>0.0110117899311682</v>
      </c>
      <c r="I3848" t="n">
        <v>0.5209596478130273</v>
      </c>
      <c r="J3848" t="n">
        <v>0.0055140206487821</v>
      </c>
      <c r="K3848" t="n">
        <v>0.8128045489192627</v>
      </c>
      <c r="L3848" t="b">
        <v>0</v>
      </c>
      <c r="M3848" t="b">
        <v>0</v>
      </c>
      <c r="N3848" t="inlineStr">
        <is>
          <t>ref</t>
        </is>
      </c>
      <c r="O3848" t="n">
        <v>-95</v>
      </c>
      <c r="P3848" t="n">
        <v>0.001551</v>
      </c>
      <c r="Q3848" t="n">
        <v>-100</v>
      </c>
      <c r="R3848" t="n">
        <v>0.0574</v>
      </c>
      <c r="S3848">
        <f>IMAGE("https://mitra.stanford.edu/kundaje/oak/projects/neuro-variants/variant_position/credible/roussos_2024/variant_figures/roussos_2024.childhood.GABA/rs13267570_count_position.png",4,220,900)</f>
        <v/>
      </c>
      <c r="T3848">
        <f>IMAGE("https://mitra.stanford.edu/kundaje/oak/projects/neuro-variants/variant_position/credible/roussos_2024/variant_figures/roussos_2024.childhood.GABA/rs13267570_profile_position.png",4,220,900)</f>
        <v/>
      </c>
    </row>
    <row r="3849">
      <c r="A3849" t="inlineStr">
        <is>
          <t>chr8</t>
        </is>
      </c>
      <c r="B3849" t="n">
        <v>18565413</v>
      </c>
      <c r="C3849" t="inlineStr">
        <is>
          <t>C</t>
        </is>
      </c>
      <c r="D3849" t="inlineStr">
        <is>
          <t>T</t>
        </is>
      </c>
      <c r="E3849" t="inlineStr">
        <is>
          <t>rs13259407</t>
        </is>
      </c>
      <c r="F3849" t="n">
        <v>0.0304069584</v>
      </c>
      <c r="G3849" t="n">
        <v>0.2691418125727031</v>
      </c>
      <c r="H3849" t="n">
        <v>0.0173368966496635</v>
      </c>
      <c r="I3849" t="n">
        <v>0.1358801882559341</v>
      </c>
      <c r="J3849" t="n">
        <v>0.3520732550103662</v>
      </c>
      <c r="K3849" t="n">
        <v>0.107036867891264</v>
      </c>
      <c r="L3849" t="b">
        <v>0</v>
      </c>
      <c r="M3849" t="b">
        <v>0</v>
      </c>
      <c r="N3849" t="inlineStr">
        <is>
          <t>alt</t>
        </is>
      </c>
      <c r="O3849" t="n">
        <v>-20</v>
      </c>
      <c r="P3849" t="n">
        <v>0.001877</v>
      </c>
      <c r="Q3849" t="n">
        <v>-85</v>
      </c>
      <c r="R3849" t="n">
        <v>0.09436</v>
      </c>
      <c r="S3849">
        <f>IMAGE("https://mitra.stanford.edu/kundaje/oak/projects/neuro-variants/variant_position/credible/roussos_2024/variant_figures/roussos_2024.childhood.GABA/rs13259407_count_position.png",4,220,900)</f>
        <v/>
      </c>
      <c r="T3849">
        <f>IMAGE("https://mitra.stanford.edu/kundaje/oak/projects/neuro-variants/variant_position/credible/roussos_2024/variant_figures/roussos_2024.childhood.GABA/rs13259407_profile_position.png",4,220,900)</f>
        <v/>
      </c>
    </row>
    <row r="3850">
      <c r="A3850" t="inlineStr">
        <is>
          <t>chr8</t>
        </is>
      </c>
      <c r="B3850" t="n">
        <v>18572066</v>
      </c>
      <c r="C3850" t="inlineStr">
        <is>
          <t>C</t>
        </is>
      </c>
      <c r="D3850" t="inlineStr">
        <is>
          <t>A</t>
        </is>
      </c>
      <c r="E3850" t="inlineStr">
        <is>
          <t>rs7018369</t>
        </is>
      </c>
      <c r="F3850" t="n">
        <v>-0.0961869172</v>
      </c>
      <c r="G3850" t="n">
        <v>0.0355623287463705</v>
      </c>
      <c r="H3850" t="n">
        <v>0.0160199232243583</v>
      </c>
      <c r="I3850" t="n">
        <v>0.1861904224285319</v>
      </c>
      <c r="J3850" t="n">
        <v>0.1381217147284873</v>
      </c>
      <c r="K3850" t="n">
        <v>0.2892855809062848</v>
      </c>
      <c r="L3850" t="b">
        <v>0</v>
      </c>
      <c r="M3850" t="b">
        <v>0</v>
      </c>
      <c r="N3850" t="inlineStr">
        <is>
          <t>ref</t>
        </is>
      </c>
      <c r="O3850" t="n">
        <v>60</v>
      </c>
      <c r="P3850" t="n">
        <v>0.01607</v>
      </c>
      <c r="Q3850" t="n">
        <v>45</v>
      </c>
      <c r="R3850" t="n">
        <v>0.1455</v>
      </c>
      <c r="S3850">
        <f>IMAGE("https://mitra.stanford.edu/kundaje/oak/projects/neuro-variants/variant_position/credible/roussos_2024/variant_figures/roussos_2024.childhood.GABA/rs7018369_count_position.png",4,220,900)</f>
        <v/>
      </c>
      <c r="T3850">
        <f>IMAGE("https://mitra.stanford.edu/kundaje/oak/projects/neuro-variants/variant_position/credible/roussos_2024/variant_figures/roussos_2024.childhood.GABA/rs7018369_profile_position.png",4,220,900)</f>
        <v/>
      </c>
    </row>
    <row r="3851">
      <c r="A3851" t="inlineStr">
        <is>
          <t>chr8</t>
        </is>
      </c>
      <c r="B3851" t="n">
        <v>26339117</v>
      </c>
      <c r="C3851" t="inlineStr">
        <is>
          <t>A</t>
        </is>
      </c>
      <c r="D3851" t="inlineStr">
        <is>
          <t>T</t>
        </is>
      </c>
      <c r="E3851" t="inlineStr">
        <is>
          <t>rs3808573</t>
        </is>
      </c>
      <c r="F3851" t="n">
        <v>0.29912092</v>
      </c>
      <c r="G3851" t="n">
        <v>0.0013388106224831</v>
      </c>
      <c r="H3851" t="n">
        <v>0.0385211179646947</v>
      </c>
      <c r="I3851" t="n">
        <v>0.004837538191908</v>
      </c>
      <c r="J3851" t="n">
        <v>0.0249973822537747</v>
      </c>
      <c r="K3851" t="n">
        <v>0.6060697915223774</v>
      </c>
      <c r="L3851" t="b">
        <v>1</v>
      </c>
      <c r="M3851" t="b">
        <v>1</v>
      </c>
      <c r="N3851" t="inlineStr">
        <is>
          <t>alt</t>
        </is>
      </c>
      <c r="O3851" t="n">
        <v>-50</v>
      </c>
      <c r="P3851" t="n">
        <v>0.002953</v>
      </c>
      <c r="Q3851" t="n">
        <v>65</v>
      </c>
      <c r="R3851" t="n">
        <v>0.08704000000000001</v>
      </c>
      <c r="S3851">
        <f>IMAGE("https://mitra.stanford.edu/kundaje/oak/projects/neuro-variants/variant_position/credible/roussos_2024/variant_figures/roussos_2024.childhood.GABA/rs3808573_count_position.png",4,220,900)</f>
        <v/>
      </c>
      <c r="T3851">
        <f>IMAGE("https://mitra.stanford.edu/kundaje/oak/projects/neuro-variants/variant_position/credible/roussos_2024/variant_figures/roussos_2024.childhood.GABA/rs3808573_profile_position.png",4,220,900)</f>
        <v/>
      </c>
    </row>
    <row r="3852">
      <c r="A3852" t="inlineStr">
        <is>
          <t>chr8</t>
        </is>
      </c>
      <c r="B3852" t="n">
        <v>26365942</v>
      </c>
      <c r="C3852" t="inlineStr">
        <is>
          <t>A</t>
        </is>
      </c>
      <c r="D3852" t="inlineStr">
        <is>
          <t>C</t>
        </is>
      </c>
      <c r="E3852" t="inlineStr">
        <is>
          <t>rs3808566</t>
        </is>
      </c>
      <c r="F3852" t="n">
        <v>0.0575122668</v>
      </c>
      <c r="G3852" t="n">
        <v>0.1089922786411514</v>
      </c>
      <c r="H3852" t="n">
        <v>0.0156370273513995</v>
      </c>
      <c r="I3852" t="n">
        <v>0.1964547196666264</v>
      </c>
      <c r="J3852" t="n">
        <v>0.0031768968189147</v>
      </c>
      <c r="K3852" t="n">
        <v>0.8505517682368403</v>
      </c>
      <c r="L3852" t="b">
        <v>0</v>
      </c>
      <c r="M3852" t="b">
        <v>0</v>
      </c>
      <c r="N3852" t="inlineStr">
        <is>
          <t>alt</t>
        </is>
      </c>
      <c r="O3852" t="n">
        <v>25</v>
      </c>
      <c r="P3852" t="n">
        <v>0.0003405</v>
      </c>
      <c r="Q3852" t="n">
        <v>15</v>
      </c>
      <c r="R3852" t="n">
        <v>0.0249</v>
      </c>
      <c r="S3852">
        <f>IMAGE("https://mitra.stanford.edu/kundaje/oak/projects/neuro-variants/variant_position/credible/roussos_2024/variant_figures/roussos_2024.childhood.GABA/rs3808566_count_position.png",4,220,900)</f>
        <v/>
      </c>
      <c r="T3852">
        <f>IMAGE("https://mitra.stanford.edu/kundaje/oak/projects/neuro-variants/variant_position/credible/roussos_2024/variant_figures/roussos_2024.childhood.GABA/rs3808566_profile_position.png",4,220,900)</f>
        <v/>
      </c>
    </row>
    <row r="3853">
      <c r="A3853" t="inlineStr">
        <is>
          <t>chr8</t>
        </is>
      </c>
      <c r="B3853" t="n">
        <v>26370083</v>
      </c>
      <c r="C3853" t="inlineStr">
        <is>
          <t>A</t>
        </is>
      </c>
      <c r="D3853" t="inlineStr">
        <is>
          <t>C</t>
        </is>
      </c>
      <c r="E3853" t="inlineStr">
        <is>
          <t>rs3824232</t>
        </is>
      </c>
      <c r="F3853" t="n">
        <v>-0.0181867537</v>
      </c>
      <c r="G3853" t="n">
        <v>0.4601996517489582</v>
      </c>
      <c r="H3853" t="n">
        <v>0.0268946468615152</v>
      </c>
      <c r="I3853" t="n">
        <v>0.0205485203508612</v>
      </c>
      <c r="J3853" t="n">
        <v>0.2109474147138279</v>
      </c>
      <c r="K3853" t="n">
        <v>0.206359100208642</v>
      </c>
      <c r="L3853" t="b">
        <v>0</v>
      </c>
      <c r="M3853" t="b">
        <v>0</v>
      </c>
      <c r="N3853" t="inlineStr">
        <is>
          <t>ref</t>
        </is>
      </c>
      <c r="O3853" t="n">
        <v>75</v>
      </c>
      <c r="P3853" t="n">
        <v>0.00383</v>
      </c>
      <c r="Q3853" t="n">
        <v>60</v>
      </c>
      <c r="R3853" t="n">
        <v>0.1334</v>
      </c>
      <c r="S3853">
        <f>IMAGE("https://mitra.stanford.edu/kundaje/oak/projects/neuro-variants/variant_position/credible/roussos_2024/variant_figures/roussos_2024.childhood.GABA/rs3824232_count_position.png",4,220,900)</f>
        <v/>
      </c>
      <c r="T3853">
        <f>IMAGE("https://mitra.stanford.edu/kundaje/oak/projects/neuro-variants/variant_position/credible/roussos_2024/variant_figures/roussos_2024.childhood.GABA/rs3824232_profile_position.png",4,220,900)</f>
        <v/>
      </c>
    </row>
    <row r="3854">
      <c r="A3854" t="inlineStr">
        <is>
          <t>chr8</t>
        </is>
      </c>
      <c r="B3854" t="n">
        <v>27389331</v>
      </c>
      <c r="C3854" t="inlineStr">
        <is>
          <t>A</t>
        </is>
      </c>
      <c r="D3854" t="inlineStr">
        <is>
          <t>C</t>
        </is>
      </c>
      <c r="E3854" t="inlineStr">
        <is>
          <t>rs56085315</t>
        </is>
      </c>
      <c r="F3854" t="n">
        <v>0.0978061711999999</v>
      </c>
      <c r="G3854" t="n">
        <v>0.0342525071767472</v>
      </c>
      <c r="H3854" t="n">
        <v>0.0148836745387397</v>
      </c>
      <c r="I3854" t="n">
        <v>0.2338930826639232</v>
      </c>
      <c r="J3854" t="n">
        <v>0.2050459676237146</v>
      </c>
      <c r="K3854" t="n">
        <v>0.2152934618491904</v>
      </c>
      <c r="L3854" t="b">
        <v>0</v>
      </c>
      <c r="M3854" t="b">
        <v>0</v>
      </c>
      <c r="N3854" t="inlineStr">
        <is>
          <t>alt</t>
        </is>
      </c>
      <c r="O3854" t="n">
        <v>-100</v>
      </c>
      <c r="P3854" t="n">
        <v>0.003159</v>
      </c>
      <c r="Q3854" t="n">
        <v>100</v>
      </c>
      <c r="R3854" t="n">
        <v>0.1316</v>
      </c>
      <c r="S3854">
        <f>IMAGE("https://mitra.stanford.edu/kundaje/oak/projects/neuro-variants/variant_position/credible/roussos_2024/variant_figures/roussos_2024.childhood.GABA/rs56085315_count_position.png",4,220,900)</f>
        <v/>
      </c>
      <c r="T3854">
        <f>IMAGE("https://mitra.stanford.edu/kundaje/oak/projects/neuro-variants/variant_position/credible/roussos_2024/variant_figures/roussos_2024.childhood.GABA/rs56085315_profile_position.png",4,220,900)</f>
        <v/>
      </c>
    </row>
    <row r="3855">
      <c r="A3855" t="inlineStr">
        <is>
          <t>chr8</t>
        </is>
      </c>
      <c r="B3855" t="n">
        <v>27411233</v>
      </c>
      <c r="C3855" t="inlineStr">
        <is>
          <t>T</t>
        </is>
      </c>
      <c r="D3855" t="inlineStr">
        <is>
          <t>C</t>
        </is>
      </c>
      <c r="E3855" t="inlineStr">
        <is>
          <t>rs3757908</t>
        </is>
      </c>
      <c r="F3855" t="n">
        <v>-0.0572081892</v>
      </c>
      <c r="G3855" t="n">
        <v>0.1192765963530248</v>
      </c>
      <c r="H3855" t="n">
        <v>0.0173152048681091</v>
      </c>
      <c r="I3855" t="n">
        <v>0.1400179611191175</v>
      </c>
      <c r="J3855" t="n">
        <v>0.0576207828108311</v>
      </c>
      <c r="K3855" t="n">
        <v>0.4758558282551599</v>
      </c>
      <c r="L3855" t="b">
        <v>0</v>
      </c>
      <c r="M3855" t="b">
        <v>0</v>
      </c>
      <c r="N3855" t="inlineStr">
        <is>
          <t>ref</t>
        </is>
      </c>
      <c r="O3855" t="n">
        <v>-70</v>
      </c>
      <c r="P3855" t="n">
        <v>0.01204</v>
      </c>
      <c r="Q3855" t="n">
        <v>-60</v>
      </c>
      <c r="R3855" t="n">
        <v>0.03247</v>
      </c>
      <c r="S3855">
        <f>IMAGE("https://mitra.stanford.edu/kundaje/oak/projects/neuro-variants/variant_position/credible/roussos_2024/variant_figures/roussos_2024.childhood.GABA/rs3757908_count_position.png",4,220,900)</f>
        <v/>
      </c>
      <c r="T3855">
        <f>IMAGE("https://mitra.stanford.edu/kundaje/oak/projects/neuro-variants/variant_position/credible/roussos_2024/variant_figures/roussos_2024.childhood.GABA/rs3757908_profile_position.png",4,220,900)</f>
        <v/>
      </c>
    </row>
    <row r="3856">
      <c r="A3856" t="inlineStr">
        <is>
          <t>chr8</t>
        </is>
      </c>
      <c r="B3856" t="n">
        <v>27436348</v>
      </c>
      <c r="C3856" t="inlineStr">
        <is>
          <t>C</t>
        </is>
      </c>
      <c r="D3856" t="inlineStr">
        <is>
          <t>T</t>
        </is>
      </c>
      <c r="E3856" t="inlineStr">
        <is>
          <t>rs7005936</t>
        </is>
      </c>
      <c r="F3856" t="n">
        <v>-0.0810031494</v>
      </c>
      <c r="G3856" t="n">
        <v>0.0524281961753893</v>
      </c>
      <c r="H3856" t="n">
        <v>0.0206161909162544</v>
      </c>
      <c r="I3856" t="n">
        <v>0.0673400247368347</v>
      </c>
      <c r="J3856" t="n">
        <v>0.2045088060983015</v>
      </c>
      <c r="K3856" t="n">
        <v>0.2196633386162071</v>
      </c>
      <c r="L3856" t="b">
        <v>0</v>
      </c>
      <c r="M3856" t="b">
        <v>0</v>
      </c>
      <c r="N3856" t="inlineStr">
        <is>
          <t>ref</t>
        </is>
      </c>
      <c r="O3856" t="n">
        <v>65</v>
      </c>
      <c r="P3856" t="n">
        <v>0.001779</v>
      </c>
      <c r="Q3856" t="n">
        <v>-60</v>
      </c>
      <c r="R3856" t="n">
        <v>0.0303</v>
      </c>
      <c r="S3856">
        <f>IMAGE("https://mitra.stanford.edu/kundaje/oak/projects/neuro-variants/variant_position/credible/roussos_2024/variant_figures/roussos_2024.childhood.GABA/rs7005936_count_position.png",4,220,900)</f>
        <v/>
      </c>
      <c r="T3856">
        <f>IMAGE("https://mitra.stanford.edu/kundaje/oak/projects/neuro-variants/variant_position/credible/roussos_2024/variant_figures/roussos_2024.childhood.GABA/rs7005936_profile_position.png",4,220,900)</f>
        <v/>
      </c>
    </row>
    <row r="3857">
      <c r="A3857" t="inlineStr">
        <is>
          <t>chr8</t>
        </is>
      </c>
      <c r="B3857" t="n">
        <v>27451822</v>
      </c>
      <c r="C3857" t="inlineStr">
        <is>
          <t>T</t>
        </is>
      </c>
      <c r="D3857" t="inlineStr">
        <is>
          <t>C</t>
        </is>
      </c>
      <c r="E3857" t="inlineStr">
        <is>
          <t>rs1106359</t>
        </is>
      </c>
      <c r="F3857" t="n">
        <v>0.0736237802</v>
      </c>
      <c r="G3857" t="n">
        <v>0.069239371605226</v>
      </c>
      <c r="H3857" t="n">
        <v>0.0152748573541765</v>
      </c>
      <c r="I3857" t="n">
        <v>0.2132329378661981</v>
      </c>
      <c r="J3857" t="n">
        <v>0.5130625536637976</v>
      </c>
      <c r="K3857" t="n">
        <v>0.0483385027631729</v>
      </c>
      <c r="L3857" t="b">
        <v>0</v>
      </c>
      <c r="M3857" t="b">
        <v>0</v>
      </c>
      <c r="N3857" t="inlineStr">
        <is>
          <t>alt</t>
        </is>
      </c>
      <c r="O3857" t="n">
        <v>-80</v>
      </c>
      <c r="P3857" t="n">
        <v>0.005005</v>
      </c>
      <c r="Q3857" t="n">
        <v>-95</v>
      </c>
      <c r="R3857" t="n">
        <v>0.1345</v>
      </c>
      <c r="S3857">
        <f>IMAGE("https://mitra.stanford.edu/kundaje/oak/projects/neuro-variants/variant_position/credible/roussos_2024/variant_figures/roussos_2024.childhood.GABA/rs1106359_count_position.png",4,220,900)</f>
        <v/>
      </c>
      <c r="T3857">
        <f>IMAGE("https://mitra.stanford.edu/kundaje/oak/projects/neuro-variants/variant_position/credible/roussos_2024/variant_figures/roussos_2024.childhood.GABA/rs1106359_profile_position.png",4,220,900)</f>
        <v/>
      </c>
    </row>
    <row r="3858">
      <c r="A3858" t="inlineStr">
        <is>
          <t>chr8</t>
        </is>
      </c>
      <c r="B3858" t="n">
        <v>27470504</v>
      </c>
      <c r="C3858" t="inlineStr">
        <is>
          <t>A</t>
        </is>
      </c>
      <c r="D3858" t="inlineStr">
        <is>
          <t>G</t>
        </is>
      </c>
      <c r="E3858" t="inlineStr">
        <is>
          <t>rs2565065</t>
        </is>
      </c>
      <c r="F3858" t="n">
        <v>0.0689373366</v>
      </c>
      <c r="G3858" t="n">
        <v>0.0776009294401562</v>
      </c>
      <c r="H3858" t="n">
        <v>0.0184216717225186</v>
      </c>
      <c r="I3858" t="n">
        <v>0.1047416841396239</v>
      </c>
      <c r="J3858" t="n">
        <v>0.4626301019873929</v>
      </c>
      <c r="K3858" t="n">
        <v>0.0625021322837345</v>
      </c>
      <c r="L3858" t="b">
        <v>0</v>
      </c>
      <c r="M3858" t="b">
        <v>0</v>
      </c>
      <c r="N3858" t="inlineStr">
        <is>
          <t>alt</t>
        </is>
      </c>
      <c r="O3858" t="n">
        <v>15</v>
      </c>
      <c r="P3858" t="n">
        <v>0.0006256</v>
      </c>
      <c r="Q3858" t="n">
        <v>30</v>
      </c>
      <c r="R3858" t="n">
        <v>0.02039</v>
      </c>
      <c r="S3858">
        <f>IMAGE("https://mitra.stanford.edu/kundaje/oak/projects/neuro-variants/variant_position/credible/roussos_2024/variant_figures/roussos_2024.childhood.GABA/rs2565065_count_position.png",4,220,900)</f>
        <v/>
      </c>
      <c r="T3858">
        <f>IMAGE("https://mitra.stanford.edu/kundaje/oak/projects/neuro-variants/variant_position/credible/roussos_2024/variant_figures/roussos_2024.childhood.GABA/rs2565065_profile_position.png",4,220,900)</f>
        <v/>
      </c>
    </row>
    <row r="3859">
      <c r="A3859" t="inlineStr">
        <is>
          <t>chr8</t>
        </is>
      </c>
      <c r="B3859" t="n">
        <v>27609666</v>
      </c>
      <c r="C3859" t="inlineStr">
        <is>
          <t>A</t>
        </is>
      </c>
      <c r="D3859" t="inlineStr">
        <is>
          <t>G</t>
        </is>
      </c>
      <c r="E3859" t="inlineStr">
        <is>
          <t>rs867232</t>
        </is>
      </c>
      <c r="F3859" t="n">
        <v>0.12060968428</v>
      </c>
      <c r="G3859" t="n">
        <v>0.0272964263935133</v>
      </c>
      <c r="H3859" t="n">
        <v>0.0160620460281861</v>
      </c>
      <c r="I3859" t="n">
        <v>0.177739687761975</v>
      </c>
      <c r="J3859" t="n">
        <v>0.4057004041800171</v>
      </c>
      <c r="K3859" t="n">
        <v>0.0831629815432976</v>
      </c>
      <c r="L3859" t="b">
        <v>0</v>
      </c>
      <c r="M3859" t="b">
        <v>0</v>
      </c>
      <c r="N3859" t="inlineStr">
        <is>
          <t>alt</t>
        </is>
      </c>
      <c r="O3859" t="n">
        <v>-100</v>
      </c>
      <c r="P3859" t="n">
        <v>0.01309</v>
      </c>
      <c r="Q3859" t="n">
        <v>-80</v>
      </c>
      <c r="R3859" t="n">
        <v>0.098</v>
      </c>
      <c r="S3859">
        <f>IMAGE("https://mitra.stanford.edu/kundaje/oak/projects/neuro-variants/variant_position/credible/roussos_2024/variant_figures/roussos_2024.childhood.GABA/rs867232_count_position.png",4,220,900)</f>
        <v/>
      </c>
      <c r="T3859">
        <f>IMAGE("https://mitra.stanford.edu/kundaje/oak/projects/neuro-variants/variant_position/credible/roussos_2024/variant_figures/roussos_2024.childhood.GABA/rs867232_profile_position.png",4,220,900)</f>
        <v/>
      </c>
    </row>
    <row r="3860">
      <c r="A3860" t="inlineStr">
        <is>
          <t>chr8</t>
        </is>
      </c>
      <c r="B3860" t="n">
        <v>31309506</v>
      </c>
      <c r="C3860" t="inlineStr">
        <is>
          <t>C</t>
        </is>
      </c>
      <c r="D3860" t="inlineStr">
        <is>
          <t>A</t>
        </is>
      </c>
      <c r="E3860" t="inlineStr">
        <is>
          <t>rs2881131</t>
        </is>
      </c>
      <c r="F3860" t="n">
        <v>0.008681169880000001</v>
      </c>
      <c r="G3860" t="n">
        <v>0.6424656585747466</v>
      </c>
      <c r="H3860" t="n">
        <v>0.0212028000123871</v>
      </c>
      <c r="I3860" t="n">
        <v>0.058177909443395</v>
      </c>
      <c r="J3860" t="n">
        <v>0.0020030994115306</v>
      </c>
      <c r="K3860" t="n">
        <v>0.8762166837219685</v>
      </c>
      <c r="L3860" t="b">
        <v>0</v>
      </c>
      <c r="M3860" t="b">
        <v>0</v>
      </c>
      <c r="N3860" t="inlineStr">
        <is>
          <t>alt</t>
        </is>
      </c>
      <c r="O3860" t="n">
        <v>95</v>
      </c>
      <c r="P3860" t="n">
        <v>0.002922</v>
      </c>
      <c r="Q3860" t="n">
        <v>-85</v>
      </c>
      <c r="R3860" t="n">
        <v>0.02197</v>
      </c>
      <c r="S3860">
        <f>IMAGE("https://mitra.stanford.edu/kundaje/oak/projects/neuro-variants/variant_position/credible/roussos_2024/variant_figures/roussos_2024.childhood.GABA/rs2881131_count_position.png",4,220,900)</f>
        <v/>
      </c>
      <c r="T3860">
        <f>IMAGE("https://mitra.stanford.edu/kundaje/oak/projects/neuro-variants/variant_position/credible/roussos_2024/variant_figures/roussos_2024.childhood.GABA/rs2881131_profile_position.png",4,220,900)</f>
        <v/>
      </c>
    </row>
    <row r="3861">
      <c r="A3861" t="inlineStr">
        <is>
          <t>chr8</t>
        </is>
      </c>
      <c r="B3861" t="n">
        <v>31323887</v>
      </c>
      <c r="C3861" t="inlineStr">
        <is>
          <t>C</t>
        </is>
      </c>
      <c r="D3861" t="inlineStr">
        <is>
          <t>T</t>
        </is>
      </c>
      <c r="E3861" t="inlineStr">
        <is>
          <t>rs2575065</t>
        </is>
      </c>
      <c r="F3861" t="n">
        <v>0.0035514814999999</v>
      </c>
      <c r="G3861" t="n">
        <v>0.5584175011911479</v>
      </c>
      <c r="H3861" t="n">
        <v>0.0101641137880254</v>
      </c>
      <c r="I3861" t="n">
        <v>0.6262515912869495</v>
      </c>
      <c r="J3861" t="n">
        <v>0.0167389164624824</v>
      </c>
      <c r="K3861" t="n">
        <v>0.6714773264240912</v>
      </c>
      <c r="L3861" t="b">
        <v>0</v>
      </c>
      <c r="M3861" t="b">
        <v>0</v>
      </c>
      <c r="N3861" t="inlineStr">
        <is>
          <t>alt</t>
        </is>
      </c>
      <c r="O3861" t="n">
        <v>95</v>
      </c>
      <c r="P3861" t="n">
        <v>0.01267</v>
      </c>
      <c r="Q3861" t="n">
        <v>0</v>
      </c>
      <c r="R3861" t="n">
        <v>0</v>
      </c>
      <c r="S3861">
        <f>IMAGE("https://mitra.stanford.edu/kundaje/oak/projects/neuro-variants/variant_position/credible/roussos_2024/variant_figures/roussos_2024.childhood.GABA/rs2575065_count_position.png",4,220,900)</f>
        <v/>
      </c>
      <c r="T3861">
        <f>IMAGE("https://mitra.stanford.edu/kundaje/oak/projects/neuro-variants/variant_position/credible/roussos_2024/variant_figures/roussos_2024.childhood.GABA/rs2575065_profile_position.png",4,220,900)</f>
        <v/>
      </c>
    </row>
    <row r="3862">
      <c r="A3862" t="inlineStr">
        <is>
          <t>chr8</t>
        </is>
      </c>
      <c r="B3862" t="n">
        <v>31486293</v>
      </c>
      <c r="C3862" t="inlineStr">
        <is>
          <t>A</t>
        </is>
      </c>
      <c r="D3862" t="inlineStr">
        <is>
          <t>G</t>
        </is>
      </c>
      <c r="E3862" t="inlineStr">
        <is>
          <t>rs77184019</t>
        </is>
      </c>
      <c r="F3862" t="n">
        <v>0.0365489232</v>
      </c>
      <c r="G3862" t="n">
        <v>0.2452897663466729</v>
      </c>
      <c r="H3862" t="n">
        <v>0.0206659495913809</v>
      </c>
      <c r="I3862" t="n">
        <v>0.06510674763925529</v>
      </c>
      <c r="J3862" t="n">
        <v>0.0206278402546543</v>
      </c>
      <c r="K3862" t="n">
        <v>0.6446015158175341</v>
      </c>
      <c r="L3862" t="b">
        <v>0</v>
      </c>
      <c r="M3862" t="b">
        <v>0</v>
      </c>
      <c r="N3862" t="inlineStr">
        <is>
          <t>alt</t>
        </is>
      </c>
      <c r="O3862" t="n">
        <v>-35</v>
      </c>
      <c r="P3862" t="n">
        <v>0.001034</v>
      </c>
      <c r="Q3862" t="n">
        <v>-35</v>
      </c>
      <c r="R3862" t="n">
        <v>0.02289</v>
      </c>
      <c r="S3862">
        <f>IMAGE("https://mitra.stanford.edu/kundaje/oak/projects/neuro-variants/variant_position/credible/roussos_2024/variant_figures/roussos_2024.childhood.GABA/rs77184019_count_position.png",4,220,900)</f>
        <v/>
      </c>
      <c r="T3862">
        <f>IMAGE("https://mitra.stanford.edu/kundaje/oak/projects/neuro-variants/variant_position/credible/roussos_2024/variant_figures/roussos_2024.childhood.GABA/rs77184019_profile_position.png",4,220,900)</f>
        <v/>
      </c>
    </row>
    <row r="3863">
      <c r="A3863" t="inlineStr">
        <is>
          <t>chr8</t>
        </is>
      </c>
      <c r="B3863" t="n">
        <v>31495971</v>
      </c>
      <c r="C3863" t="inlineStr">
        <is>
          <t>C</t>
        </is>
      </c>
      <c r="D3863" t="inlineStr">
        <is>
          <t>T</t>
        </is>
      </c>
      <c r="E3863" t="inlineStr">
        <is>
          <t>rs2716947</t>
        </is>
      </c>
      <c r="F3863" t="n">
        <v>-0.0356808924</v>
      </c>
      <c r="G3863" t="n">
        <v>0.2376922775450617</v>
      </c>
      <c r="H3863" t="n">
        <v>0.0101362176343337</v>
      </c>
      <c r="I3863" t="n">
        <v>0.6007258367125128</v>
      </c>
      <c r="J3863" t="n">
        <v>0.0080207744340432</v>
      </c>
      <c r="K3863" t="n">
        <v>0.7644188078488119</v>
      </c>
      <c r="L3863" t="b">
        <v>0</v>
      </c>
      <c r="M3863" t="b">
        <v>0</v>
      </c>
      <c r="N3863" t="inlineStr">
        <is>
          <t>ref</t>
        </is>
      </c>
      <c r="O3863" t="n">
        <v>100</v>
      </c>
      <c r="P3863" t="n">
        <v>0.008240000000000001</v>
      </c>
      <c r="Q3863" t="n">
        <v>-65</v>
      </c>
      <c r="R3863" t="n">
        <v>0.01308</v>
      </c>
      <c r="S3863">
        <f>IMAGE("https://mitra.stanford.edu/kundaje/oak/projects/neuro-variants/variant_position/credible/roussos_2024/variant_figures/roussos_2024.childhood.GABA/rs2716947_count_position.png",4,220,900)</f>
        <v/>
      </c>
      <c r="T3863">
        <f>IMAGE("https://mitra.stanford.edu/kundaje/oak/projects/neuro-variants/variant_position/credible/roussos_2024/variant_figures/roussos_2024.childhood.GABA/rs2716947_profile_position.png",4,220,900)</f>
        <v/>
      </c>
    </row>
    <row r="3864">
      <c r="A3864" t="inlineStr">
        <is>
          <t>chr8</t>
        </is>
      </c>
      <c r="B3864" t="n">
        <v>31496226</v>
      </c>
      <c r="C3864" t="inlineStr">
        <is>
          <t>C</t>
        </is>
      </c>
      <c r="D3864" t="inlineStr">
        <is>
          <t>T</t>
        </is>
      </c>
      <c r="E3864" t="inlineStr">
        <is>
          <t>rs2681614</t>
        </is>
      </c>
      <c r="F3864" t="n">
        <v>-0.0053456558799999</v>
      </c>
      <c r="G3864" t="n">
        <v>0.6108809823249792</v>
      </c>
      <c r="H3864" t="n">
        <v>0.0183123691314324</v>
      </c>
      <c r="I3864" t="n">
        <v>0.108954695931195</v>
      </c>
      <c r="J3864" t="n">
        <v>0.0055182090427425</v>
      </c>
      <c r="K3864" t="n">
        <v>0.8030056296298826</v>
      </c>
      <c r="L3864" t="b">
        <v>0</v>
      </c>
      <c r="M3864" t="b">
        <v>0</v>
      </c>
      <c r="N3864" t="inlineStr">
        <is>
          <t>ref</t>
        </is>
      </c>
      <c r="O3864" t="n">
        <v>30</v>
      </c>
      <c r="P3864" t="n">
        <v>0.001959</v>
      </c>
      <c r="Q3864" t="n">
        <v>100</v>
      </c>
      <c r="R3864" t="n">
        <v>0.08923</v>
      </c>
      <c r="S3864">
        <f>IMAGE("https://mitra.stanford.edu/kundaje/oak/projects/neuro-variants/variant_position/credible/roussos_2024/variant_figures/roussos_2024.childhood.GABA/rs2681614_count_position.png",4,220,900)</f>
        <v/>
      </c>
      <c r="T3864">
        <f>IMAGE("https://mitra.stanford.edu/kundaje/oak/projects/neuro-variants/variant_position/credible/roussos_2024/variant_figures/roussos_2024.childhood.GABA/rs2681614_profile_position.png",4,220,900)</f>
        <v/>
      </c>
    </row>
    <row r="3865">
      <c r="A3865" t="inlineStr">
        <is>
          <t>chr8</t>
        </is>
      </c>
      <c r="B3865" t="n">
        <v>31498581</v>
      </c>
      <c r="C3865" t="inlineStr">
        <is>
          <t>A</t>
        </is>
      </c>
      <c r="D3865" t="inlineStr">
        <is>
          <t>T</t>
        </is>
      </c>
      <c r="E3865" t="inlineStr">
        <is>
          <t>rs2716966</t>
        </is>
      </c>
      <c r="F3865" t="n">
        <v>-0.0033993744799999</v>
      </c>
      <c r="G3865" t="n">
        <v>0.7733706018757377</v>
      </c>
      <c r="H3865" t="n">
        <v>0.0275149825723472</v>
      </c>
      <c r="I3865" t="n">
        <v>0.0185035968366948</v>
      </c>
      <c r="J3865" t="n">
        <v>1.675357584134364e-05</v>
      </c>
      <c r="K3865" t="n">
        <v>0.9997192446320968</v>
      </c>
      <c r="L3865" t="b">
        <v>0</v>
      </c>
      <c r="M3865" t="b">
        <v>0</v>
      </c>
      <c r="N3865" t="inlineStr">
        <is>
          <t>ref</t>
        </is>
      </c>
      <c r="O3865" t="n">
        <v>40</v>
      </c>
      <c r="P3865" t="n">
        <v>0.002274</v>
      </c>
      <c r="Q3865" t="n">
        <v>-95</v>
      </c>
      <c r="R3865" t="n">
        <v>0.02417</v>
      </c>
      <c r="S3865">
        <f>IMAGE("https://mitra.stanford.edu/kundaje/oak/projects/neuro-variants/variant_position/credible/roussos_2024/variant_figures/roussos_2024.childhood.GABA/rs2716966_count_position.png",4,220,900)</f>
        <v/>
      </c>
      <c r="T3865">
        <f>IMAGE("https://mitra.stanford.edu/kundaje/oak/projects/neuro-variants/variant_position/credible/roussos_2024/variant_figures/roussos_2024.childhood.GABA/rs2716966_profile_position.png",4,220,900)</f>
        <v/>
      </c>
    </row>
    <row r="3866">
      <c r="A3866" t="inlineStr">
        <is>
          <t>chr8</t>
        </is>
      </c>
      <c r="B3866" t="n">
        <v>31502298</v>
      </c>
      <c r="C3866" t="inlineStr">
        <is>
          <t>T</t>
        </is>
      </c>
      <c r="D3866" t="inlineStr">
        <is>
          <t>G</t>
        </is>
      </c>
      <c r="E3866" t="inlineStr">
        <is>
          <t>rs4376462</t>
        </is>
      </c>
      <c r="F3866" t="n">
        <v>0.0045739093999999</v>
      </c>
      <c r="G3866" t="n">
        <v>0.5104657561870541</v>
      </c>
      <c r="H3866" t="n">
        <v>0.0192395221664916</v>
      </c>
      <c r="I3866" t="n">
        <v>0.08750519097286689</v>
      </c>
      <c r="J3866" t="n">
        <v>0.0018062448953947</v>
      </c>
      <c r="K3866" t="n">
        <v>0.8840273674152901</v>
      </c>
      <c r="L3866" t="b">
        <v>0</v>
      </c>
      <c r="M3866" t="b">
        <v>0</v>
      </c>
      <c r="N3866" t="inlineStr">
        <is>
          <t>alt</t>
        </is>
      </c>
      <c r="O3866" t="n">
        <v>-75</v>
      </c>
      <c r="P3866" t="n">
        <v>0.010544</v>
      </c>
      <c r="Q3866" t="n">
        <v>100</v>
      </c>
      <c r="R3866" t="n">
        <v>0.0643</v>
      </c>
      <c r="S3866">
        <f>IMAGE("https://mitra.stanford.edu/kundaje/oak/projects/neuro-variants/variant_position/credible/roussos_2024/variant_figures/roussos_2024.childhood.GABA/rs4376462_count_position.png",4,220,900)</f>
        <v/>
      </c>
      <c r="T3866">
        <f>IMAGE("https://mitra.stanford.edu/kundaje/oak/projects/neuro-variants/variant_position/credible/roussos_2024/variant_figures/roussos_2024.childhood.GABA/rs4376462_profile_position.png",4,220,900)</f>
        <v/>
      </c>
    </row>
    <row r="3867">
      <c r="A3867" t="inlineStr">
        <is>
          <t>chr8</t>
        </is>
      </c>
      <c r="B3867" t="n">
        <v>31512712</v>
      </c>
      <c r="C3867" t="inlineStr">
        <is>
          <t>G</t>
        </is>
      </c>
      <c r="D3867" t="inlineStr">
        <is>
          <t>T</t>
        </is>
      </c>
      <c r="E3867" t="inlineStr">
        <is>
          <t>rs13251167</t>
        </is>
      </c>
      <c r="F3867" t="n">
        <v>-0.0569396575999999</v>
      </c>
      <c r="G3867" t="n">
        <v>0.116828579775596</v>
      </c>
      <c r="H3867" t="n">
        <v>0.02576279447595</v>
      </c>
      <c r="I3867" t="n">
        <v>0.0246825764502459</v>
      </c>
      <c r="J3867" t="n">
        <v>0.0012209168394378</v>
      </c>
      <c r="K3867" t="n">
        <v>0.9110099850141316</v>
      </c>
      <c r="L3867" t="b">
        <v>0</v>
      </c>
      <c r="M3867" t="b">
        <v>0</v>
      </c>
      <c r="N3867" t="inlineStr">
        <is>
          <t>ref</t>
        </is>
      </c>
      <c r="O3867" t="n">
        <v>55</v>
      </c>
      <c r="P3867" t="n">
        <v>0.00821</v>
      </c>
      <c r="Q3867" t="n">
        <v>95</v>
      </c>
      <c r="R3867" t="n">
        <v>0.0334</v>
      </c>
      <c r="S3867">
        <f>IMAGE("https://mitra.stanford.edu/kundaje/oak/projects/neuro-variants/variant_position/credible/roussos_2024/variant_figures/roussos_2024.childhood.GABA/rs13251167_count_position.png",4,220,900)</f>
        <v/>
      </c>
      <c r="T3867">
        <f>IMAGE("https://mitra.stanford.edu/kundaje/oak/projects/neuro-variants/variant_position/credible/roussos_2024/variant_figures/roussos_2024.childhood.GABA/rs13251167_profile_position.png",4,220,900)</f>
        <v/>
      </c>
    </row>
    <row r="3868">
      <c r="A3868" t="inlineStr">
        <is>
          <t>chr8</t>
        </is>
      </c>
      <c r="B3868" t="n">
        <v>34277580</v>
      </c>
      <c r="C3868" t="inlineStr">
        <is>
          <t>G</t>
        </is>
      </c>
      <c r="D3868" t="inlineStr">
        <is>
          <t>A</t>
        </is>
      </c>
      <c r="E3868" t="inlineStr">
        <is>
          <t>rs4739486</t>
        </is>
      </c>
      <c r="F3868" t="n">
        <v>-0.008110028694</v>
      </c>
      <c r="G3868" t="n">
        <v>0.7124533282239373</v>
      </c>
      <c r="H3868" t="n">
        <v>0.008230842772586899</v>
      </c>
      <c r="I3868" t="n">
        <v>0.8287644908931802</v>
      </c>
      <c r="J3868" t="n">
        <v>4.188393960335909e-05</v>
      </c>
      <c r="K3868" t="n">
        <v>0.9882497072388452</v>
      </c>
      <c r="L3868" t="b">
        <v>0</v>
      </c>
      <c r="M3868" t="b">
        <v>0</v>
      </c>
      <c r="N3868" t="inlineStr">
        <is>
          <t>ref</t>
        </is>
      </c>
      <c r="O3868" t="n">
        <v>-100</v>
      </c>
      <c r="P3868" t="n">
        <v>0.004597</v>
      </c>
      <c r="Q3868" t="n">
        <v>-95</v>
      </c>
      <c r="R3868" t="n">
        <v>0.06183</v>
      </c>
      <c r="S3868">
        <f>IMAGE("https://mitra.stanford.edu/kundaje/oak/projects/neuro-variants/variant_position/credible/roussos_2024/variant_figures/roussos_2024.childhood.GABA/rs4739486_count_position.png",4,220,900)</f>
        <v/>
      </c>
      <c r="T3868">
        <f>IMAGE("https://mitra.stanford.edu/kundaje/oak/projects/neuro-variants/variant_position/credible/roussos_2024/variant_figures/roussos_2024.childhood.GABA/rs4739486_profile_position.png",4,220,900)</f>
        <v/>
      </c>
    </row>
    <row r="3869">
      <c r="A3869" t="inlineStr">
        <is>
          <t>chr8</t>
        </is>
      </c>
      <c r="B3869" t="n">
        <v>34283979</v>
      </c>
      <c r="C3869" t="inlineStr">
        <is>
          <t>T</t>
        </is>
      </c>
      <c r="D3869" t="inlineStr">
        <is>
          <t>C</t>
        </is>
      </c>
      <c r="E3869" t="inlineStr">
        <is>
          <t>rs4483152</t>
        </is>
      </c>
      <c r="F3869" t="n">
        <v>0.0558560433999999</v>
      </c>
      <c r="G3869" t="n">
        <v>0.1162168097110524</v>
      </c>
      <c r="H3869" t="n">
        <v>0.0103637004416877</v>
      </c>
      <c r="I3869" t="n">
        <v>0.5823704309099319</v>
      </c>
      <c r="J3869" t="n">
        <v>0.0065611191388661</v>
      </c>
      <c r="K3869" t="n">
        <v>0.7911584495376538</v>
      </c>
      <c r="L3869" t="b">
        <v>0</v>
      </c>
      <c r="M3869" t="b">
        <v>0</v>
      </c>
      <c r="N3869" t="inlineStr">
        <is>
          <t>alt</t>
        </is>
      </c>
      <c r="O3869" t="n">
        <v>-60</v>
      </c>
      <c r="P3869" t="n">
        <v>0.004555</v>
      </c>
      <c r="Q3869" t="n">
        <v>-45</v>
      </c>
      <c r="R3869" t="n">
        <v>0.05847</v>
      </c>
      <c r="S3869">
        <f>IMAGE("https://mitra.stanford.edu/kundaje/oak/projects/neuro-variants/variant_position/credible/roussos_2024/variant_figures/roussos_2024.childhood.GABA/rs4483152_count_position.png",4,220,900)</f>
        <v/>
      </c>
      <c r="T3869">
        <f>IMAGE("https://mitra.stanford.edu/kundaje/oak/projects/neuro-variants/variant_position/credible/roussos_2024/variant_figures/roussos_2024.childhood.GABA/rs4483152_profile_position.png",4,220,900)</f>
        <v/>
      </c>
    </row>
    <row r="3870">
      <c r="A3870" t="inlineStr">
        <is>
          <t>chr8</t>
        </is>
      </c>
      <c r="B3870" t="n">
        <v>34287962</v>
      </c>
      <c r="C3870" t="inlineStr">
        <is>
          <t>T</t>
        </is>
      </c>
      <c r="D3870" t="inlineStr">
        <is>
          <t>C</t>
        </is>
      </c>
      <c r="E3870" t="inlineStr">
        <is>
          <t>rs2953935</t>
        </is>
      </c>
      <c r="F3870" t="n">
        <v>0.1069242963999999</v>
      </c>
      <c r="G3870" t="n">
        <v>0.026146844662368</v>
      </c>
      <c r="H3870" t="n">
        <v>0.0271350112979616</v>
      </c>
      <c r="I3870" t="n">
        <v>0.0211090796869443</v>
      </c>
      <c r="J3870" t="n">
        <v>0.0161127515654122</v>
      </c>
      <c r="K3870" t="n">
        <v>0.6774900204811508</v>
      </c>
      <c r="L3870" t="b">
        <v>0</v>
      </c>
      <c r="M3870" t="b">
        <v>0</v>
      </c>
      <c r="N3870" t="inlineStr">
        <is>
          <t>alt</t>
        </is>
      </c>
      <c r="O3870" t="n">
        <v>-100</v>
      </c>
      <c r="P3870" t="n">
        <v>0.004425</v>
      </c>
      <c r="Q3870" t="n">
        <v>35</v>
      </c>
      <c r="R3870" t="n">
        <v>0.01685</v>
      </c>
      <c r="S3870">
        <f>IMAGE("https://mitra.stanford.edu/kundaje/oak/projects/neuro-variants/variant_position/credible/roussos_2024/variant_figures/roussos_2024.childhood.GABA/rs2953935_count_position.png",4,220,900)</f>
        <v/>
      </c>
      <c r="T3870">
        <f>IMAGE("https://mitra.stanford.edu/kundaje/oak/projects/neuro-variants/variant_position/credible/roussos_2024/variant_figures/roussos_2024.childhood.GABA/rs2953935_profile_position.png",4,220,900)</f>
        <v/>
      </c>
    </row>
    <row r="3871">
      <c r="A3871" t="inlineStr">
        <is>
          <t>chr8</t>
        </is>
      </c>
      <c r="B3871" t="n">
        <v>34292544</v>
      </c>
      <c r="C3871" t="inlineStr">
        <is>
          <t>C</t>
        </is>
      </c>
      <c r="D3871" t="inlineStr">
        <is>
          <t>A</t>
        </is>
      </c>
      <c r="E3871" t="inlineStr">
        <is>
          <t>rs79845297</t>
        </is>
      </c>
      <c r="F3871" t="n">
        <v>-0.04022592</v>
      </c>
      <c r="G3871" t="n">
        <v>0.2113812519081176</v>
      </c>
      <c r="H3871" t="n">
        <v>0.0115542899981778</v>
      </c>
      <c r="I3871" t="n">
        <v>0.4765468772399063</v>
      </c>
      <c r="J3871" t="n">
        <v>0.0222477016188142</v>
      </c>
      <c r="K3871" t="n">
        <v>0.6375146524178219</v>
      </c>
      <c r="L3871" t="b">
        <v>0</v>
      </c>
      <c r="M3871" t="b">
        <v>0</v>
      </c>
      <c r="N3871" t="inlineStr">
        <is>
          <t>ref</t>
        </is>
      </c>
      <c r="O3871" t="n">
        <v>80</v>
      </c>
      <c r="P3871" t="n">
        <v>0.000572</v>
      </c>
      <c r="Q3871" t="n">
        <v>100</v>
      </c>
      <c r="R3871" t="n">
        <v>0.00238</v>
      </c>
      <c r="S3871">
        <f>IMAGE("https://mitra.stanford.edu/kundaje/oak/projects/neuro-variants/variant_position/credible/roussos_2024/variant_figures/roussos_2024.childhood.GABA/rs79845297_count_position.png",4,220,900)</f>
        <v/>
      </c>
      <c r="T3871">
        <f>IMAGE("https://mitra.stanford.edu/kundaje/oak/projects/neuro-variants/variant_position/credible/roussos_2024/variant_figures/roussos_2024.childhood.GABA/rs79845297_profile_position.png",4,220,900)</f>
        <v/>
      </c>
    </row>
    <row r="3872">
      <c r="A3872" t="inlineStr">
        <is>
          <t>chr8</t>
        </is>
      </c>
      <c r="B3872" t="n">
        <v>34313594</v>
      </c>
      <c r="C3872" t="inlineStr">
        <is>
          <t>C</t>
        </is>
      </c>
      <c r="D3872" t="inlineStr">
        <is>
          <t>T</t>
        </is>
      </c>
      <c r="E3872" t="inlineStr">
        <is>
          <t>rs2609620</t>
        </is>
      </c>
      <c r="F3872" t="n">
        <v>-0.0838469214</v>
      </c>
      <c r="G3872" t="n">
        <v>0.052750365081676</v>
      </c>
      <c r="H3872" t="n">
        <v>0.0226183884811783</v>
      </c>
      <c r="I3872" t="n">
        <v>0.0497104707219618</v>
      </c>
      <c r="J3872" t="n">
        <v>0.0018858243806411</v>
      </c>
      <c r="K3872" t="n">
        <v>0.8941940651300012</v>
      </c>
      <c r="L3872" t="b">
        <v>0</v>
      </c>
      <c r="M3872" t="b">
        <v>0</v>
      </c>
      <c r="N3872" t="inlineStr">
        <is>
          <t>ref</t>
        </is>
      </c>
      <c r="O3872" t="n">
        <v>-40</v>
      </c>
      <c r="P3872" t="n">
        <v>0.0004568</v>
      </c>
      <c r="Q3872" t="n">
        <v>-15</v>
      </c>
      <c r="R3872" t="n">
        <v>0.03122</v>
      </c>
      <c r="S3872">
        <f>IMAGE("https://mitra.stanford.edu/kundaje/oak/projects/neuro-variants/variant_position/credible/roussos_2024/variant_figures/roussos_2024.childhood.GABA/rs2609620_count_position.png",4,220,900)</f>
        <v/>
      </c>
      <c r="T3872">
        <f>IMAGE("https://mitra.stanford.edu/kundaje/oak/projects/neuro-variants/variant_position/credible/roussos_2024/variant_figures/roussos_2024.childhood.GABA/rs2609620_profile_position.png",4,220,900)</f>
        <v/>
      </c>
    </row>
    <row r="3873">
      <c r="A3873" t="inlineStr">
        <is>
          <t>chr8</t>
        </is>
      </c>
      <c r="B3873" t="n">
        <v>34318913</v>
      </c>
      <c r="C3873" t="inlineStr">
        <is>
          <t>G</t>
        </is>
      </c>
      <c r="D3873" t="inlineStr">
        <is>
          <t>A</t>
        </is>
      </c>
      <c r="E3873" t="inlineStr">
        <is>
          <t>rs2609622</t>
        </is>
      </c>
      <c r="F3873" t="n">
        <v>0.03770678392</v>
      </c>
      <c r="G3873" t="n">
        <v>0.2242358951616753</v>
      </c>
      <c r="H3873" t="n">
        <v>0.0124630016775575</v>
      </c>
      <c r="I3873" t="n">
        <v>0.39561270437378</v>
      </c>
      <c r="J3873" t="n">
        <v>0.0820946158195639</v>
      </c>
      <c r="K3873" t="n">
        <v>0.3935199500935418</v>
      </c>
      <c r="L3873" t="b">
        <v>0</v>
      </c>
      <c r="M3873" t="b">
        <v>0</v>
      </c>
      <c r="N3873" t="inlineStr">
        <is>
          <t>alt</t>
        </is>
      </c>
      <c r="O3873" t="n">
        <v>-100</v>
      </c>
      <c r="P3873" t="n">
        <v>0.04077</v>
      </c>
      <c r="Q3873" t="n">
        <v>40</v>
      </c>
      <c r="R3873" t="n">
        <v>0.02905</v>
      </c>
      <c r="S3873">
        <f>IMAGE("https://mitra.stanford.edu/kundaje/oak/projects/neuro-variants/variant_position/credible/roussos_2024/variant_figures/roussos_2024.childhood.GABA/rs2609622_count_position.png",4,220,900)</f>
        <v/>
      </c>
      <c r="T3873">
        <f>IMAGE("https://mitra.stanford.edu/kundaje/oak/projects/neuro-variants/variant_position/credible/roussos_2024/variant_figures/roussos_2024.childhood.GABA/rs2609622_profile_position.png",4,220,900)</f>
        <v/>
      </c>
    </row>
    <row r="3874">
      <c r="A3874" t="inlineStr">
        <is>
          <t>chr8</t>
        </is>
      </c>
      <c r="B3874" t="n">
        <v>34328025</v>
      </c>
      <c r="C3874" t="inlineStr">
        <is>
          <t>G</t>
        </is>
      </c>
      <c r="D3874" t="inlineStr">
        <is>
          <t>T</t>
        </is>
      </c>
      <c r="E3874" t="inlineStr">
        <is>
          <t>rs2719322</t>
        </is>
      </c>
      <c r="F3874" t="n">
        <v>0.0393428391</v>
      </c>
      <c r="G3874" t="n">
        <v>0.2124552041039546</v>
      </c>
      <c r="H3874" t="n">
        <v>0.020221773339649</v>
      </c>
      <c r="I3874" t="n">
        <v>0.0791194684574007</v>
      </c>
      <c r="J3874" t="n">
        <v>0.0175724068605892</v>
      </c>
      <c r="K3874" t="n">
        <v>0.6741078460175357</v>
      </c>
      <c r="L3874" t="b">
        <v>0</v>
      </c>
      <c r="M3874" t="b">
        <v>0</v>
      </c>
      <c r="N3874" t="inlineStr">
        <is>
          <t>alt</t>
        </is>
      </c>
      <c r="O3874" t="n">
        <v>-95</v>
      </c>
      <c r="P3874" t="n">
        <v>0.01363</v>
      </c>
      <c r="Q3874" t="n">
        <v>-40</v>
      </c>
      <c r="R3874" t="n">
        <v>0.07969999999999999</v>
      </c>
      <c r="S3874">
        <f>IMAGE("https://mitra.stanford.edu/kundaje/oak/projects/neuro-variants/variant_position/credible/roussos_2024/variant_figures/roussos_2024.childhood.GABA/rs2719322_count_position.png",4,220,900)</f>
        <v/>
      </c>
      <c r="T3874">
        <f>IMAGE("https://mitra.stanford.edu/kundaje/oak/projects/neuro-variants/variant_position/credible/roussos_2024/variant_figures/roussos_2024.childhood.GABA/rs2719322_profile_position.png",4,220,900)</f>
        <v/>
      </c>
    </row>
    <row r="3875">
      <c r="A3875" t="inlineStr">
        <is>
          <t>chr8</t>
        </is>
      </c>
      <c r="B3875" t="n">
        <v>34336194</v>
      </c>
      <c r="C3875" t="inlineStr">
        <is>
          <t>G</t>
        </is>
      </c>
      <c r="D3875" t="inlineStr">
        <is>
          <t>A</t>
        </is>
      </c>
      <c r="E3875" t="inlineStr">
        <is>
          <t>rs75428749</t>
        </is>
      </c>
      <c r="F3875" t="n">
        <v>-0.0269905834</v>
      </c>
      <c r="G3875" t="n">
        <v>0.3425714881852113</v>
      </c>
      <c r="H3875" t="n">
        <v>0.0172450954717193</v>
      </c>
      <c r="I3875" t="n">
        <v>0.1357596793747117</v>
      </c>
      <c r="J3875" t="n">
        <v>0.1224539800213607</v>
      </c>
      <c r="K3875" t="n">
        <v>0.3090047009035848</v>
      </c>
      <c r="L3875" t="b">
        <v>0</v>
      </c>
      <c r="M3875" t="b">
        <v>0</v>
      </c>
      <c r="N3875" t="inlineStr">
        <is>
          <t>ref</t>
        </is>
      </c>
      <c r="O3875" t="n">
        <v>55</v>
      </c>
      <c r="P3875" t="n">
        <v>0.003353</v>
      </c>
      <c r="Q3875" t="n">
        <v>-80</v>
      </c>
      <c r="R3875" t="n">
        <v>0.1333</v>
      </c>
      <c r="S3875">
        <f>IMAGE("https://mitra.stanford.edu/kundaje/oak/projects/neuro-variants/variant_position/credible/roussos_2024/variant_figures/roussos_2024.childhood.GABA/rs75428749_count_position.png",4,220,900)</f>
        <v/>
      </c>
      <c r="T3875">
        <f>IMAGE("https://mitra.stanford.edu/kundaje/oak/projects/neuro-variants/variant_position/credible/roussos_2024/variant_figures/roussos_2024.childhood.GABA/rs75428749_profile_position.png",4,220,900)</f>
        <v/>
      </c>
    </row>
    <row r="3876">
      <c r="A3876" t="inlineStr">
        <is>
          <t>chr8</t>
        </is>
      </c>
      <c r="B3876" t="n">
        <v>34336809</v>
      </c>
      <c r="C3876" t="inlineStr">
        <is>
          <t>G</t>
        </is>
      </c>
      <c r="D3876" t="inlineStr">
        <is>
          <t>A</t>
        </is>
      </c>
      <c r="E3876" t="inlineStr">
        <is>
          <t>rs73674310</t>
        </is>
      </c>
      <c r="F3876" t="n">
        <v>-0.09891966179999991</v>
      </c>
      <c r="G3876" t="n">
        <v>0.0328162861449241</v>
      </c>
      <c r="H3876" t="n">
        <v>0.0163235502701264</v>
      </c>
      <c r="I3876" t="n">
        <v>0.1698602498939226</v>
      </c>
      <c r="J3876" t="n">
        <v>0.0218550396850327</v>
      </c>
      <c r="K3876" t="n">
        <v>0.6316380260786598</v>
      </c>
      <c r="L3876" t="b">
        <v>0</v>
      </c>
      <c r="M3876" t="b">
        <v>0</v>
      </c>
      <c r="N3876" t="inlineStr">
        <is>
          <t>ref</t>
        </is>
      </c>
      <c r="O3876" t="n">
        <v>-20</v>
      </c>
      <c r="P3876" t="n">
        <v>0.002144</v>
      </c>
      <c r="Q3876" t="n">
        <v>-75</v>
      </c>
      <c r="R3876" t="n">
        <v>0.004227</v>
      </c>
      <c r="S3876">
        <f>IMAGE("https://mitra.stanford.edu/kundaje/oak/projects/neuro-variants/variant_position/credible/roussos_2024/variant_figures/roussos_2024.childhood.GABA/rs73674310_count_position.png",4,220,900)</f>
        <v/>
      </c>
      <c r="T3876">
        <f>IMAGE("https://mitra.stanford.edu/kundaje/oak/projects/neuro-variants/variant_position/credible/roussos_2024/variant_figures/roussos_2024.childhood.GABA/rs73674310_profile_position.png",4,220,900)</f>
        <v/>
      </c>
    </row>
    <row r="3877">
      <c r="A3877" t="inlineStr">
        <is>
          <t>chr8</t>
        </is>
      </c>
      <c r="B3877" t="n">
        <v>34341492</v>
      </c>
      <c r="C3877" t="inlineStr">
        <is>
          <t>G</t>
        </is>
      </c>
      <c r="D3877" t="inlineStr">
        <is>
          <t>A</t>
        </is>
      </c>
      <c r="E3877" t="inlineStr">
        <is>
          <t>rs1458903</t>
        </is>
      </c>
      <c r="F3877" t="n">
        <v>-0.00567502812</v>
      </c>
      <c r="G3877" t="n">
        <v>0.7850528683232779</v>
      </c>
      <c r="H3877" t="n">
        <v>0.0128772572620267</v>
      </c>
      <c r="I3877" t="n">
        <v>0.3618886497276367</v>
      </c>
      <c r="J3877" t="n">
        <v>0.0160719147242989</v>
      </c>
      <c r="K3877" t="n">
        <v>0.6910016013597612</v>
      </c>
      <c r="L3877" t="b">
        <v>0</v>
      </c>
      <c r="M3877" t="b">
        <v>0</v>
      </c>
      <c r="N3877" t="inlineStr">
        <is>
          <t>ref</t>
        </is>
      </c>
      <c r="O3877" t="n">
        <v>100</v>
      </c>
      <c r="P3877" t="n">
        <v>0.00489</v>
      </c>
      <c r="Q3877" t="n">
        <v>95</v>
      </c>
      <c r="R3877" t="n">
        <v>0.0897</v>
      </c>
      <c r="S3877">
        <f>IMAGE("https://mitra.stanford.edu/kundaje/oak/projects/neuro-variants/variant_position/credible/roussos_2024/variant_figures/roussos_2024.childhood.GABA/rs1458903_count_position.png",4,220,900)</f>
        <v/>
      </c>
      <c r="T3877">
        <f>IMAGE("https://mitra.stanford.edu/kundaje/oak/projects/neuro-variants/variant_position/credible/roussos_2024/variant_figures/roussos_2024.childhood.GABA/rs1458903_profile_position.png",4,220,900)</f>
        <v/>
      </c>
    </row>
    <row r="3878">
      <c r="A3878" t="inlineStr">
        <is>
          <t>chr8</t>
        </is>
      </c>
      <c r="B3878" t="n">
        <v>34367509</v>
      </c>
      <c r="C3878" t="inlineStr">
        <is>
          <t>C</t>
        </is>
      </c>
      <c r="D3878" t="inlineStr">
        <is>
          <t>T</t>
        </is>
      </c>
      <c r="E3878" t="inlineStr">
        <is>
          <t>rs73674323</t>
        </is>
      </c>
      <c r="F3878" t="n">
        <v>-0.0311152125999999</v>
      </c>
      <c r="G3878" t="n">
        <v>0.2956967883860635</v>
      </c>
      <c r="H3878" t="n">
        <v>0.0130270822687765</v>
      </c>
      <c r="I3878" t="n">
        <v>0.3506103689969304</v>
      </c>
      <c r="J3878" t="n">
        <v>0.1217000691085003</v>
      </c>
      <c r="K3878" t="n">
        <v>0.3089251486807234</v>
      </c>
      <c r="L3878" t="b">
        <v>0</v>
      </c>
      <c r="M3878" t="b">
        <v>0</v>
      </c>
      <c r="N3878" t="inlineStr">
        <is>
          <t>ref</t>
        </is>
      </c>
      <c r="O3878" t="n">
        <v>45</v>
      </c>
      <c r="P3878" t="n">
        <v>0.007156</v>
      </c>
      <c r="Q3878" t="n">
        <v>45</v>
      </c>
      <c r="R3878" t="n">
        <v>0.151</v>
      </c>
      <c r="S3878">
        <f>IMAGE("https://mitra.stanford.edu/kundaje/oak/projects/neuro-variants/variant_position/credible/roussos_2024/variant_figures/roussos_2024.childhood.GABA/rs73674323_count_position.png",4,220,900)</f>
        <v/>
      </c>
      <c r="T3878">
        <f>IMAGE("https://mitra.stanford.edu/kundaje/oak/projects/neuro-variants/variant_position/credible/roussos_2024/variant_figures/roussos_2024.childhood.GABA/rs73674323_profile_position.png",4,220,900)</f>
        <v/>
      </c>
    </row>
    <row r="3879">
      <c r="A3879" t="inlineStr">
        <is>
          <t>chr8</t>
        </is>
      </c>
      <c r="B3879" t="n">
        <v>34368805</v>
      </c>
      <c r="C3879" t="inlineStr">
        <is>
          <t>A</t>
        </is>
      </c>
      <c r="D3879" t="inlineStr">
        <is>
          <t>G</t>
        </is>
      </c>
      <c r="E3879" t="inlineStr">
        <is>
          <t>rs74931817</t>
        </is>
      </c>
      <c r="F3879" t="n">
        <v>-0.004961818772</v>
      </c>
      <c r="G3879" t="n">
        <v>0.7423887340118387</v>
      </c>
      <c r="H3879" t="n">
        <v>0.011442127907921</v>
      </c>
      <c r="I3879" t="n">
        <v>0.4917167837523914</v>
      </c>
      <c r="J3879" t="n">
        <v>0.0009078343909027</v>
      </c>
      <c r="K3879" t="n">
        <v>0.9188865280884984</v>
      </c>
      <c r="L3879" t="b">
        <v>0</v>
      </c>
      <c r="M3879" t="b">
        <v>0</v>
      </c>
      <c r="N3879" t="inlineStr">
        <is>
          <t>ref</t>
        </is>
      </c>
      <c r="O3879" t="n">
        <v>100</v>
      </c>
      <c r="P3879" t="n">
        <v>0.03143</v>
      </c>
      <c r="Q3879" t="n">
        <v>50</v>
      </c>
      <c r="R3879" t="n">
        <v>0.0045</v>
      </c>
      <c r="S3879">
        <f>IMAGE("https://mitra.stanford.edu/kundaje/oak/projects/neuro-variants/variant_position/credible/roussos_2024/variant_figures/roussos_2024.childhood.GABA/rs74931817_count_position.png",4,220,900)</f>
        <v/>
      </c>
      <c r="T3879">
        <f>IMAGE("https://mitra.stanford.edu/kundaje/oak/projects/neuro-variants/variant_position/credible/roussos_2024/variant_figures/roussos_2024.childhood.GABA/rs74931817_profile_position.png",4,220,900)</f>
        <v/>
      </c>
    </row>
    <row r="3880">
      <c r="A3880" t="inlineStr">
        <is>
          <t>chr8</t>
        </is>
      </c>
      <c r="B3880" t="n">
        <v>34372979</v>
      </c>
      <c r="C3880" t="inlineStr">
        <is>
          <t>A</t>
        </is>
      </c>
      <c r="D3880" t="inlineStr">
        <is>
          <t>G</t>
        </is>
      </c>
      <c r="E3880" t="inlineStr">
        <is>
          <t>rs1562183</t>
        </is>
      </c>
      <c r="F3880" t="n">
        <v>0.0592052596</v>
      </c>
      <c r="G3880" t="n">
        <v>0.1092758646778903</v>
      </c>
      <c r="H3880" t="n">
        <v>0.0177585749922169</v>
      </c>
      <c r="I3880" t="n">
        <v>0.132048925315905</v>
      </c>
      <c r="J3880" t="n">
        <v>0.012632196184373</v>
      </c>
      <c r="K3880" t="n">
        <v>0.7113024259512345</v>
      </c>
      <c r="L3880" t="b">
        <v>0</v>
      </c>
      <c r="M3880" t="b">
        <v>0</v>
      </c>
      <c r="N3880" t="inlineStr">
        <is>
          <t>alt</t>
        </is>
      </c>
      <c r="O3880" t="n">
        <v>-35</v>
      </c>
      <c r="P3880" t="n">
        <v>0.001194</v>
      </c>
      <c r="Q3880" t="n">
        <v>45</v>
      </c>
      <c r="R3880" t="n">
        <v>0.05048</v>
      </c>
      <c r="S3880">
        <f>IMAGE("https://mitra.stanford.edu/kundaje/oak/projects/neuro-variants/variant_position/credible/roussos_2024/variant_figures/roussos_2024.childhood.GABA/rs1562183_count_position.png",4,220,900)</f>
        <v/>
      </c>
      <c r="T3880">
        <f>IMAGE("https://mitra.stanford.edu/kundaje/oak/projects/neuro-variants/variant_position/credible/roussos_2024/variant_figures/roussos_2024.childhood.GABA/rs1562183_profile_position.png",4,220,900)</f>
        <v/>
      </c>
    </row>
    <row r="3881">
      <c r="A3881" t="inlineStr">
        <is>
          <t>chr8</t>
        </is>
      </c>
      <c r="B3881" t="n">
        <v>34377962</v>
      </c>
      <c r="C3881" t="inlineStr">
        <is>
          <t>A</t>
        </is>
      </c>
      <c r="D3881" t="inlineStr">
        <is>
          <t>T</t>
        </is>
      </c>
      <c r="E3881" t="inlineStr">
        <is>
          <t>rs78759621</t>
        </is>
      </c>
      <c r="F3881" t="n">
        <v>-0.004172154648</v>
      </c>
      <c r="G3881" t="n">
        <v>0.8234616383190273</v>
      </c>
      <c r="H3881" t="n">
        <v>0.0227811641426446</v>
      </c>
      <c r="I3881" t="n">
        <v>0.0423807464064927</v>
      </c>
      <c r="J3881" t="n">
        <v>0.0006690959351636</v>
      </c>
      <c r="K3881" t="n">
        <v>0.9285846158727036</v>
      </c>
      <c r="L3881" t="b">
        <v>0</v>
      </c>
      <c r="M3881" t="b">
        <v>0</v>
      </c>
      <c r="N3881" t="inlineStr">
        <is>
          <t>ref</t>
        </is>
      </c>
      <c r="O3881" t="n">
        <v>-95</v>
      </c>
      <c r="P3881" t="n">
        <v>0.2542</v>
      </c>
      <c r="Q3881" t="n">
        <v>-95</v>
      </c>
      <c r="R3881" t="n">
        <v>0.07825</v>
      </c>
      <c r="S3881">
        <f>IMAGE("https://mitra.stanford.edu/kundaje/oak/projects/neuro-variants/variant_position/credible/roussos_2024/variant_figures/roussos_2024.childhood.GABA/rs78759621_count_position.png",4,220,900)</f>
        <v/>
      </c>
      <c r="T3881">
        <f>IMAGE("https://mitra.stanford.edu/kundaje/oak/projects/neuro-variants/variant_position/credible/roussos_2024/variant_figures/roussos_2024.childhood.GABA/rs78759621_profile_position.png",4,220,900)</f>
        <v/>
      </c>
    </row>
    <row r="3882">
      <c r="A3882" t="inlineStr">
        <is>
          <t>chr8</t>
        </is>
      </c>
      <c r="B3882" t="n">
        <v>34384091</v>
      </c>
      <c r="C3882" t="inlineStr">
        <is>
          <t>T</t>
        </is>
      </c>
      <c r="D3882" t="inlineStr">
        <is>
          <t>C</t>
        </is>
      </c>
      <c r="E3882" t="inlineStr">
        <is>
          <t>rs16882072</t>
        </is>
      </c>
      <c r="F3882" t="n">
        <v>-0.008712424</v>
      </c>
      <c r="G3882" t="n">
        <v>0.6795221706211078</v>
      </c>
      <c r="H3882" t="n">
        <v>0.0168259747319192</v>
      </c>
      <c r="I3882" t="n">
        <v>0.1545069974516663</v>
      </c>
      <c r="J3882" t="n">
        <v>0.0058449037716487</v>
      </c>
      <c r="K3882" t="n">
        <v>0.7946693136307713</v>
      </c>
      <c r="L3882" t="b">
        <v>0</v>
      </c>
      <c r="M3882" t="b">
        <v>0</v>
      </c>
      <c r="N3882" t="inlineStr">
        <is>
          <t>ref</t>
        </is>
      </c>
      <c r="O3882" t="n">
        <v>10</v>
      </c>
      <c r="P3882" t="n">
        <v>0.000307</v>
      </c>
      <c r="Q3882" t="n">
        <v>-100</v>
      </c>
      <c r="R3882" t="n">
        <v>0.08169999999999999</v>
      </c>
      <c r="S3882">
        <f>IMAGE("https://mitra.stanford.edu/kundaje/oak/projects/neuro-variants/variant_position/credible/roussos_2024/variant_figures/roussos_2024.childhood.GABA/rs16882072_count_position.png",4,220,900)</f>
        <v/>
      </c>
      <c r="T3882">
        <f>IMAGE("https://mitra.stanford.edu/kundaje/oak/projects/neuro-variants/variant_position/credible/roussos_2024/variant_figures/roussos_2024.childhood.GABA/rs16882072_profile_position.png",4,220,900)</f>
        <v/>
      </c>
    </row>
    <row r="3883">
      <c r="A3883" t="inlineStr">
        <is>
          <t>chr8</t>
        </is>
      </c>
      <c r="B3883" t="n">
        <v>38181915</v>
      </c>
      <c r="C3883" t="inlineStr">
        <is>
          <t>A</t>
        </is>
      </c>
      <c r="D3883" t="inlineStr">
        <is>
          <t>G</t>
        </is>
      </c>
      <c r="E3883" t="inlineStr">
        <is>
          <t>rs11779986</t>
        </is>
      </c>
      <c r="F3883" t="n">
        <v>-0.0017414491359999</v>
      </c>
      <c r="G3883" t="n">
        <v>0.7452832939704931</v>
      </c>
      <c r="H3883" t="n">
        <v>0.0248751513445281</v>
      </c>
      <c r="I3883" t="n">
        <v>0.0290829263827175</v>
      </c>
      <c r="J3883" t="n">
        <v>0.0783156373688508</v>
      </c>
      <c r="K3883" t="n">
        <v>0.4096902502572445</v>
      </c>
      <c r="L3883" t="b">
        <v>0</v>
      </c>
      <c r="M3883" t="b">
        <v>0</v>
      </c>
      <c r="N3883" t="inlineStr">
        <is>
          <t>ref</t>
        </is>
      </c>
      <c r="O3883" t="n">
        <v>35</v>
      </c>
      <c r="P3883" t="n">
        <v>0.004517</v>
      </c>
      <c r="Q3883" t="n">
        <v>-100</v>
      </c>
      <c r="R3883" t="n">
        <v>0.11206</v>
      </c>
      <c r="S3883">
        <f>IMAGE("https://mitra.stanford.edu/kundaje/oak/projects/neuro-variants/variant_position/credible/roussos_2024/variant_figures/roussos_2024.childhood.GABA/rs11779986_count_position.png",4,220,900)</f>
        <v/>
      </c>
      <c r="T3883">
        <f>IMAGE("https://mitra.stanford.edu/kundaje/oak/projects/neuro-variants/variant_position/credible/roussos_2024/variant_figures/roussos_2024.childhood.GABA/rs11779986_profile_position.png",4,220,900)</f>
        <v/>
      </c>
    </row>
    <row r="3884">
      <c r="A3884" t="inlineStr">
        <is>
          <t>chr8</t>
        </is>
      </c>
      <c r="B3884" t="n">
        <v>38182985</v>
      </c>
      <c r="C3884" t="inlineStr">
        <is>
          <t>A</t>
        </is>
      </c>
      <c r="D3884" t="inlineStr">
        <is>
          <t>G</t>
        </is>
      </c>
      <c r="E3884" t="inlineStr">
        <is>
          <t>rs4537271</t>
        </is>
      </c>
      <c r="F3884" t="n">
        <v>0.03558597078</v>
      </c>
      <c r="G3884" t="n">
        <v>0.2142043038203266</v>
      </c>
      <c r="H3884" t="n">
        <v>0.0182260414829012</v>
      </c>
      <c r="I3884" t="n">
        <v>0.113280572477751</v>
      </c>
      <c r="J3884" t="n">
        <v>0.1495350882704026</v>
      </c>
      <c r="K3884" t="n">
        <v>0.2667928708595578</v>
      </c>
      <c r="L3884" t="b">
        <v>0</v>
      </c>
      <c r="M3884" t="b">
        <v>0</v>
      </c>
      <c r="N3884" t="inlineStr">
        <is>
          <t>alt</t>
        </is>
      </c>
      <c r="O3884" t="n">
        <v>-55</v>
      </c>
      <c r="P3884" t="n">
        <v>0.008545000000000001</v>
      </c>
      <c r="Q3884" t="n">
        <v>-90</v>
      </c>
      <c r="R3884" t="n">
        <v>0.1638</v>
      </c>
      <c r="S3884">
        <f>IMAGE("https://mitra.stanford.edu/kundaje/oak/projects/neuro-variants/variant_position/credible/roussos_2024/variant_figures/roussos_2024.childhood.GABA/rs4537271_count_position.png",4,220,900)</f>
        <v/>
      </c>
      <c r="T3884">
        <f>IMAGE("https://mitra.stanford.edu/kundaje/oak/projects/neuro-variants/variant_position/credible/roussos_2024/variant_figures/roussos_2024.childhood.GABA/rs4537271_profile_position.png",4,220,900)</f>
        <v/>
      </c>
    </row>
    <row r="3885">
      <c r="A3885" t="inlineStr">
        <is>
          <t>chr8</t>
        </is>
      </c>
      <c r="B3885" t="n">
        <v>38194867</v>
      </c>
      <c r="C3885" t="inlineStr">
        <is>
          <t>T</t>
        </is>
      </c>
      <c r="D3885" t="inlineStr">
        <is>
          <t>G</t>
        </is>
      </c>
      <c r="E3885" t="inlineStr">
        <is>
          <t>rs111373244</t>
        </is>
      </c>
      <c r="F3885" t="n">
        <v>-0.01503955508</v>
      </c>
      <c r="G3885" t="n">
        <v>0.5126376208984189</v>
      </c>
      <c r="H3885" t="n">
        <v>0.0441247612270242</v>
      </c>
      <c r="I3885" t="n">
        <v>0.0026456123054722</v>
      </c>
      <c r="J3885" t="n">
        <v>0.0257669996439864</v>
      </c>
      <c r="K3885" t="n">
        <v>0.6223328927022812</v>
      </c>
      <c r="L3885" t="b">
        <v>1</v>
      </c>
      <c r="M3885" t="b">
        <v>0</v>
      </c>
      <c r="N3885" t="inlineStr">
        <is>
          <t>ref</t>
        </is>
      </c>
      <c r="O3885" t="n">
        <v>60</v>
      </c>
      <c r="P3885" t="n">
        <v>0.004547</v>
      </c>
      <c r="Q3885" t="n">
        <v>100</v>
      </c>
      <c r="R3885" t="n">
        <v>0.0562</v>
      </c>
      <c r="S3885">
        <f>IMAGE("https://mitra.stanford.edu/kundaje/oak/projects/neuro-variants/variant_position/credible/roussos_2024/variant_figures/roussos_2024.childhood.GABA/rs111373244_count_position.png",4,220,900)</f>
        <v/>
      </c>
      <c r="T3885">
        <f>IMAGE("https://mitra.stanford.edu/kundaje/oak/projects/neuro-variants/variant_position/credible/roussos_2024/variant_figures/roussos_2024.childhood.GABA/rs111373244_profile_position.png",4,220,900)</f>
        <v/>
      </c>
    </row>
    <row r="3886">
      <c r="A3886" t="inlineStr">
        <is>
          <t>chr8</t>
        </is>
      </c>
      <c r="B3886" t="n">
        <v>38217860</v>
      </c>
      <c r="C3886" t="inlineStr">
        <is>
          <t>T</t>
        </is>
      </c>
      <c r="D3886" t="inlineStr">
        <is>
          <t>G</t>
        </is>
      </c>
      <c r="E3886" t="inlineStr">
        <is>
          <t>rs150171772</t>
        </is>
      </c>
      <c r="F3886" t="n">
        <v>-0.0210134134</v>
      </c>
      <c r="G3886" t="n">
        <v>0.4093394891003974</v>
      </c>
      <c r="H3886" t="n">
        <v>0.0606390501951475</v>
      </c>
      <c r="I3886" t="n">
        <v>0.0009869947576718</v>
      </c>
      <c r="J3886" t="n">
        <v>0.0544407446964461</v>
      </c>
      <c r="K3886" t="n">
        <v>0.4861644572650252</v>
      </c>
      <c r="L3886" t="b">
        <v>1</v>
      </c>
      <c r="M3886" t="b">
        <v>1</v>
      </c>
      <c r="N3886" t="inlineStr">
        <is>
          <t>ref</t>
        </is>
      </c>
      <c r="O3886" t="n">
        <v>-60</v>
      </c>
      <c r="P3886" t="n">
        <v>0.001221</v>
      </c>
      <c r="Q3886" t="n">
        <v>50</v>
      </c>
      <c r="R3886" t="n">
        <v>0.04547</v>
      </c>
      <c r="S3886">
        <f>IMAGE("https://mitra.stanford.edu/kundaje/oak/projects/neuro-variants/variant_position/credible/roussos_2024/variant_figures/roussos_2024.childhood.GABA/rs150171772_count_position.png",4,220,900)</f>
        <v/>
      </c>
      <c r="T3886">
        <f>IMAGE("https://mitra.stanford.edu/kundaje/oak/projects/neuro-variants/variant_position/credible/roussos_2024/variant_figures/roussos_2024.childhood.GABA/rs150171772_profile_position.png",4,220,900)</f>
        <v/>
      </c>
    </row>
    <row r="3887">
      <c r="A3887" t="inlineStr">
        <is>
          <t>chr8</t>
        </is>
      </c>
      <c r="B3887" t="n">
        <v>38239069</v>
      </c>
      <c r="C3887" t="inlineStr">
        <is>
          <t>G</t>
        </is>
      </c>
      <c r="D3887" t="inlineStr">
        <is>
          <t>A</t>
        </is>
      </c>
      <c r="E3887" t="inlineStr">
        <is>
          <t>rs10103315</t>
        </is>
      </c>
      <c r="F3887" t="n">
        <v>0.01013219526</v>
      </c>
      <c r="G3887" t="n">
        <v>0.6114913914122965</v>
      </c>
      <c r="H3887" t="n">
        <v>0.0198831622339468</v>
      </c>
      <c r="I3887" t="n">
        <v>0.0827485883003499</v>
      </c>
      <c r="J3887" t="n">
        <v>0.008661598709974599</v>
      </c>
      <c r="K3887" t="n">
        <v>0.7544063834726921</v>
      </c>
      <c r="L3887" t="b">
        <v>0</v>
      </c>
      <c r="M3887" t="b">
        <v>0</v>
      </c>
      <c r="N3887" t="inlineStr">
        <is>
          <t>alt</t>
        </is>
      </c>
      <c r="O3887" t="n">
        <v>95</v>
      </c>
      <c r="P3887" t="n">
        <v>0.00771</v>
      </c>
      <c r="Q3887" t="n">
        <v>-95</v>
      </c>
      <c r="R3887" t="n">
        <v>0.007202</v>
      </c>
      <c r="S3887">
        <f>IMAGE("https://mitra.stanford.edu/kundaje/oak/projects/neuro-variants/variant_position/credible/roussos_2024/variant_figures/roussos_2024.childhood.GABA/rs10103315_count_position.png",4,220,900)</f>
        <v/>
      </c>
      <c r="T3887">
        <f>IMAGE("https://mitra.stanford.edu/kundaje/oak/projects/neuro-variants/variant_position/credible/roussos_2024/variant_figures/roussos_2024.childhood.GABA/rs10103315_profile_position.png",4,220,900)</f>
        <v/>
      </c>
    </row>
    <row r="3888">
      <c r="A3888" t="inlineStr">
        <is>
          <t>chr8</t>
        </is>
      </c>
      <c r="B3888" t="n">
        <v>38244605</v>
      </c>
      <c r="C3888" t="inlineStr">
        <is>
          <t>G</t>
        </is>
      </c>
      <c r="D3888" t="inlineStr">
        <is>
          <t>A</t>
        </is>
      </c>
      <c r="E3888" t="inlineStr">
        <is>
          <t>rs56058270</t>
        </is>
      </c>
      <c r="F3888" t="n">
        <v>-0.041964489</v>
      </c>
      <c r="G3888" t="n">
        <v>0.1895795471465544</v>
      </c>
      <c r="H3888" t="n">
        <v>0.020807482142629</v>
      </c>
      <c r="I3888" t="n">
        <v>0.06309628390391581</v>
      </c>
      <c r="J3888" t="n">
        <v>0.0184205566375573</v>
      </c>
      <c r="K3888" t="n">
        <v>0.6804842537211535</v>
      </c>
      <c r="L3888" t="b">
        <v>0</v>
      </c>
      <c r="M3888" t="b">
        <v>0</v>
      </c>
      <c r="N3888" t="inlineStr">
        <is>
          <t>ref</t>
        </is>
      </c>
      <c r="O3888" t="n">
        <v>35</v>
      </c>
      <c r="P3888" t="n">
        <v>0.003632</v>
      </c>
      <c r="Q3888" t="n">
        <v>75</v>
      </c>
      <c r="R3888" t="n">
        <v>0.0602</v>
      </c>
      <c r="S3888">
        <f>IMAGE("https://mitra.stanford.edu/kundaje/oak/projects/neuro-variants/variant_position/credible/roussos_2024/variant_figures/roussos_2024.childhood.GABA/rs56058270_count_position.png",4,220,900)</f>
        <v/>
      </c>
      <c r="T3888">
        <f>IMAGE("https://mitra.stanford.edu/kundaje/oak/projects/neuro-variants/variant_position/credible/roussos_2024/variant_figures/roussos_2024.childhood.GABA/rs56058270_profile_position.png",4,220,900)</f>
        <v/>
      </c>
    </row>
    <row r="3889">
      <c r="A3889" t="inlineStr">
        <is>
          <t>chr8</t>
        </is>
      </c>
      <c r="B3889" t="n">
        <v>38271610</v>
      </c>
      <c r="C3889" t="inlineStr">
        <is>
          <t>T</t>
        </is>
      </c>
      <c r="D3889" t="inlineStr">
        <is>
          <t>C</t>
        </is>
      </c>
      <c r="E3889" t="inlineStr">
        <is>
          <t>rs57984710</t>
        </is>
      </c>
      <c r="F3889" t="n">
        <v>0.2028800475999999</v>
      </c>
      <c r="G3889" t="n">
        <v>0.0068489461260232</v>
      </c>
      <c r="H3889" t="n">
        <v>0.0525878581724586</v>
      </c>
      <c r="I3889" t="n">
        <v>0.0031884534325878</v>
      </c>
      <c r="J3889" t="n">
        <v>0.0837877740780297</v>
      </c>
      <c r="K3889" t="n">
        <v>0.3936896643195686</v>
      </c>
      <c r="L3889" t="b">
        <v>1</v>
      </c>
      <c r="M3889" t="b">
        <v>1</v>
      </c>
      <c r="N3889" t="inlineStr">
        <is>
          <t>alt</t>
        </is>
      </c>
      <c r="O3889" t="n">
        <v>-75</v>
      </c>
      <c r="P3889" t="n">
        <v>0.000763</v>
      </c>
      <c r="Q3889" t="n">
        <v>40</v>
      </c>
      <c r="R3889" t="n">
        <v>0.003906</v>
      </c>
      <c r="S3889">
        <f>IMAGE("https://mitra.stanford.edu/kundaje/oak/projects/neuro-variants/variant_position/credible/roussos_2024/variant_figures/roussos_2024.childhood.GABA/rs57984710_count_position.png",4,220,900)</f>
        <v/>
      </c>
      <c r="T3889">
        <f>IMAGE("https://mitra.stanford.edu/kundaje/oak/projects/neuro-variants/variant_position/credible/roussos_2024/variant_figures/roussos_2024.childhood.GABA/rs57984710_profile_position.png",4,220,900)</f>
        <v/>
      </c>
    </row>
    <row r="3890">
      <c r="A3890" t="inlineStr">
        <is>
          <t>chr8</t>
        </is>
      </c>
      <c r="B3890" t="n">
        <v>38276094</v>
      </c>
      <c r="C3890" t="inlineStr">
        <is>
          <t>C</t>
        </is>
      </c>
      <c r="D3890" t="inlineStr">
        <is>
          <t>T</t>
        </is>
      </c>
      <c r="E3890" t="inlineStr">
        <is>
          <t>rs1488934</t>
        </is>
      </c>
      <c r="F3890" t="n">
        <v>-0.06252173279999999</v>
      </c>
      <c r="G3890" t="n">
        <v>0.1072065120846072</v>
      </c>
      <c r="H3890" t="n">
        <v>0.012282542130165</v>
      </c>
      <c r="I3890" t="n">
        <v>0.4045387658671873</v>
      </c>
      <c r="J3890" t="n">
        <v>0.1726204686812841</v>
      </c>
      <c r="K3890" t="n">
        <v>0.2460582713003203</v>
      </c>
      <c r="L3890" t="b">
        <v>0</v>
      </c>
      <c r="M3890" t="b">
        <v>0</v>
      </c>
      <c r="N3890" t="inlineStr">
        <is>
          <t>ref</t>
        </is>
      </c>
      <c r="O3890" t="n">
        <v>20</v>
      </c>
      <c r="P3890" t="n">
        <v>0.002148</v>
      </c>
      <c r="Q3890" t="n">
        <v>-100</v>
      </c>
      <c r="R3890" t="n">
        <v>0.07199999999999999</v>
      </c>
      <c r="S3890">
        <f>IMAGE("https://mitra.stanford.edu/kundaje/oak/projects/neuro-variants/variant_position/credible/roussos_2024/variant_figures/roussos_2024.childhood.GABA/rs1488934_count_position.png",4,220,900)</f>
        <v/>
      </c>
      <c r="T3890">
        <f>IMAGE("https://mitra.stanford.edu/kundaje/oak/projects/neuro-variants/variant_position/credible/roussos_2024/variant_figures/roussos_2024.childhood.GABA/rs1488934_profile_position.png",4,220,900)</f>
        <v/>
      </c>
    </row>
    <row r="3891">
      <c r="A3891" t="inlineStr">
        <is>
          <t>chr8</t>
        </is>
      </c>
      <c r="B3891" t="n">
        <v>38276275</v>
      </c>
      <c r="C3891" t="inlineStr">
        <is>
          <t>G</t>
        </is>
      </c>
      <c r="D3891" t="inlineStr">
        <is>
          <t>A</t>
        </is>
      </c>
      <c r="E3891" t="inlineStr">
        <is>
          <t>rs1488935</t>
        </is>
      </c>
      <c r="F3891" t="n">
        <v>-0.0076993213799999</v>
      </c>
      <c r="G3891" t="n">
        <v>0.6130870871607556</v>
      </c>
      <c r="H3891" t="n">
        <v>0.009992496565623401</v>
      </c>
      <c r="I3891" t="n">
        <v>0.639599799403364</v>
      </c>
      <c r="J3891" t="n">
        <v>0.1208445896421017</v>
      </c>
      <c r="K3891" t="n">
        <v>0.3229578348092102</v>
      </c>
      <c r="L3891" t="b">
        <v>0</v>
      </c>
      <c r="M3891" t="b">
        <v>0</v>
      </c>
      <c r="N3891" t="inlineStr">
        <is>
          <t>ref</t>
        </is>
      </c>
      <c r="O3891" t="n">
        <v>-40</v>
      </c>
      <c r="P3891" t="n">
        <v>0.002213</v>
      </c>
      <c r="Q3891" t="n">
        <v>100</v>
      </c>
      <c r="R3891" t="n">
        <v>0.1257</v>
      </c>
      <c r="S3891">
        <f>IMAGE("https://mitra.stanford.edu/kundaje/oak/projects/neuro-variants/variant_position/credible/roussos_2024/variant_figures/roussos_2024.childhood.GABA/rs1488935_count_position.png",4,220,900)</f>
        <v/>
      </c>
      <c r="T3891">
        <f>IMAGE("https://mitra.stanford.edu/kundaje/oak/projects/neuro-variants/variant_position/credible/roussos_2024/variant_figures/roussos_2024.childhood.GABA/rs1488935_profile_position.png",4,220,900)</f>
        <v/>
      </c>
    </row>
    <row r="3892">
      <c r="A3892" t="inlineStr">
        <is>
          <t>chr8</t>
        </is>
      </c>
      <c r="B3892" t="n">
        <v>38280012</v>
      </c>
      <c r="C3892" t="inlineStr">
        <is>
          <t>A</t>
        </is>
      </c>
      <c r="D3892" t="inlineStr">
        <is>
          <t>G</t>
        </is>
      </c>
      <c r="E3892" t="inlineStr">
        <is>
          <t>rs12674515</t>
        </is>
      </c>
      <c r="F3892" t="n">
        <v>-0.026480381308</v>
      </c>
      <c r="G3892" t="n">
        <v>0.3628541943924599</v>
      </c>
      <c r="H3892" t="n">
        <v>0.0127421069830079</v>
      </c>
      <c r="I3892" t="n">
        <v>0.3716474429337896</v>
      </c>
      <c r="J3892" t="n">
        <v>0.0818946200079578</v>
      </c>
      <c r="K3892" t="n">
        <v>0.4007171749210284</v>
      </c>
      <c r="L3892" t="b">
        <v>0</v>
      </c>
      <c r="M3892" t="b">
        <v>0</v>
      </c>
      <c r="N3892" t="inlineStr">
        <is>
          <t>ref</t>
        </is>
      </c>
      <c r="O3892" t="n">
        <v>75</v>
      </c>
      <c r="P3892" t="n">
        <v>0.002693</v>
      </c>
      <c r="Q3892" t="n">
        <v>100</v>
      </c>
      <c r="R3892" t="n">
        <v>0.0476</v>
      </c>
      <c r="S3892">
        <f>IMAGE("https://mitra.stanford.edu/kundaje/oak/projects/neuro-variants/variant_position/credible/roussos_2024/variant_figures/roussos_2024.childhood.GABA/rs12674515_count_position.png",4,220,900)</f>
        <v/>
      </c>
      <c r="T3892">
        <f>IMAGE("https://mitra.stanford.edu/kundaje/oak/projects/neuro-variants/variant_position/credible/roussos_2024/variant_figures/roussos_2024.childhood.GABA/rs12674515_profile_position.png",4,220,900)</f>
        <v/>
      </c>
    </row>
    <row r="3893">
      <c r="A3893" t="inlineStr">
        <is>
          <t>chr8</t>
        </is>
      </c>
      <c r="B3893" t="n">
        <v>38284697</v>
      </c>
      <c r="C3893" t="inlineStr">
        <is>
          <t>T</t>
        </is>
      </c>
      <c r="D3893" t="inlineStr">
        <is>
          <t>C</t>
        </is>
      </c>
      <c r="E3893" t="inlineStr">
        <is>
          <t>rs7845284</t>
        </is>
      </c>
      <c r="F3893" t="n">
        <v>0.0038393247</v>
      </c>
      <c r="G3893" t="n">
        <v>0.7673658370232134</v>
      </c>
      <c r="H3893" t="n">
        <v>0.0185309997653783</v>
      </c>
      <c r="I3893" t="n">
        <v>0.1022974506404184</v>
      </c>
      <c r="J3893" t="n">
        <v>0.0300946577035035</v>
      </c>
      <c r="K3893" t="n">
        <v>0.5843860011688382</v>
      </c>
      <c r="L3893" t="b">
        <v>0</v>
      </c>
      <c r="M3893" t="b">
        <v>0</v>
      </c>
      <c r="N3893" t="inlineStr">
        <is>
          <t>alt</t>
        </is>
      </c>
      <c r="O3893" t="n">
        <v>-15</v>
      </c>
      <c r="P3893" t="n">
        <v>0.001222</v>
      </c>
      <c r="Q3893" t="n">
        <v>-90</v>
      </c>
      <c r="R3893" t="n">
        <v>0.07489999999999999</v>
      </c>
      <c r="S3893">
        <f>IMAGE("https://mitra.stanford.edu/kundaje/oak/projects/neuro-variants/variant_position/credible/roussos_2024/variant_figures/roussos_2024.childhood.GABA/rs7845284_count_position.png",4,220,900)</f>
        <v/>
      </c>
      <c r="T3893">
        <f>IMAGE("https://mitra.stanford.edu/kundaje/oak/projects/neuro-variants/variant_position/credible/roussos_2024/variant_figures/roussos_2024.childhood.GABA/rs7845284_profile_position.png",4,220,900)</f>
        <v/>
      </c>
    </row>
    <row r="3894">
      <c r="A3894" t="inlineStr">
        <is>
          <t>chr8</t>
        </is>
      </c>
      <c r="B3894" t="n">
        <v>38285217</v>
      </c>
      <c r="C3894" t="inlineStr">
        <is>
          <t>T</t>
        </is>
      </c>
      <c r="D3894" t="inlineStr">
        <is>
          <t>C</t>
        </is>
      </c>
      <c r="E3894" t="inlineStr">
        <is>
          <t>rs7823681</t>
        </is>
      </c>
      <c r="F3894" t="n">
        <v>-0.14353823</v>
      </c>
      <c r="G3894" t="n">
        <v>0.0127809661650671</v>
      </c>
      <c r="H3894" t="n">
        <v>0.027188377590785</v>
      </c>
      <c r="I3894" t="n">
        <v>0.021586229493624</v>
      </c>
      <c r="J3894" t="n">
        <v>0.0344107976796297</v>
      </c>
      <c r="K3894" t="n">
        <v>0.564327391813803</v>
      </c>
      <c r="L3894" t="b">
        <v>1</v>
      </c>
      <c r="M3894" t="b">
        <v>0</v>
      </c>
      <c r="N3894" t="inlineStr">
        <is>
          <t>ref</t>
        </is>
      </c>
      <c r="O3894" t="n">
        <v>90</v>
      </c>
      <c r="P3894" t="n">
        <v>0.001312</v>
      </c>
      <c r="Q3894" t="n">
        <v>10</v>
      </c>
      <c r="R3894" t="n">
        <v>0.004395</v>
      </c>
      <c r="S3894">
        <f>IMAGE("https://mitra.stanford.edu/kundaje/oak/projects/neuro-variants/variant_position/credible/roussos_2024/variant_figures/roussos_2024.childhood.GABA/rs7823681_count_position.png",4,220,900)</f>
        <v/>
      </c>
      <c r="T3894">
        <f>IMAGE("https://mitra.stanford.edu/kundaje/oak/projects/neuro-variants/variant_position/credible/roussos_2024/variant_figures/roussos_2024.childhood.GABA/rs7823681_profile_position.png",4,220,900)</f>
        <v/>
      </c>
    </row>
    <row r="3895">
      <c r="A3895" t="inlineStr">
        <is>
          <t>chr8</t>
        </is>
      </c>
      <c r="B3895" t="n">
        <v>38295074</v>
      </c>
      <c r="C3895" t="inlineStr">
        <is>
          <t>C</t>
        </is>
      </c>
      <c r="D3895" t="inlineStr">
        <is>
          <t>G</t>
        </is>
      </c>
      <c r="E3895" t="inlineStr">
        <is>
          <t>rs12386951</t>
        </is>
      </c>
      <c r="F3895" t="n">
        <v>0.02422536748</v>
      </c>
      <c r="G3895" t="n">
        <v>0.3309763273827356</v>
      </c>
      <c r="H3895" t="n">
        <v>0.012870193429646</v>
      </c>
      <c r="I3895" t="n">
        <v>0.3588596892892668</v>
      </c>
      <c r="J3895" t="n">
        <v>0.0452336076731377</v>
      </c>
      <c r="K3895" t="n">
        <v>0.5254247701861269</v>
      </c>
      <c r="L3895" t="b">
        <v>0</v>
      </c>
      <c r="M3895" t="b">
        <v>0</v>
      </c>
      <c r="N3895" t="inlineStr">
        <is>
          <t>alt</t>
        </is>
      </c>
      <c r="O3895" t="n">
        <v>-20</v>
      </c>
      <c r="P3895" t="n">
        <v>0.004883</v>
      </c>
      <c r="Q3895" t="n">
        <v>60</v>
      </c>
      <c r="R3895" t="n">
        <v>0.00641</v>
      </c>
      <c r="S3895">
        <f>IMAGE("https://mitra.stanford.edu/kundaje/oak/projects/neuro-variants/variant_position/credible/roussos_2024/variant_figures/roussos_2024.childhood.GABA/rs12386951_count_position.png",4,220,900)</f>
        <v/>
      </c>
      <c r="T3895">
        <f>IMAGE("https://mitra.stanford.edu/kundaje/oak/projects/neuro-variants/variant_position/credible/roussos_2024/variant_figures/roussos_2024.childhood.GABA/rs12386951_profile_position.png",4,220,900)</f>
        <v/>
      </c>
    </row>
    <row r="3896">
      <c r="A3896" t="inlineStr">
        <is>
          <t>chr8</t>
        </is>
      </c>
      <c r="B3896" t="n">
        <v>38350172</v>
      </c>
      <c r="C3896" t="inlineStr">
        <is>
          <t>A</t>
        </is>
      </c>
      <c r="D3896" t="inlineStr">
        <is>
          <t>G</t>
        </is>
      </c>
      <c r="E3896" t="inlineStr">
        <is>
          <t>rs28634296</t>
        </is>
      </c>
      <c r="F3896" t="n">
        <v>0.112500322</v>
      </c>
      <c r="G3896" t="n">
        <v>0.0223635502359367</v>
      </c>
      <c r="H3896" t="n">
        <v>0.012951269009327</v>
      </c>
      <c r="I3896" t="n">
        <v>0.3510128248888246</v>
      </c>
      <c r="J3896" t="n">
        <v>0.0321961843731021</v>
      </c>
      <c r="K3896" t="n">
        <v>0.5887127698421687</v>
      </c>
      <c r="L3896" t="b">
        <v>0</v>
      </c>
      <c r="M3896" t="b">
        <v>0</v>
      </c>
      <c r="N3896" t="inlineStr">
        <is>
          <t>alt</t>
        </is>
      </c>
      <c r="O3896" t="n">
        <v>-45</v>
      </c>
      <c r="P3896" t="n">
        <v>0.00238</v>
      </c>
      <c r="Q3896" t="n">
        <v>35</v>
      </c>
      <c r="R3896" t="n">
        <v>0.03485</v>
      </c>
      <c r="S3896">
        <f>IMAGE("https://mitra.stanford.edu/kundaje/oak/projects/neuro-variants/variant_position/credible/roussos_2024/variant_figures/roussos_2024.childhood.GABA/rs28634296_count_position.png",4,220,900)</f>
        <v/>
      </c>
      <c r="T3896">
        <f>IMAGE("https://mitra.stanford.edu/kundaje/oak/projects/neuro-variants/variant_position/credible/roussos_2024/variant_figures/roussos_2024.childhood.GABA/rs28634296_profile_position.png",4,220,900)</f>
        <v/>
      </c>
    </row>
    <row r="3897">
      <c r="A3897" t="inlineStr">
        <is>
          <t>chr8</t>
        </is>
      </c>
      <c r="B3897" t="n">
        <v>38360223</v>
      </c>
      <c r="C3897" t="inlineStr">
        <is>
          <t>T</t>
        </is>
      </c>
      <c r="D3897" t="inlineStr">
        <is>
          <t>C</t>
        </is>
      </c>
      <c r="E3897" t="inlineStr">
        <is>
          <t>rs2130033</t>
        </is>
      </c>
      <c r="F3897" t="n">
        <v>0.00408314234</v>
      </c>
      <c r="G3897" t="n">
        <v>0.8178822408381856</v>
      </c>
      <c r="H3897" t="n">
        <v>0.0101417775210543</v>
      </c>
      <c r="I3897" t="n">
        <v>0.6283356338993684</v>
      </c>
      <c r="J3897" t="n">
        <v>0.0145483864212267</v>
      </c>
      <c r="K3897" t="n">
        <v>0.7005349480878671</v>
      </c>
      <c r="L3897" t="b">
        <v>0</v>
      </c>
      <c r="M3897" t="b">
        <v>0</v>
      </c>
      <c r="N3897" t="inlineStr">
        <is>
          <t>alt</t>
        </is>
      </c>
      <c r="O3897" t="n">
        <v>-100</v>
      </c>
      <c r="P3897" t="n">
        <v>0.03607</v>
      </c>
      <c r="Q3897" t="n">
        <v>-100</v>
      </c>
      <c r="R3897" t="n">
        <v>0.07886</v>
      </c>
      <c r="S3897">
        <f>IMAGE("https://mitra.stanford.edu/kundaje/oak/projects/neuro-variants/variant_position/credible/roussos_2024/variant_figures/roussos_2024.childhood.GABA/rs2130033_count_position.png",4,220,900)</f>
        <v/>
      </c>
      <c r="T3897">
        <f>IMAGE("https://mitra.stanford.edu/kundaje/oak/projects/neuro-variants/variant_position/credible/roussos_2024/variant_figures/roussos_2024.childhood.GABA/rs2130033_profile_position.png",4,220,900)</f>
        <v/>
      </c>
    </row>
    <row r="3898">
      <c r="A3898" t="inlineStr">
        <is>
          <t>chr8</t>
        </is>
      </c>
      <c r="B3898" t="n">
        <v>38368759</v>
      </c>
      <c r="C3898" t="inlineStr">
        <is>
          <t>A</t>
        </is>
      </c>
      <c r="D3898" t="inlineStr">
        <is>
          <t>G</t>
        </is>
      </c>
      <c r="E3898" t="inlineStr">
        <is>
          <t>rs16887343</t>
        </is>
      </c>
      <c r="F3898" t="n">
        <v>0.0877355472</v>
      </c>
      <c r="G3898" t="n">
        <v>0.0392130791501333</v>
      </c>
      <c r="H3898" t="n">
        <v>0.0134496787220991</v>
      </c>
      <c r="I3898" t="n">
        <v>0.3214692700008886</v>
      </c>
      <c r="J3898" t="n">
        <v>3.350715168268727e-05</v>
      </c>
      <c r="K3898" t="n">
        <v>0.9926188453819408</v>
      </c>
      <c r="L3898" t="b">
        <v>0</v>
      </c>
      <c r="M3898" t="b">
        <v>0</v>
      </c>
      <c r="N3898" t="inlineStr">
        <is>
          <t>alt</t>
        </is>
      </c>
      <c r="O3898" t="n">
        <v>95</v>
      </c>
      <c r="P3898" t="n">
        <v>0.003876</v>
      </c>
      <c r="Q3898" t="n">
        <v>-25</v>
      </c>
      <c r="R3898" t="n">
        <v>0.03342</v>
      </c>
      <c r="S3898">
        <f>IMAGE("https://mitra.stanford.edu/kundaje/oak/projects/neuro-variants/variant_position/credible/roussos_2024/variant_figures/roussos_2024.childhood.GABA/rs16887343_count_position.png",4,220,900)</f>
        <v/>
      </c>
      <c r="T3898">
        <f>IMAGE("https://mitra.stanford.edu/kundaje/oak/projects/neuro-variants/variant_position/credible/roussos_2024/variant_figures/roussos_2024.childhood.GABA/rs16887343_profile_position.png",4,220,900)</f>
        <v/>
      </c>
    </row>
    <row r="3899">
      <c r="A3899" t="inlineStr">
        <is>
          <t>chr8</t>
        </is>
      </c>
      <c r="B3899" t="n">
        <v>38382980</v>
      </c>
      <c r="C3899" t="inlineStr">
        <is>
          <t>G</t>
        </is>
      </c>
      <c r="D3899" t="inlineStr">
        <is>
          <t>A</t>
        </is>
      </c>
      <c r="E3899" t="inlineStr">
        <is>
          <t>rs60558877</t>
        </is>
      </c>
      <c r="F3899" t="n">
        <v>-0.02476409746</v>
      </c>
      <c r="G3899" t="n">
        <v>0.3499283915488593</v>
      </c>
      <c r="H3899" t="n">
        <v>0.02489734194549</v>
      </c>
      <c r="I3899" t="n">
        <v>0.0300569639608767</v>
      </c>
      <c r="J3899" t="n">
        <v>0.9532638059935918</v>
      </c>
      <c r="K3899" t="n">
        <v>0.0002109051359152</v>
      </c>
      <c r="L3899" t="b">
        <v>0</v>
      </c>
      <c r="M3899" t="b">
        <v>0</v>
      </c>
      <c r="N3899" t="inlineStr">
        <is>
          <t>ref</t>
        </is>
      </c>
      <c r="O3899" t="n">
        <v>70</v>
      </c>
      <c r="P3899" t="n">
        <v>0.003418</v>
      </c>
      <c r="Q3899" t="n">
        <v>-65</v>
      </c>
      <c r="R3899" t="n">
        <v>0.0857</v>
      </c>
      <c r="S3899">
        <f>IMAGE("https://mitra.stanford.edu/kundaje/oak/projects/neuro-variants/variant_position/credible/roussos_2024/variant_figures/roussos_2024.childhood.GABA/rs60558877_count_position.png",4,220,900)</f>
        <v/>
      </c>
      <c r="T3899">
        <f>IMAGE("https://mitra.stanford.edu/kundaje/oak/projects/neuro-variants/variant_position/credible/roussos_2024/variant_figures/roussos_2024.childhood.GABA/rs60558877_profile_position.png",4,220,900)</f>
        <v/>
      </c>
    </row>
    <row r="3900">
      <c r="A3900" t="inlineStr">
        <is>
          <t>chr8</t>
        </is>
      </c>
      <c r="B3900" t="n">
        <v>38401517</v>
      </c>
      <c r="C3900" t="inlineStr">
        <is>
          <t>C</t>
        </is>
      </c>
      <c r="D3900" t="inlineStr">
        <is>
          <t>A</t>
        </is>
      </c>
      <c r="E3900" t="inlineStr">
        <is>
          <t>rs2016875</t>
        </is>
      </c>
      <c r="F3900" t="n">
        <v>-0.1710104439999999</v>
      </c>
      <c r="G3900" t="n">
        <v>0.009140162609963001</v>
      </c>
      <c r="H3900" t="n">
        <v>0.0296280223066714</v>
      </c>
      <c r="I3900" t="n">
        <v>0.0256379533462148</v>
      </c>
      <c r="J3900" t="n">
        <v>0.2284716550438734</v>
      </c>
      <c r="K3900" t="n">
        <v>0.1880488424466736</v>
      </c>
      <c r="L3900" t="b">
        <v>1</v>
      </c>
      <c r="M3900" t="b">
        <v>1</v>
      </c>
      <c r="N3900" t="inlineStr">
        <is>
          <t>ref</t>
        </is>
      </c>
      <c r="O3900" t="n">
        <v>-90</v>
      </c>
      <c r="P3900" t="n">
        <v>0.010826</v>
      </c>
      <c r="Q3900" t="n">
        <v>95</v>
      </c>
      <c r="R3900" t="n">
        <v>0.2289</v>
      </c>
      <c r="S3900">
        <f>IMAGE("https://mitra.stanford.edu/kundaje/oak/projects/neuro-variants/variant_position/credible/roussos_2024/variant_figures/roussos_2024.childhood.GABA/rs2016875_count_position.png",4,220,900)</f>
        <v/>
      </c>
      <c r="T3900">
        <f>IMAGE("https://mitra.stanford.edu/kundaje/oak/projects/neuro-variants/variant_position/credible/roussos_2024/variant_figures/roussos_2024.childhood.GABA/rs2016875_profile_position.png",4,220,900)</f>
        <v/>
      </c>
    </row>
    <row r="3901">
      <c r="A3901" t="inlineStr">
        <is>
          <t>chr8</t>
        </is>
      </c>
      <c r="B3901" t="n">
        <v>38402922</v>
      </c>
      <c r="C3901" t="inlineStr">
        <is>
          <t>C</t>
        </is>
      </c>
      <c r="D3901" t="inlineStr">
        <is>
          <t>T</t>
        </is>
      </c>
      <c r="E3901" t="inlineStr">
        <is>
          <t>rs28681082</t>
        </is>
      </c>
      <c r="F3901" t="n">
        <v>0.00318040006</v>
      </c>
      <c r="G3901" t="n">
        <v>0.7428402488813672</v>
      </c>
      <c r="H3901" t="n">
        <v>0.0077791356601313</v>
      </c>
      <c r="I3901" t="n">
        <v>0.8746102595820477</v>
      </c>
      <c r="J3901" t="n">
        <v>0.1071988021193273</v>
      </c>
      <c r="K3901" t="n">
        <v>0.3464619995256791</v>
      </c>
      <c r="L3901" t="b">
        <v>0</v>
      </c>
      <c r="M3901" t="b">
        <v>0</v>
      </c>
      <c r="N3901" t="inlineStr">
        <is>
          <t>alt</t>
        </is>
      </c>
      <c r="O3901" t="n">
        <v>-70</v>
      </c>
      <c r="P3901" t="n">
        <v>0.01251</v>
      </c>
      <c r="Q3901" t="n">
        <v>5</v>
      </c>
      <c r="R3901" t="n">
        <v>0.01831</v>
      </c>
      <c r="S3901">
        <f>IMAGE("https://mitra.stanford.edu/kundaje/oak/projects/neuro-variants/variant_position/credible/roussos_2024/variant_figures/roussos_2024.childhood.GABA/rs28681082_count_position.png",4,220,900)</f>
        <v/>
      </c>
      <c r="T3901">
        <f>IMAGE("https://mitra.stanford.edu/kundaje/oak/projects/neuro-variants/variant_position/credible/roussos_2024/variant_figures/roussos_2024.childhood.GABA/rs28681082_profile_position.png",4,220,900)</f>
        <v/>
      </c>
    </row>
    <row r="3902">
      <c r="A3902" t="inlineStr">
        <is>
          <t>chr8</t>
        </is>
      </c>
      <c r="B3902" t="n">
        <v>38415024</v>
      </c>
      <c r="C3902" t="inlineStr">
        <is>
          <t>C</t>
        </is>
      </c>
      <c r="D3902" t="inlineStr">
        <is>
          <t>G</t>
        </is>
      </c>
      <c r="E3902" t="inlineStr">
        <is>
          <t>rs4647905</t>
        </is>
      </c>
      <c r="F3902" t="n">
        <v>0.075220599</v>
      </c>
      <c r="G3902" t="n">
        <v>0.0613412106129714</v>
      </c>
      <c r="H3902" t="n">
        <v>0.0187386049898275</v>
      </c>
      <c r="I3902" t="n">
        <v>0.0989245688865576</v>
      </c>
      <c r="J3902" t="n">
        <v>0.4501821951372745</v>
      </c>
      <c r="K3902" t="n">
        <v>0.0665597885173483</v>
      </c>
      <c r="L3902" t="b">
        <v>0</v>
      </c>
      <c r="M3902" t="b">
        <v>0</v>
      </c>
      <c r="N3902" t="inlineStr">
        <is>
          <t>alt</t>
        </is>
      </c>
      <c r="O3902" t="n">
        <v>100</v>
      </c>
      <c r="P3902" t="n">
        <v>0.003395</v>
      </c>
      <c r="Q3902" t="n">
        <v>0</v>
      </c>
      <c r="R3902" t="n">
        <v>0</v>
      </c>
      <c r="S3902">
        <f>IMAGE("https://mitra.stanford.edu/kundaje/oak/projects/neuro-variants/variant_position/credible/roussos_2024/variant_figures/roussos_2024.childhood.GABA/rs4647905_count_position.png",4,220,900)</f>
        <v/>
      </c>
      <c r="T3902">
        <f>IMAGE("https://mitra.stanford.edu/kundaje/oak/projects/neuro-variants/variant_position/credible/roussos_2024/variant_figures/roussos_2024.childhood.GABA/rs4647905_profile_position.png",4,220,900)</f>
        <v/>
      </c>
    </row>
    <row r="3903">
      <c r="A3903" t="inlineStr">
        <is>
          <t>chr8</t>
        </is>
      </c>
      <c r="B3903" t="n">
        <v>38430037</v>
      </c>
      <c r="C3903" t="inlineStr">
        <is>
          <t>C</t>
        </is>
      </c>
      <c r="D3903" t="inlineStr">
        <is>
          <t>T</t>
        </is>
      </c>
      <c r="E3903" t="inlineStr">
        <is>
          <t>rs4647907</t>
        </is>
      </c>
      <c r="F3903" t="n">
        <v>-0.0399749569999999</v>
      </c>
      <c r="G3903" t="n">
        <v>0.2059632016248446</v>
      </c>
      <c r="H3903" t="n">
        <v>0.0101772162431125</v>
      </c>
      <c r="I3903" t="n">
        <v>0.6184512838474051</v>
      </c>
      <c r="J3903" t="n">
        <v>0.6717293878662227</v>
      </c>
      <c r="K3903" t="n">
        <v>0.018310232614494</v>
      </c>
      <c r="L3903" t="b">
        <v>0</v>
      </c>
      <c r="M3903" t="b">
        <v>0</v>
      </c>
      <c r="N3903" t="inlineStr">
        <is>
          <t>ref</t>
        </is>
      </c>
      <c r="O3903" t="n">
        <v>-100</v>
      </c>
      <c r="P3903" t="n">
        <v>0.00534</v>
      </c>
      <c r="Q3903" t="n">
        <v>-100</v>
      </c>
      <c r="R3903" t="n">
        <v>0.1566</v>
      </c>
      <c r="S3903">
        <f>IMAGE("https://mitra.stanford.edu/kundaje/oak/projects/neuro-variants/variant_position/credible/roussos_2024/variant_figures/roussos_2024.childhood.GABA/rs4647907_count_position.png",4,220,900)</f>
        <v/>
      </c>
      <c r="T3903">
        <f>IMAGE("https://mitra.stanford.edu/kundaje/oak/projects/neuro-variants/variant_position/credible/roussos_2024/variant_figures/roussos_2024.childhood.GABA/rs4647907_profile_position.png",4,220,900)</f>
        <v/>
      </c>
    </row>
    <row r="3904">
      <c r="A3904" t="inlineStr">
        <is>
          <t>chr8</t>
        </is>
      </c>
      <c r="B3904" t="n">
        <v>38431048</v>
      </c>
      <c r="C3904" t="inlineStr">
        <is>
          <t>C</t>
        </is>
      </c>
      <c r="D3904" t="inlineStr">
        <is>
          <t>G</t>
        </is>
      </c>
      <c r="E3904" t="inlineStr">
        <is>
          <t>rs7005874</t>
        </is>
      </c>
      <c r="F3904" t="n">
        <v>-0.0053667177</v>
      </c>
      <c r="G3904" t="n">
        <v>0.7759929265165973</v>
      </c>
      <c r="H3904" t="n">
        <v>0.008817158026357901</v>
      </c>
      <c r="I3904" t="n">
        <v>0.7738756645259645</v>
      </c>
      <c r="J3904" t="n">
        <v>0.4811773575422504</v>
      </c>
      <c r="K3904" t="n">
        <v>0.0570573148633975</v>
      </c>
      <c r="L3904" t="b">
        <v>0</v>
      </c>
      <c r="M3904" t="b">
        <v>0</v>
      </c>
      <c r="N3904" t="inlineStr">
        <is>
          <t>ref</t>
        </is>
      </c>
      <c r="O3904" t="n">
        <v>-60</v>
      </c>
      <c r="P3904" t="n">
        <v>0.00327</v>
      </c>
      <c r="Q3904" t="n">
        <v>-35</v>
      </c>
      <c r="R3904" t="n">
        <v>0.06415</v>
      </c>
      <c r="S3904">
        <f>IMAGE("https://mitra.stanford.edu/kundaje/oak/projects/neuro-variants/variant_position/credible/roussos_2024/variant_figures/roussos_2024.childhood.GABA/rs7005874_count_position.png",4,220,900)</f>
        <v/>
      </c>
      <c r="T3904">
        <f>IMAGE("https://mitra.stanford.edu/kundaje/oak/projects/neuro-variants/variant_position/credible/roussos_2024/variant_figures/roussos_2024.childhood.GABA/rs7005874_profile_position.png",4,220,900)</f>
        <v/>
      </c>
    </row>
    <row r="3905">
      <c r="A3905" t="inlineStr">
        <is>
          <t>chr8</t>
        </is>
      </c>
      <c r="B3905" t="n">
        <v>40891512</v>
      </c>
      <c r="C3905" t="inlineStr">
        <is>
          <t>C</t>
        </is>
      </c>
      <c r="D3905" t="inlineStr">
        <is>
          <t>T</t>
        </is>
      </c>
      <c r="E3905" t="inlineStr">
        <is>
          <t>rs62640287</t>
        </is>
      </c>
      <c r="F3905" t="n">
        <v>-0.0394116036</v>
      </c>
      <c r="G3905" t="n">
        <v>0.2204986100462839</v>
      </c>
      <c r="H3905" t="n">
        <v>0.0107128952070704</v>
      </c>
      <c r="I3905" t="n">
        <v>0.557866261784609</v>
      </c>
      <c r="J3905" t="n">
        <v>0.2842087076710435</v>
      </c>
      <c r="K3905" t="n">
        <v>0.1495093110241287</v>
      </c>
      <c r="L3905" t="b">
        <v>0</v>
      </c>
      <c r="M3905" t="b">
        <v>0</v>
      </c>
      <c r="N3905" t="inlineStr">
        <is>
          <t>ref</t>
        </is>
      </c>
      <c r="O3905" t="n">
        <v>90</v>
      </c>
      <c r="P3905" t="n">
        <v>0.003418</v>
      </c>
      <c r="Q3905" t="n">
        <v>75</v>
      </c>
      <c r="R3905" t="n">
        <v>0.01752</v>
      </c>
      <c r="S3905">
        <f>IMAGE("https://mitra.stanford.edu/kundaje/oak/projects/neuro-variants/variant_position/credible/roussos_2024/variant_figures/roussos_2024.childhood.GABA/rs62640287_count_position.png",4,220,900)</f>
        <v/>
      </c>
      <c r="T3905">
        <f>IMAGE("https://mitra.stanford.edu/kundaje/oak/projects/neuro-variants/variant_position/credible/roussos_2024/variant_figures/roussos_2024.childhood.GABA/rs62640287_profile_position.png",4,220,900)</f>
        <v/>
      </c>
    </row>
    <row r="3906">
      <c r="A3906" t="inlineStr">
        <is>
          <t>chr8</t>
        </is>
      </c>
      <c r="B3906" t="n">
        <v>40896455</v>
      </c>
      <c r="C3906" t="inlineStr">
        <is>
          <t>C</t>
        </is>
      </c>
      <c r="D3906" t="inlineStr">
        <is>
          <t>A</t>
        </is>
      </c>
      <c r="E3906" t="inlineStr">
        <is>
          <t>rs16890077</t>
        </is>
      </c>
      <c r="F3906" t="n">
        <v>-0.003415019844</v>
      </c>
      <c r="G3906" t="n">
        <v>0.750617909318435</v>
      </c>
      <c r="H3906" t="n">
        <v>0.009080833029292501</v>
      </c>
      <c r="I3906" t="n">
        <v>0.7408810363577564</v>
      </c>
      <c r="J3906" t="n">
        <v>0.4876013067789156</v>
      </c>
      <c r="K3906" t="n">
        <v>0.0550675070123302</v>
      </c>
      <c r="L3906" t="b">
        <v>0</v>
      </c>
      <c r="M3906" t="b">
        <v>0</v>
      </c>
      <c r="N3906" t="inlineStr">
        <is>
          <t>ref</t>
        </is>
      </c>
      <c r="O3906" t="n">
        <v>10</v>
      </c>
      <c r="P3906" t="n">
        <v>0.000164</v>
      </c>
      <c r="Q3906" t="n">
        <v>-75</v>
      </c>
      <c r="R3906" t="n">
        <v>0.03366</v>
      </c>
      <c r="S3906">
        <f>IMAGE("https://mitra.stanford.edu/kundaje/oak/projects/neuro-variants/variant_position/credible/roussos_2024/variant_figures/roussos_2024.childhood.GABA/rs16890077_count_position.png",4,220,900)</f>
        <v/>
      </c>
      <c r="T3906">
        <f>IMAGE("https://mitra.stanford.edu/kundaje/oak/projects/neuro-variants/variant_position/credible/roussos_2024/variant_figures/roussos_2024.childhood.GABA/rs16890077_profile_position.png",4,220,900)</f>
        <v/>
      </c>
    </row>
    <row r="3907">
      <c r="A3907" t="inlineStr">
        <is>
          <t>chr8</t>
        </is>
      </c>
      <c r="B3907" t="n">
        <v>51796358</v>
      </c>
      <c r="C3907" t="inlineStr">
        <is>
          <t>A</t>
        </is>
      </c>
      <c r="D3907" t="inlineStr">
        <is>
          <t>C</t>
        </is>
      </c>
      <c r="E3907" t="inlineStr">
        <is>
          <t>rs4498530</t>
        </is>
      </c>
      <c r="F3907" t="n">
        <v>0.0135978086</v>
      </c>
      <c r="G3907" t="n">
        <v>0.5214451787018106</v>
      </c>
      <c r="H3907" t="n">
        <v>0.0204743076758396</v>
      </c>
      <c r="I3907" t="n">
        <v>0.06849841380639669</v>
      </c>
      <c r="J3907" t="n">
        <v>0.0048595840924796</v>
      </c>
      <c r="K3907" t="n">
        <v>0.8130209198303232</v>
      </c>
      <c r="L3907" t="b">
        <v>0</v>
      </c>
      <c r="M3907" t="b">
        <v>0</v>
      </c>
      <c r="N3907" t="inlineStr">
        <is>
          <t>alt</t>
        </is>
      </c>
      <c r="O3907" t="n">
        <v>-75</v>
      </c>
      <c r="P3907" t="n">
        <v>0.002563</v>
      </c>
      <c r="Q3907" t="n">
        <v>-90</v>
      </c>
      <c r="R3907" t="n">
        <v>0.02399</v>
      </c>
      <c r="S3907">
        <f>IMAGE("https://mitra.stanford.edu/kundaje/oak/projects/neuro-variants/variant_position/credible/roussos_2024/variant_figures/roussos_2024.childhood.GABA/rs4498530_count_position.png",4,220,900)</f>
        <v/>
      </c>
      <c r="T3907">
        <f>IMAGE("https://mitra.stanford.edu/kundaje/oak/projects/neuro-variants/variant_position/credible/roussos_2024/variant_figures/roussos_2024.childhood.GABA/rs4498530_profile_position.png",4,220,900)</f>
        <v/>
      </c>
    </row>
    <row r="3908">
      <c r="A3908" t="inlineStr">
        <is>
          <t>chr8</t>
        </is>
      </c>
      <c r="B3908" t="n">
        <v>51872765</v>
      </c>
      <c r="C3908" t="inlineStr">
        <is>
          <t>C</t>
        </is>
      </c>
      <c r="D3908" t="inlineStr">
        <is>
          <t>A</t>
        </is>
      </c>
      <c r="E3908" t="inlineStr">
        <is>
          <t>rs10105030</t>
        </is>
      </c>
      <c r="F3908" t="n">
        <v>-0.120689032</v>
      </c>
      <c r="G3908" t="n">
        <v>0.0180754299652082</v>
      </c>
      <c r="H3908" t="n">
        <v>0.0290032582733766</v>
      </c>
      <c r="I3908" t="n">
        <v>0.0158193484883448</v>
      </c>
      <c r="J3908" t="n">
        <v>0.0035957362149483</v>
      </c>
      <c r="K3908" t="n">
        <v>0.8617945303317477</v>
      </c>
      <c r="L3908" t="b">
        <v>1</v>
      </c>
      <c r="M3908" t="b">
        <v>0</v>
      </c>
      <c r="N3908" t="inlineStr">
        <is>
          <t>ref</t>
        </is>
      </c>
      <c r="O3908" t="n">
        <v>20</v>
      </c>
      <c r="P3908" t="n">
        <v>0.004154</v>
      </c>
      <c r="Q3908" t="n">
        <v>-95</v>
      </c>
      <c r="R3908" t="n">
        <v>0.05237</v>
      </c>
      <c r="S3908">
        <f>IMAGE("https://mitra.stanford.edu/kundaje/oak/projects/neuro-variants/variant_position/credible/roussos_2024/variant_figures/roussos_2024.childhood.GABA/rs10105030_count_position.png",4,220,900)</f>
        <v/>
      </c>
      <c r="T3908">
        <f>IMAGE("https://mitra.stanford.edu/kundaje/oak/projects/neuro-variants/variant_position/credible/roussos_2024/variant_figures/roussos_2024.childhood.GABA/rs10105030_profile_position.png",4,220,900)</f>
        <v/>
      </c>
    </row>
    <row r="3909">
      <c r="A3909" t="inlineStr">
        <is>
          <t>chr8</t>
        </is>
      </c>
      <c r="B3909" t="n">
        <v>51983360</v>
      </c>
      <c r="C3909" t="inlineStr">
        <is>
          <t>C</t>
        </is>
      </c>
      <c r="D3909" t="inlineStr">
        <is>
          <t>T</t>
        </is>
      </c>
      <c r="E3909" t="inlineStr">
        <is>
          <t>rs4873621</t>
        </is>
      </c>
      <c r="F3909" t="n">
        <v>0.01156289634</v>
      </c>
      <c r="G3909" t="n">
        <v>0.5755133436624071</v>
      </c>
      <c r="H3909" t="n">
        <v>0.0336002869256245</v>
      </c>
      <c r="I3909" t="n">
        <v>0.0077971740705888</v>
      </c>
      <c r="J3909" t="n">
        <v>0.0172436179347028</v>
      </c>
      <c r="K3909" t="n">
        <v>0.6740106607245901</v>
      </c>
      <c r="L3909" t="b">
        <v>1</v>
      </c>
      <c r="M3909" t="b">
        <v>0</v>
      </c>
      <c r="N3909" t="inlineStr">
        <is>
          <t>alt</t>
        </is>
      </c>
      <c r="O3909" t="n">
        <v>-100</v>
      </c>
      <c r="P3909" t="n">
        <v>0.01226</v>
      </c>
      <c r="Q3909" t="n">
        <v>-25</v>
      </c>
      <c r="R3909" t="n">
        <v>0.02075</v>
      </c>
      <c r="S3909">
        <f>IMAGE("https://mitra.stanford.edu/kundaje/oak/projects/neuro-variants/variant_position/credible/roussos_2024/variant_figures/roussos_2024.childhood.GABA/rs4873621_count_position.png",4,220,900)</f>
        <v/>
      </c>
      <c r="T3909">
        <f>IMAGE("https://mitra.stanford.edu/kundaje/oak/projects/neuro-variants/variant_position/credible/roussos_2024/variant_figures/roussos_2024.childhood.GABA/rs4873621_profile_position.png",4,220,900)</f>
        <v/>
      </c>
    </row>
    <row r="3910">
      <c r="A3910" t="inlineStr">
        <is>
          <t>chr8</t>
        </is>
      </c>
      <c r="B3910" t="n">
        <v>51997917</v>
      </c>
      <c r="C3910" t="inlineStr">
        <is>
          <t>T</t>
        </is>
      </c>
      <c r="D3910" t="inlineStr">
        <is>
          <t>C</t>
        </is>
      </c>
      <c r="E3910" t="inlineStr">
        <is>
          <t>rs16917075</t>
        </is>
      </c>
      <c r="F3910" t="n">
        <v>-0.0514917818</v>
      </c>
      <c r="G3910" t="n">
        <v>0.1470805025600979</v>
      </c>
      <c r="H3910" t="n">
        <v>0.013551278122482</v>
      </c>
      <c r="I3910" t="n">
        <v>0.3130939412452051</v>
      </c>
      <c r="J3910" t="n">
        <v>0.0405132876798391</v>
      </c>
      <c r="K3910" t="n">
        <v>0.5212782663366496</v>
      </c>
      <c r="L3910" t="b">
        <v>0</v>
      </c>
      <c r="M3910" t="b">
        <v>0</v>
      </c>
      <c r="N3910" t="inlineStr">
        <is>
          <t>ref</t>
        </is>
      </c>
      <c r="O3910" t="n">
        <v>95</v>
      </c>
      <c r="P3910" t="n">
        <v>0.00403</v>
      </c>
      <c r="Q3910" t="n">
        <v>25</v>
      </c>
      <c r="R3910" t="n">
        <v>0.01715</v>
      </c>
      <c r="S3910">
        <f>IMAGE("https://mitra.stanford.edu/kundaje/oak/projects/neuro-variants/variant_position/credible/roussos_2024/variant_figures/roussos_2024.childhood.GABA/rs16917075_count_position.png",4,220,900)</f>
        <v/>
      </c>
      <c r="T3910">
        <f>IMAGE("https://mitra.stanford.edu/kundaje/oak/projects/neuro-variants/variant_position/credible/roussos_2024/variant_figures/roussos_2024.childhood.GABA/rs16917075_profile_position.png",4,220,900)</f>
        <v/>
      </c>
    </row>
    <row r="3911">
      <c r="A3911" t="inlineStr">
        <is>
          <t>chr8</t>
        </is>
      </c>
      <c r="B3911" t="n">
        <v>54639577</v>
      </c>
      <c r="C3911" t="inlineStr">
        <is>
          <t>T</t>
        </is>
      </c>
      <c r="D3911" t="inlineStr">
        <is>
          <t>C</t>
        </is>
      </c>
      <c r="E3911" t="inlineStr">
        <is>
          <t>rs62514618</t>
        </is>
      </c>
      <c r="F3911" t="n">
        <v>-0.150189509</v>
      </c>
      <c r="G3911" t="n">
        <v>0.0111288696689779</v>
      </c>
      <c r="H3911" t="n">
        <v>0.0208124083033709</v>
      </c>
      <c r="I3911" t="n">
        <v>0.06481928182399591</v>
      </c>
      <c r="J3911" t="n">
        <v>0.0177902033465267</v>
      </c>
      <c r="K3911" t="n">
        <v>0.674598187972371</v>
      </c>
      <c r="L3911" t="b">
        <v>1</v>
      </c>
      <c r="M3911" t="b">
        <v>0</v>
      </c>
      <c r="N3911" t="inlineStr">
        <is>
          <t>ref</t>
        </is>
      </c>
      <c r="O3911" t="n">
        <v>95</v>
      </c>
      <c r="P3911" t="n">
        <v>0.005875</v>
      </c>
      <c r="Q3911" t="n">
        <v>70</v>
      </c>
      <c r="R3911" t="n">
        <v>0.07806</v>
      </c>
      <c r="S3911">
        <f>IMAGE("https://mitra.stanford.edu/kundaje/oak/projects/neuro-variants/variant_position/credible/roussos_2024/variant_figures/roussos_2024.childhood.GABA/rs62514618_count_position.png",4,220,900)</f>
        <v/>
      </c>
      <c r="T3911">
        <f>IMAGE("https://mitra.stanford.edu/kundaje/oak/projects/neuro-variants/variant_position/credible/roussos_2024/variant_figures/roussos_2024.childhood.GABA/rs62514618_profile_position.png",4,220,900)</f>
        <v/>
      </c>
    </row>
    <row r="3912">
      <c r="A3912" t="inlineStr">
        <is>
          <t>chr8</t>
        </is>
      </c>
      <c r="B3912" t="n">
        <v>54673079</v>
      </c>
      <c r="C3912" t="inlineStr">
        <is>
          <t>C</t>
        </is>
      </c>
      <c r="D3912" t="inlineStr">
        <is>
          <t>T</t>
        </is>
      </c>
      <c r="E3912" t="inlineStr">
        <is>
          <t>rs41444144</t>
        </is>
      </c>
      <c r="F3912" t="n">
        <v>-0.07439602200000001</v>
      </c>
      <c r="G3912" t="n">
        <v>0.0674675453201329</v>
      </c>
      <c r="H3912" t="n">
        <v>0.0131648551768631</v>
      </c>
      <c r="I3912" t="n">
        <v>0.3407889438106641</v>
      </c>
      <c r="J3912" t="n">
        <v>0.0107453247052417</v>
      </c>
      <c r="K3912" t="n">
        <v>0.7318694995964433</v>
      </c>
      <c r="L3912" t="b">
        <v>0</v>
      </c>
      <c r="M3912" t="b">
        <v>0</v>
      </c>
      <c r="N3912" t="inlineStr">
        <is>
          <t>ref</t>
        </is>
      </c>
      <c r="O3912" t="n">
        <v>30</v>
      </c>
      <c r="P3912" t="n">
        <v>0.004696</v>
      </c>
      <c r="Q3912" t="n">
        <v>55</v>
      </c>
      <c r="R3912" t="n">
        <v>0.0263</v>
      </c>
      <c r="S3912">
        <f>IMAGE("https://mitra.stanford.edu/kundaje/oak/projects/neuro-variants/variant_position/credible/roussos_2024/variant_figures/roussos_2024.childhood.GABA/rs41444144_count_position.png",4,220,900)</f>
        <v/>
      </c>
      <c r="T3912">
        <f>IMAGE("https://mitra.stanford.edu/kundaje/oak/projects/neuro-variants/variant_position/credible/roussos_2024/variant_figures/roussos_2024.childhood.GABA/rs41444144_profile_position.png",4,220,900)</f>
        <v/>
      </c>
    </row>
    <row r="3913">
      <c r="A3913" t="inlineStr">
        <is>
          <t>chr8</t>
        </is>
      </c>
      <c r="B3913" t="n">
        <v>54698448</v>
      </c>
      <c r="C3913" t="inlineStr">
        <is>
          <t>G</t>
        </is>
      </c>
      <c r="D3913" t="inlineStr">
        <is>
          <t>A</t>
        </is>
      </c>
      <c r="E3913" t="inlineStr">
        <is>
          <t>rs858392</t>
        </is>
      </c>
      <c r="F3913" t="n">
        <v>0.0498291078</v>
      </c>
      <c r="G3913" t="n">
        <v>0.1615576827365271</v>
      </c>
      <c r="H3913" t="n">
        <v>0.0164942686422045</v>
      </c>
      <c r="I3913" t="n">
        <v>0.1605109883597925</v>
      </c>
      <c r="J3913" t="n">
        <v>0.0026386881950116</v>
      </c>
      <c r="K3913" t="n">
        <v>0.8731447726254651</v>
      </c>
      <c r="L3913" t="b">
        <v>0</v>
      </c>
      <c r="M3913" t="b">
        <v>0</v>
      </c>
      <c r="N3913" t="inlineStr">
        <is>
          <t>alt</t>
        </is>
      </c>
      <c r="O3913" t="n">
        <v>-100</v>
      </c>
      <c r="P3913" t="n">
        <v>0.00817</v>
      </c>
      <c r="Q3913" t="n">
        <v>35</v>
      </c>
      <c r="R3913" t="n">
        <v>0.0227</v>
      </c>
      <c r="S3913">
        <f>IMAGE("https://mitra.stanford.edu/kundaje/oak/projects/neuro-variants/variant_position/credible/roussos_2024/variant_figures/roussos_2024.childhood.GABA/rs858392_count_position.png",4,220,900)</f>
        <v/>
      </c>
      <c r="T3913">
        <f>IMAGE("https://mitra.stanford.edu/kundaje/oak/projects/neuro-variants/variant_position/credible/roussos_2024/variant_figures/roussos_2024.childhood.GABA/rs858392_profile_position.png",4,220,900)</f>
        <v/>
      </c>
    </row>
    <row r="3914">
      <c r="A3914" t="inlineStr">
        <is>
          <t>chr8</t>
        </is>
      </c>
      <c r="B3914" t="n">
        <v>54708353</v>
      </c>
      <c r="C3914" t="inlineStr">
        <is>
          <t>G</t>
        </is>
      </c>
      <c r="D3914" t="inlineStr">
        <is>
          <t>T</t>
        </is>
      </c>
      <c r="E3914" t="inlineStr">
        <is>
          <t>rs72650344</t>
        </is>
      </c>
      <c r="F3914" t="n">
        <v>-0.0001105874999999</v>
      </c>
      <c r="G3914" t="n">
        <v>0.8031702876465007</v>
      </c>
      <c r="H3914" t="n">
        <v>0.0167092505459402</v>
      </c>
      <c r="I3914" t="n">
        <v>0.1525708692714868</v>
      </c>
      <c r="J3914" t="n">
        <v>0.0541580281041234</v>
      </c>
      <c r="K3914" t="n">
        <v>0.4896340208913234</v>
      </c>
      <c r="L3914" t="b">
        <v>0</v>
      </c>
      <c r="M3914" t="b">
        <v>0</v>
      </c>
      <c r="N3914" t="inlineStr">
        <is>
          <t>ref</t>
        </is>
      </c>
      <c r="O3914" t="n">
        <v>100</v>
      </c>
      <c r="P3914" t="n">
        <v>0.02443</v>
      </c>
      <c r="Q3914" t="n">
        <v>35</v>
      </c>
      <c r="R3914" t="n">
        <v>0.01935</v>
      </c>
      <c r="S3914">
        <f>IMAGE("https://mitra.stanford.edu/kundaje/oak/projects/neuro-variants/variant_position/credible/roussos_2024/variant_figures/roussos_2024.childhood.GABA/rs72650344_count_position.png",4,220,900)</f>
        <v/>
      </c>
      <c r="T3914">
        <f>IMAGE("https://mitra.stanford.edu/kundaje/oak/projects/neuro-variants/variant_position/credible/roussos_2024/variant_figures/roussos_2024.childhood.GABA/rs72650344_profile_position.png",4,220,900)</f>
        <v/>
      </c>
    </row>
    <row r="3915">
      <c r="A3915" t="inlineStr">
        <is>
          <t>chr8</t>
        </is>
      </c>
      <c r="B3915" t="n">
        <v>54828520</v>
      </c>
      <c r="C3915" t="inlineStr">
        <is>
          <t>G</t>
        </is>
      </c>
      <c r="D3915" t="inlineStr">
        <is>
          <t>A</t>
        </is>
      </c>
      <c r="E3915" t="inlineStr">
        <is>
          <t>rs6984055</t>
        </is>
      </c>
      <c r="F3915" t="n">
        <v>0.005285879</v>
      </c>
      <c r="G3915" t="n">
        <v>0.5900525507139462</v>
      </c>
      <c r="H3915" t="n">
        <v>0.0117313681741318</v>
      </c>
      <c r="I3915" t="n">
        <v>0.4606048337304448</v>
      </c>
      <c r="J3915" t="n">
        <v>0.0519915813281397</v>
      </c>
      <c r="K3915" t="n">
        <v>0.509151672589224</v>
      </c>
      <c r="L3915" t="b">
        <v>0</v>
      </c>
      <c r="M3915" t="b">
        <v>0</v>
      </c>
      <c r="N3915" t="inlineStr">
        <is>
          <t>alt</t>
        </is>
      </c>
      <c r="O3915" t="n">
        <v>-100</v>
      </c>
      <c r="P3915" t="n">
        <v>0.01087</v>
      </c>
      <c r="Q3915" t="n">
        <v>-25</v>
      </c>
      <c r="R3915" t="n">
        <v>0.03546</v>
      </c>
      <c r="S3915">
        <f>IMAGE("https://mitra.stanford.edu/kundaje/oak/projects/neuro-variants/variant_position/credible/roussos_2024/variant_figures/roussos_2024.childhood.GABA/rs6984055_count_position.png",4,220,900)</f>
        <v/>
      </c>
      <c r="T3915">
        <f>IMAGE("https://mitra.stanford.edu/kundaje/oak/projects/neuro-variants/variant_position/credible/roussos_2024/variant_figures/roussos_2024.childhood.GABA/rs6984055_profile_position.png",4,220,900)</f>
        <v/>
      </c>
    </row>
    <row r="3916">
      <c r="A3916" t="inlineStr">
        <is>
          <t>chr8</t>
        </is>
      </c>
      <c r="B3916" t="n">
        <v>54834669</v>
      </c>
      <c r="C3916" t="inlineStr">
        <is>
          <t>T</t>
        </is>
      </c>
      <c r="D3916" t="inlineStr">
        <is>
          <t>G</t>
        </is>
      </c>
      <c r="E3916" t="inlineStr">
        <is>
          <t>rs56956895</t>
        </is>
      </c>
      <c r="F3916" t="n">
        <v>0.027782112</v>
      </c>
      <c r="G3916" t="n">
        <v>0.3089741471498929</v>
      </c>
      <c r="H3916" t="n">
        <v>0.0120254120431471</v>
      </c>
      <c r="I3916" t="n">
        <v>0.4371224118990131</v>
      </c>
      <c r="J3916" t="n">
        <v>0.0010973592176079</v>
      </c>
      <c r="K3916" t="n">
        <v>0.9098151707847576</v>
      </c>
      <c r="L3916" t="b">
        <v>0</v>
      </c>
      <c r="M3916" t="b">
        <v>0</v>
      </c>
      <c r="N3916" t="inlineStr">
        <is>
          <t>alt</t>
        </is>
      </c>
      <c r="O3916" t="n">
        <v>-65</v>
      </c>
      <c r="P3916" t="n">
        <v>0.002483</v>
      </c>
      <c r="Q3916" t="n">
        <v>-100</v>
      </c>
      <c r="R3916" t="n">
        <v>0.07275</v>
      </c>
      <c r="S3916">
        <f>IMAGE("https://mitra.stanford.edu/kundaje/oak/projects/neuro-variants/variant_position/credible/roussos_2024/variant_figures/roussos_2024.childhood.GABA/rs56956895_count_position.png",4,220,900)</f>
        <v/>
      </c>
      <c r="T3916">
        <f>IMAGE("https://mitra.stanford.edu/kundaje/oak/projects/neuro-variants/variant_position/credible/roussos_2024/variant_figures/roussos_2024.childhood.GABA/rs56956895_profile_position.png",4,220,900)</f>
        <v/>
      </c>
    </row>
    <row r="3917">
      <c r="A3917" t="inlineStr">
        <is>
          <t>chr8</t>
        </is>
      </c>
      <c r="B3917" t="n">
        <v>54836020</v>
      </c>
      <c r="C3917" t="inlineStr">
        <is>
          <t>C</t>
        </is>
      </c>
      <c r="D3917" t="inlineStr">
        <is>
          <t>T</t>
        </is>
      </c>
      <c r="E3917" t="inlineStr">
        <is>
          <t>rs9298512</t>
        </is>
      </c>
      <c r="F3917" t="n">
        <v>0.0406820537999999</v>
      </c>
      <c r="G3917" t="n">
        <v>0.2061921061975022</v>
      </c>
      <c r="H3917" t="n">
        <v>0.0155129124180799</v>
      </c>
      <c r="I3917" t="n">
        <v>0.1988021657425133</v>
      </c>
      <c r="J3917" t="n">
        <v>0.0371803731859018</v>
      </c>
      <c r="K3917" t="n">
        <v>0.5422920902745708</v>
      </c>
      <c r="L3917" t="b">
        <v>0</v>
      </c>
      <c r="M3917" t="b">
        <v>0</v>
      </c>
      <c r="N3917" t="inlineStr">
        <is>
          <t>alt</t>
        </is>
      </c>
      <c r="O3917" t="n">
        <v>40</v>
      </c>
      <c r="P3917" t="n">
        <v>0.0006733</v>
      </c>
      <c r="Q3917" t="n">
        <v>-75</v>
      </c>
      <c r="R3917" t="n">
        <v>0.07770000000000001</v>
      </c>
      <c r="S3917">
        <f>IMAGE("https://mitra.stanford.edu/kundaje/oak/projects/neuro-variants/variant_position/credible/roussos_2024/variant_figures/roussos_2024.childhood.GABA/rs9298512_count_position.png",4,220,900)</f>
        <v/>
      </c>
      <c r="T3917">
        <f>IMAGE("https://mitra.stanford.edu/kundaje/oak/projects/neuro-variants/variant_position/credible/roussos_2024/variant_figures/roussos_2024.childhood.GABA/rs9298512_profile_position.png",4,220,900)</f>
        <v/>
      </c>
    </row>
    <row r="3918">
      <c r="A3918" t="inlineStr">
        <is>
          <t>chr8</t>
        </is>
      </c>
      <c r="B3918" t="n">
        <v>54869952</v>
      </c>
      <c r="C3918" t="inlineStr">
        <is>
          <t>C</t>
        </is>
      </c>
      <c r="D3918" t="inlineStr">
        <is>
          <t>T</t>
        </is>
      </c>
      <c r="E3918" t="inlineStr">
        <is>
          <t>rs1498180</t>
        </is>
      </c>
      <c r="F3918" t="n">
        <v>0.0165376528</v>
      </c>
      <c r="G3918" t="n">
        <v>0.4581065711921588</v>
      </c>
      <c r="H3918" t="n">
        <v>0.0100251548217324</v>
      </c>
      <c r="I3918" t="n">
        <v>0.6298496562238087</v>
      </c>
      <c r="J3918" t="n">
        <v>0.0290842076605725</v>
      </c>
      <c r="K3918" t="n">
        <v>0.605345888745465</v>
      </c>
      <c r="L3918" t="b">
        <v>0</v>
      </c>
      <c r="M3918" t="b">
        <v>0</v>
      </c>
      <c r="N3918" t="inlineStr">
        <is>
          <t>alt</t>
        </is>
      </c>
      <c r="O3918" t="n">
        <v>-100</v>
      </c>
      <c r="P3918" t="n">
        <v>0.01491</v>
      </c>
      <c r="Q3918" t="n">
        <v>-100</v>
      </c>
      <c r="R3918" t="n">
        <v>0.0541</v>
      </c>
      <c r="S3918">
        <f>IMAGE("https://mitra.stanford.edu/kundaje/oak/projects/neuro-variants/variant_position/credible/roussos_2024/variant_figures/roussos_2024.childhood.GABA/rs1498180_count_position.png",4,220,900)</f>
        <v/>
      </c>
      <c r="T3918">
        <f>IMAGE("https://mitra.stanford.edu/kundaje/oak/projects/neuro-variants/variant_position/credible/roussos_2024/variant_figures/roussos_2024.childhood.GABA/rs1498180_profile_position.png",4,220,900)</f>
        <v/>
      </c>
    </row>
    <row r="3919">
      <c r="A3919" t="inlineStr">
        <is>
          <t>chr8</t>
        </is>
      </c>
      <c r="B3919" t="n">
        <v>54876309</v>
      </c>
      <c r="C3919" t="inlineStr">
        <is>
          <t>G</t>
        </is>
      </c>
      <c r="D3919" t="inlineStr">
        <is>
          <t>A</t>
        </is>
      </c>
      <c r="E3919" t="inlineStr">
        <is>
          <t>rs1498179</t>
        </is>
      </c>
      <c r="F3919" t="n">
        <v>-0.1028447272</v>
      </c>
      <c r="G3919" t="n">
        <v>0.0296516757125833</v>
      </c>
      <c r="H3919" t="n">
        <v>0.0133579911218289</v>
      </c>
      <c r="I3919" t="n">
        <v>0.3273639493549928</v>
      </c>
      <c r="J3919" t="n">
        <v>0.0561401855458524</v>
      </c>
      <c r="K3919" t="n">
        <v>0.4829390347174438</v>
      </c>
      <c r="L3919" t="b">
        <v>0</v>
      </c>
      <c r="M3919" t="b">
        <v>0</v>
      </c>
      <c r="N3919" t="inlineStr">
        <is>
          <t>ref</t>
        </is>
      </c>
      <c r="O3919" t="n">
        <v>-100</v>
      </c>
      <c r="P3919" t="n">
        <v>0.001667</v>
      </c>
      <c r="Q3919" t="n">
        <v>-80</v>
      </c>
      <c r="R3919" t="n">
        <v>0.02692</v>
      </c>
      <c r="S3919">
        <f>IMAGE("https://mitra.stanford.edu/kundaje/oak/projects/neuro-variants/variant_position/credible/roussos_2024/variant_figures/roussos_2024.childhood.GABA/rs1498179_count_position.png",4,220,900)</f>
        <v/>
      </c>
      <c r="T3919">
        <f>IMAGE("https://mitra.stanford.edu/kundaje/oak/projects/neuro-variants/variant_position/credible/roussos_2024/variant_figures/roussos_2024.childhood.GABA/rs1498179_profile_position.png",4,220,900)</f>
        <v/>
      </c>
    </row>
    <row r="3920">
      <c r="A3920" t="inlineStr">
        <is>
          <t>chr8</t>
        </is>
      </c>
      <c r="B3920" t="n">
        <v>54877642</v>
      </c>
      <c r="C3920" t="inlineStr">
        <is>
          <t>T</t>
        </is>
      </c>
      <c r="D3920" t="inlineStr">
        <is>
          <t>G</t>
        </is>
      </c>
      <c r="E3920" t="inlineStr">
        <is>
          <t>rs10108316</t>
        </is>
      </c>
      <c r="F3920" t="n">
        <v>0.0472300993999999</v>
      </c>
      <c r="G3920" t="n">
        <v>0.1543194712174647</v>
      </c>
      <c r="H3920" t="n">
        <v>0.013158772923981</v>
      </c>
      <c r="I3920" t="n">
        <v>0.3425313847656958</v>
      </c>
      <c r="J3920" t="n">
        <v>0.008009256350652199</v>
      </c>
      <c r="K3920" t="n">
        <v>0.7674156294804465</v>
      </c>
      <c r="L3920" t="b">
        <v>0</v>
      </c>
      <c r="M3920" t="b">
        <v>0</v>
      </c>
      <c r="N3920" t="inlineStr">
        <is>
          <t>alt</t>
        </is>
      </c>
      <c r="O3920" t="n">
        <v>100</v>
      </c>
      <c r="P3920" t="n">
        <v>0.0037</v>
      </c>
      <c r="Q3920" t="n">
        <v>-100</v>
      </c>
      <c r="R3920" t="n">
        <v>0.025</v>
      </c>
      <c r="S3920">
        <f>IMAGE("https://mitra.stanford.edu/kundaje/oak/projects/neuro-variants/variant_position/credible/roussos_2024/variant_figures/roussos_2024.childhood.GABA/rs10108316_count_position.png",4,220,900)</f>
        <v/>
      </c>
      <c r="T3920">
        <f>IMAGE("https://mitra.stanford.edu/kundaje/oak/projects/neuro-variants/variant_position/credible/roussos_2024/variant_figures/roussos_2024.childhood.GABA/rs10108316_profile_position.png",4,220,900)</f>
        <v/>
      </c>
    </row>
    <row r="3921">
      <c r="A3921" t="inlineStr">
        <is>
          <t>chr8</t>
        </is>
      </c>
      <c r="B3921" t="n">
        <v>54964104</v>
      </c>
      <c r="C3921" t="inlineStr">
        <is>
          <t>C</t>
        </is>
      </c>
      <c r="D3921" t="inlineStr">
        <is>
          <t>A</t>
        </is>
      </c>
      <c r="E3921" t="inlineStr">
        <is>
          <t>rs4737804</t>
        </is>
      </c>
      <c r="F3921" t="n">
        <v>-0.01600824512</v>
      </c>
      <c r="G3921" t="n">
        <v>0.5194045092604189</v>
      </c>
      <c r="H3921" t="n">
        <v>0.008219605436359001</v>
      </c>
      <c r="I3921" t="n">
        <v>0.8323856687430728</v>
      </c>
      <c r="J3921" t="n">
        <v>0.0014324307344348</v>
      </c>
      <c r="K3921" t="n">
        <v>0.907605020431604</v>
      </c>
      <c r="L3921" t="b">
        <v>0</v>
      </c>
      <c r="M3921" t="b">
        <v>0</v>
      </c>
      <c r="N3921" t="inlineStr">
        <is>
          <t>ref</t>
        </is>
      </c>
      <c r="O3921" t="n">
        <v>-100</v>
      </c>
      <c r="P3921" t="n">
        <v>0.003891</v>
      </c>
      <c r="Q3921" t="n">
        <v>80</v>
      </c>
      <c r="R3921" t="n">
        <v>0.0083</v>
      </c>
      <c r="S3921">
        <f>IMAGE("https://mitra.stanford.edu/kundaje/oak/projects/neuro-variants/variant_position/credible/roussos_2024/variant_figures/roussos_2024.childhood.GABA/rs4737804_count_position.png",4,220,900)</f>
        <v/>
      </c>
      <c r="T3921">
        <f>IMAGE("https://mitra.stanford.edu/kundaje/oak/projects/neuro-variants/variant_position/credible/roussos_2024/variant_figures/roussos_2024.childhood.GABA/rs4737804_profile_position.png",4,220,900)</f>
        <v/>
      </c>
    </row>
    <row r="3922">
      <c r="A3922" t="inlineStr">
        <is>
          <t>chr8</t>
        </is>
      </c>
      <c r="B3922" t="n">
        <v>54975071</v>
      </c>
      <c r="C3922" t="inlineStr">
        <is>
          <t>G</t>
        </is>
      </c>
      <c r="D3922" t="inlineStr">
        <is>
          <t>A</t>
        </is>
      </c>
      <c r="E3922" t="inlineStr">
        <is>
          <t>rs4737807</t>
        </is>
      </c>
      <c r="F3922" t="n">
        <v>0.0351262839999999</v>
      </c>
      <c r="G3922" t="n">
        <v>0.2279146577789491</v>
      </c>
      <c r="H3922" t="n">
        <v>0.0100712303536835</v>
      </c>
      <c r="I3922" t="n">
        <v>0.6022662684307267</v>
      </c>
      <c r="J3922" t="n">
        <v>0.0010586165734748</v>
      </c>
      <c r="K3922" t="n">
        <v>0.9143081357163876</v>
      </c>
      <c r="L3922" t="b">
        <v>0</v>
      </c>
      <c r="M3922" t="b">
        <v>0</v>
      </c>
      <c r="N3922" t="inlineStr">
        <is>
          <t>alt</t>
        </is>
      </c>
      <c r="O3922" t="n">
        <v>-100</v>
      </c>
      <c r="P3922" t="n">
        <v>0.0010605</v>
      </c>
      <c r="Q3922" t="n">
        <v>80</v>
      </c>
      <c r="R3922" t="n">
        <v>0.1416</v>
      </c>
      <c r="S3922">
        <f>IMAGE("https://mitra.stanford.edu/kundaje/oak/projects/neuro-variants/variant_position/credible/roussos_2024/variant_figures/roussos_2024.childhood.GABA/rs4737807_count_position.png",4,220,900)</f>
        <v/>
      </c>
      <c r="T3922">
        <f>IMAGE("https://mitra.stanford.edu/kundaje/oak/projects/neuro-variants/variant_position/credible/roussos_2024/variant_figures/roussos_2024.childhood.GABA/rs4737807_profile_position.png",4,220,900)</f>
        <v/>
      </c>
    </row>
    <row r="3923">
      <c r="A3923" t="inlineStr">
        <is>
          <t>chr8</t>
        </is>
      </c>
      <c r="B3923" t="n">
        <v>54996181</v>
      </c>
      <c r="C3923" t="inlineStr">
        <is>
          <t>G</t>
        </is>
      </c>
      <c r="D3923" t="inlineStr">
        <is>
          <t>T</t>
        </is>
      </c>
      <c r="E3923" t="inlineStr">
        <is>
          <t>rs34401803</t>
        </is>
      </c>
      <c r="F3923" t="n">
        <v>-0.0538727372</v>
      </c>
      <c r="G3923" t="n">
        <v>0.1288949323667386</v>
      </c>
      <c r="H3923" t="n">
        <v>0.0142048280444652</v>
      </c>
      <c r="I3923" t="n">
        <v>0.266659799627598</v>
      </c>
      <c r="J3923" t="n">
        <v>0.1122887478796255</v>
      </c>
      <c r="K3923" t="n">
        <v>0.3353981464145411</v>
      </c>
      <c r="L3923" t="b">
        <v>0</v>
      </c>
      <c r="M3923" t="b">
        <v>0</v>
      </c>
      <c r="N3923" t="inlineStr">
        <is>
          <t>ref</t>
        </is>
      </c>
      <c r="O3923" t="n">
        <v>-55</v>
      </c>
      <c r="P3923" t="n">
        <v>0.004616</v>
      </c>
      <c r="Q3923" t="n">
        <v>-65</v>
      </c>
      <c r="R3923" t="n">
        <v>0.2051</v>
      </c>
      <c r="S3923">
        <f>IMAGE("https://mitra.stanford.edu/kundaje/oak/projects/neuro-variants/variant_position/credible/roussos_2024/variant_figures/roussos_2024.childhood.GABA/rs34401803_count_position.png",4,220,900)</f>
        <v/>
      </c>
      <c r="T3923">
        <f>IMAGE("https://mitra.stanford.edu/kundaje/oak/projects/neuro-variants/variant_position/credible/roussos_2024/variant_figures/roussos_2024.childhood.GABA/rs34401803_profile_position.png",4,220,900)</f>
        <v/>
      </c>
    </row>
    <row r="3924">
      <c r="A3924" t="inlineStr">
        <is>
          <t>chr8</t>
        </is>
      </c>
      <c r="B3924" t="n">
        <v>54997456</v>
      </c>
      <c r="C3924" t="inlineStr">
        <is>
          <t>T</t>
        </is>
      </c>
      <c r="D3924" t="inlineStr">
        <is>
          <t>C</t>
        </is>
      </c>
      <c r="E3924" t="inlineStr">
        <is>
          <t>rs17332014</t>
        </is>
      </c>
      <c r="F3924" t="n">
        <v>0.0106389071</v>
      </c>
      <c r="G3924" t="n">
        <v>0.5932042767722767</v>
      </c>
      <c r="H3924" t="n">
        <v>0.0111330669499648</v>
      </c>
      <c r="I3924" t="n">
        <v>0.5239030892124705</v>
      </c>
      <c r="J3924" t="n">
        <v>0.1998115222717848</v>
      </c>
      <c r="K3924" t="n">
        <v>0.2129323175845536</v>
      </c>
      <c r="L3924" t="b">
        <v>0</v>
      </c>
      <c r="M3924" t="b">
        <v>0</v>
      </c>
      <c r="N3924" t="inlineStr">
        <is>
          <t>alt</t>
        </is>
      </c>
      <c r="O3924" t="n">
        <v>-10</v>
      </c>
      <c r="P3924" t="n">
        <v>0.002094</v>
      </c>
      <c r="Q3924" t="n">
        <v>100</v>
      </c>
      <c r="R3924" t="n">
        <v>0.06155</v>
      </c>
      <c r="S3924">
        <f>IMAGE("https://mitra.stanford.edu/kundaje/oak/projects/neuro-variants/variant_position/credible/roussos_2024/variant_figures/roussos_2024.childhood.GABA/rs17332014_count_position.png",4,220,900)</f>
        <v/>
      </c>
      <c r="T3924">
        <f>IMAGE("https://mitra.stanford.edu/kundaje/oak/projects/neuro-variants/variant_position/credible/roussos_2024/variant_figures/roussos_2024.childhood.GABA/rs17332014_profile_position.png",4,220,900)</f>
        <v/>
      </c>
    </row>
    <row r="3925">
      <c r="A3925" t="inlineStr">
        <is>
          <t>chr8</t>
        </is>
      </c>
      <c r="B3925" t="n">
        <v>59712759</v>
      </c>
      <c r="C3925" t="inlineStr">
        <is>
          <t>C</t>
        </is>
      </c>
      <c r="D3925" t="inlineStr">
        <is>
          <t>T</t>
        </is>
      </c>
      <c r="E3925" t="inlineStr">
        <is>
          <t>rs6983076</t>
        </is>
      </c>
      <c r="F3925" t="n">
        <v>0.0217707076</v>
      </c>
      <c r="G3925" t="n">
        <v>0.4035060931925068</v>
      </c>
      <c r="H3925" t="n">
        <v>0.0084876684513755</v>
      </c>
      <c r="I3925" t="n">
        <v>0.7470078088421167</v>
      </c>
      <c r="J3925" t="n">
        <v>0.0441257774706288</v>
      </c>
      <c r="K3925" t="n">
        <v>0.5389599394303293</v>
      </c>
      <c r="L3925" t="b">
        <v>0</v>
      </c>
      <c r="M3925" t="b">
        <v>0</v>
      </c>
      <c r="N3925" t="inlineStr">
        <is>
          <t>alt</t>
        </is>
      </c>
      <c r="O3925" t="n">
        <v>55</v>
      </c>
      <c r="P3925" t="n">
        <v>0.00431</v>
      </c>
      <c r="Q3925" t="n">
        <v>100</v>
      </c>
      <c r="R3925" t="n">
        <v>0.0898</v>
      </c>
      <c r="S3925">
        <f>IMAGE("https://mitra.stanford.edu/kundaje/oak/projects/neuro-variants/variant_position/credible/roussos_2024/variant_figures/roussos_2024.childhood.GABA/rs6983076_count_position.png",4,220,900)</f>
        <v/>
      </c>
      <c r="T3925">
        <f>IMAGE("https://mitra.stanford.edu/kundaje/oak/projects/neuro-variants/variant_position/credible/roussos_2024/variant_figures/roussos_2024.childhood.GABA/rs6983076_profile_position.png",4,220,900)</f>
        <v/>
      </c>
    </row>
    <row r="3926">
      <c r="A3926" t="inlineStr">
        <is>
          <t>chr8</t>
        </is>
      </c>
      <c r="B3926" t="n">
        <v>59762350</v>
      </c>
      <c r="C3926" t="inlineStr">
        <is>
          <t>C</t>
        </is>
      </c>
      <c r="D3926" t="inlineStr">
        <is>
          <t>T</t>
        </is>
      </c>
      <c r="E3926" t="inlineStr">
        <is>
          <t>rs7835908</t>
        </is>
      </c>
      <c r="F3926" t="n">
        <v>-0.0526459486</v>
      </c>
      <c r="G3926" t="n">
        <v>0.1304409665370918</v>
      </c>
      <c r="H3926" t="n">
        <v>0.0113679187945367</v>
      </c>
      <c r="I3926" t="n">
        <v>0.4972635566808742</v>
      </c>
      <c r="J3926" t="n">
        <v>0.3033329144939372</v>
      </c>
      <c r="K3926" t="n">
        <v>0.1349556314023392</v>
      </c>
      <c r="L3926" t="b">
        <v>0</v>
      </c>
      <c r="M3926" t="b">
        <v>0</v>
      </c>
      <c r="N3926" t="inlineStr">
        <is>
          <t>ref</t>
        </is>
      </c>
      <c r="O3926" t="n">
        <v>85</v>
      </c>
      <c r="P3926" t="n">
        <v>0.002365</v>
      </c>
      <c r="Q3926" t="n">
        <v>0</v>
      </c>
      <c r="R3926" t="n">
        <v>0</v>
      </c>
      <c r="S3926">
        <f>IMAGE("https://mitra.stanford.edu/kundaje/oak/projects/neuro-variants/variant_position/credible/roussos_2024/variant_figures/roussos_2024.childhood.GABA/rs7835908_count_position.png",4,220,900)</f>
        <v/>
      </c>
      <c r="T3926">
        <f>IMAGE("https://mitra.stanford.edu/kundaje/oak/projects/neuro-variants/variant_position/credible/roussos_2024/variant_figures/roussos_2024.childhood.GABA/rs7835908_profile_position.png",4,220,900)</f>
        <v/>
      </c>
    </row>
    <row r="3927">
      <c r="A3927" t="inlineStr">
        <is>
          <t>chr8</t>
        </is>
      </c>
      <c r="B3927" t="n">
        <v>59779158</v>
      </c>
      <c r="C3927" t="inlineStr">
        <is>
          <t>T</t>
        </is>
      </c>
      <c r="D3927" t="inlineStr">
        <is>
          <t>G</t>
        </is>
      </c>
      <c r="E3927" t="inlineStr">
        <is>
          <t>rs12680715</t>
        </is>
      </c>
      <c r="F3927" t="n">
        <v>-0.002685034352</v>
      </c>
      <c r="G3927" t="n">
        <v>0.7310795483370325</v>
      </c>
      <c r="H3927" t="n">
        <v>0.009031291325216901</v>
      </c>
      <c r="I3927" t="n">
        <v>0.7340908799428926</v>
      </c>
      <c r="J3927" t="n">
        <v>0.0522303197838788</v>
      </c>
      <c r="K3927" t="n">
        <v>0.5014399129392607</v>
      </c>
      <c r="L3927" t="b">
        <v>0</v>
      </c>
      <c r="M3927" t="b">
        <v>0</v>
      </c>
      <c r="N3927" t="inlineStr">
        <is>
          <t>ref</t>
        </is>
      </c>
      <c r="O3927" t="n">
        <v>100</v>
      </c>
      <c r="P3927" t="n">
        <v>0.02698</v>
      </c>
      <c r="Q3927" t="n">
        <v>70</v>
      </c>
      <c r="R3927" t="n">
        <v>0.03915</v>
      </c>
      <c r="S3927">
        <f>IMAGE("https://mitra.stanford.edu/kundaje/oak/projects/neuro-variants/variant_position/credible/roussos_2024/variant_figures/roussos_2024.childhood.GABA/rs12680715_count_position.png",4,220,900)</f>
        <v/>
      </c>
      <c r="T3927">
        <f>IMAGE("https://mitra.stanford.edu/kundaje/oak/projects/neuro-variants/variant_position/credible/roussos_2024/variant_figures/roussos_2024.childhood.GABA/rs12680715_profile_position.png",4,220,900)</f>
        <v/>
      </c>
    </row>
    <row r="3928">
      <c r="A3928" t="inlineStr">
        <is>
          <t>chr8</t>
        </is>
      </c>
      <c r="B3928" t="n">
        <v>59782341</v>
      </c>
      <c r="C3928" t="inlineStr">
        <is>
          <t>C</t>
        </is>
      </c>
      <c r="D3928" t="inlineStr">
        <is>
          <t>A</t>
        </is>
      </c>
      <c r="E3928" t="inlineStr">
        <is>
          <t>rs907211</t>
        </is>
      </c>
      <c r="F3928" t="n">
        <v>0.1138200144</v>
      </c>
      <c r="G3928" t="n">
        <v>0.0299093358470107</v>
      </c>
      <c r="H3928" t="n">
        <v>0.0220421282194361</v>
      </c>
      <c r="I3928" t="n">
        <v>0.0544433320094881</v>
      </c>
      <c r="J3928" t="n">
        <v>0.1632541726874829</v>
      </c>
      <c r="K3928" t="n">
        <v>0.2496701108155395</v>
      </c>
      <c r="L3928" t="b">
        <v>0</v>
      </c>
      <c r="M3928" t="b">
        <v>0</v>
      </c>
      <c r="N3928" t="inlineStr">
        <is>
          <t>alt</t>
        </is>
      </c>
      <c r="O3928" t="n">
        <v>75</v>
      </c>
      <c r="P3928" t="n">
        <v>0.01785</v>
      </c>
      <c r="Q3928" t="n">
        <v>75</v>
      </c>
      <c r="R3928" t="n">
        <v>0.1755</v>
      </c>
      <c r="S3928">
        <f>IMAGE("https://mitra.stanford.edu/kundaje/oak/projects/neuro-variants/variant_position/credible/roussos_2024/variant_figures/roussos_2024.childhood.GABA/rs907211_count_position.png",4,220,900)</f>
        <v/>
      </c>
      <c r="T3928">
        <f>IMAGE("https://mitra.stanford.edu/kundaje/oak/projects/neuro-variants/variant_position/credible/roussos_2024/variant_figures/roussos_2024.childhood.GABA/rs907211_profile_position.png",4,220,900)</f>
        <v/>
      </c>
    </row>
    <row r="3929">
      <c r="A3929" t="inlineStr">
        <is>
          <t>chr8</t>
        </is>
      </c>
      <c r="B3929" t="n">
        <v>59783967</v>
      </c>
      <c r="C3929" t="inlineStr">
        <is>
          <t>T</t>
        </is>
      </c>
      <c r="D3929" t="inlineStr">
        <is>
          <t>C</t>
        </is>
      </c>
      <c r="E3929" t="inlineStr">
        <is>
          <t>rs1473594</t>
        </is>
      </c>
      <c r="F3929" t="n">
        <v>0.0197661552</v>
      </c>
      <c r="G3929" t="n">
        <v>0.2213796940435235</v>
      </c>
      <c r="H3929" t="n">
        <v>0.0131147241757113</v>
      </c>
      <c r="I3929" t="n">
        <v>0.3394335637710884</v>
      </c>
      <c r="J3929" t="n">
        <v>0.019090699671211</v>
      </c>
      <c r="K3929" t="n">
        <v>0.652242410271446</v>
      </c>
      <c r="L3929" t="b">
        <v>0</v>
      </c>
      <c r="M3929" t="b">
        <v>0</v>
      </c>
      <c r="N3929" t="inlineStr">
        <is>
          <t>alt</t>
        </is>
      </c>
      <c r="O3929" t="n">
        <v>55</v>
      </c>
      <c r="P3929" t="n">
        <v>0.002182</v>
      </c>
      <c r="Q3929" t="n">
        <v>-5</v>
      </c>
      <c r="R3929" t="n">
        <v>0.008545000000000001</v>
      </c>
      <c r="S3929">
        <f>IMAGE("https://mitra.stanford.edu/kundaje/oak/projects/neuro-variants/variant_position/credible/roussos_2024/variant_figures/roussos_2024.childhood.GABA/rs1473594_count_position.png",4,220,900)</f>
        <v/>
      </c>
      <c r="T3929">
        <f>IMAGE("https://mitra.stanford.edu/kundaje/oak/projects/neuro-variants/variant_position/credible/roussos_2024/variant_figures/roussos_2024.childhood.GABA/rs1473594_profile_position.png",4,220,900)</f>
        <v/>
      </c>
    </row>
    <row r="3930">
      <c r="A3930" t="inlineStr">
        <is>
          <t>chr8</t>
        </is>
      </c>
      <c r="B3930" t="n">
        <v>59798438</v>
      </c>
      <c r="C3930" t="inlineStr">
        <is>
          <t>G</t>
        </is>
      </c>
      <c r="D3930" t="inlineStr">
        <is>
          <t>T</t>
        </is>
      </c>
      <c r="E3930" t="inlineStr">
        <is>
          <t>rs1034516</t>
        </is>
      </c>
      <c r="F3930" t="n">
        <v>0.00068470812</v>
      </c>
      <c r="G3930" t="n">
        <v>0.8279079025022162</v>
      </c>
      <c r="H3930" t="n">
        <v>0.0129856841476332</v>
      </c>
      <c r="I3930" t="n">
        <v>0.3539582736494725</v>
      </c>
      <c r="J3930" t="n">
        <v>0.0105683650604175</v>
      </c>
      <c r="K3930" t="n">
        <v>0.7327978511784561</v>
      </c>
      <c r="L3930" t="b">
        <v>0</v>
      </c>
      <c r="M3930" t="b">
        <v>0</v>
      </c>
      <c r="N3930" t="inlineStr">
        <is>
          <t>alt</t>
        </is>
      </c>
      <c r="O3930" t="n">
        <v>85</v>
      </c>
      <c r="P3930" t="n">
        <v>0.04337</v>
      </c>
      <c r="Q3930" t="n">
        <v>100</v>
      </c>
      <c r="R3930" t="n">
        <v>0.1257</v>
      </c>
      <c r="S3930">
        <f>IMAGE("https://mitra.stanford.edu/kundaje/oak/projects/neuro-variants/variant_position/credible/roussos_2024/variant_figures/roussos_2024.childhood.GABA/rs1034516_count_position.png",4,220,900)</f>
        <v/>
      </c>
      <c r="T3930">
        <f>IMAGE("https://mitra.stanford.edu/kundaje/oak/projects/neuro-variants/variant_position/credible/roussos_2024/variant_figures/roussos_2024.childhood.GABA/rs1034516_profile_position.png",4,220,900)</f>
        <v/>
      </c>
    </row>
    <row r="3931">
      <c r="A3931" t="inlineStr">
        <is>
          <t>chr8</t>
        </is>
      </c>
      <c r="B3931" t="n">
        <v>59800123</v>
      </c>
      <c r="C3931" t="inlineStr">
        <is>
          <t>T</t>
        </is>
      </c>
      <c r="D3931" t="inlineStr">
        <is>
          <t>C</t>
        </is>
      </c>
      <c r="E3931" t="inlineStr">
        <is>
          <t>rs1034517</t>
        </is>
      </c>
      <c r="F3931" t="n">
        <v>-0.0121565529999999</v>
      </c>
      <c r="G3931" t="n">
        <v>0.5281770612356059</v>
      </c>
      <c r="H3931" t="n">
        <v>0.0142245474843952</v>
      </c>
      <c r="I3931" t="n">
        <v>0.2664218910471816</v>
      </c>
      <c r="J3931" t="n">
        <v>0.0009224937697639</v>
      </c>
      <c r="K3931" t="n">
        <v>0.9180746299886224</v>
      </c>
      <c r="L3931" t="b">
        <v>0</v>
      </c>
      <c r="M3931" t="b">
        <v>0</v>
      </c>
      <c r="N3931" t="inlineStr">
        <is>
          <t>ref</t>
        </is>
      </c>
      <c r="O3931" t="n">
        <v>-100</v>
      </c>
      <c r="P3931" t="n">
        <v>0.01525</v>
      </c>
      <c r="Q3931" t="n">
        <v>100</v>
      </c>
      <c r="R3931" t="n">
        <v>0.01776</v>
      </c>
      <c r="S3931">
        <f>IMAGE("https://mitra.stanford.edu/kundaje/oak/projects/neuro-variants/variant_position/credible/roussos_2024/variant_figures/roussos_2024.childhood.GABA/rs1034517_count_position.png",4,220,900)</f>
        <v/>
      </c>
      <c r="T3931">
        <f>IMAGE("https://mitra.stanford.edu/kundaje/oak/projects/neuro-variants/variant_position/credible/roussos_2024/variant_figures/roussos_2024.childhood.GABA/rs1034517_profile_position.png",4,220,900)</f>
        <v/>
      </c>
    </row>
    <row r="3932">
      <c r="A3932" t="inlineStr">
        <is>
          <t>chr8</t>
        </is>
      </c>
      <c r="B3932" t="n">
        <v>59802172</v>
      </c>
      <c r="C3932" t="inlineStr">
        <is>
          <t>G</t>
        </is>
      </c>
      <c r="D3932" t="inlineStr">
        <is>
          <t>A</t>
        </is>
      </c>
      <c r="E3932" t="inlineStr">
        <is>
          <t>rs10504300</t>
        </is>
      </c>
      <c r="F3932" t="n">
        <v>0.0492962686</v>
      </c>
      <c r="G3932" t="n">
        <v>0.1489313655728879</v>
      </c>
      <c r="H3932" t="n">
        <v>0.0165943297707613</v>
      </c>
      <c r="I3932" t="n">
        <v>0.1571363923402047</v>
      </c>
      <c r="J3932" t="n">
        <v>0.004166404892044</v>
      </c>
      <c r="K3932" t="n">
        <v>0.8401248828754357</v>
      </c>
      <c r="L3932" t="b">
        <v>0</v>
      </c>
      <c r="M3932" t="b">
        <v>0</v>
      </c>
      <c r="N3932" t="inlineStr">
        <is>
          <t>alt</t>
        </is>
      </c>
      <c r="O3932" t="n">
        <v>15</v>
      </c>
      <c r="P3932" t="n">
        <v>0.002523</v>
      </c>
      <c r="Q3932" t="n">
        <v>-20</v>
      </c>
      <c r="R3932" t="n">
        <v>0.04004</v>
      </c>
      <c r="S3932">
        <f>IMAGE("https://mitra.stanford.edu/kundaje/oak/projects/neuro-variants/variant_position/credible/roussos_2024/variant_figures/roussos_2024.childhood.GABA/rs10504300_count_position.png",4,220,900)</f>
        <v/>
      </c>
      <c r="T3932">
        <f>IMAGE("https://mitra.stanford.edu/kundaje/oak/projects/neuro-variants/variant_position/credible/roussos_2024/variant_figures/roussos_2024.childhood.GABA/rs10504300_profile_position.png",4,220,900)</f>
        <v/>
      </c>
    </row>
    <row r="3933">
      <c r="A3933" t="inlineStr">
        <is>
          <t>chr8</t>
        </is>
      </c>
      <c r="B3933" t="n">
        <v>59875381</v>
      </c>
      <c r="C3933" t="inlineStr">
        <is>
          <t>C</t>
        </is>
      </c>
      <c r="D3933" t="inlineStr">
        <is>
          <t>T</t>
        </is>
      </c>
      <c r="E3933" t="inlineStr">
        <is>
          <t>rs7017555</t>
        </is>
      </c>
      <c r="F3933" t="n">
        <v>-0.0453206314</v>
      </c>
      <c r="G3933" t="n">
        <v>0.1747218375103643</v>
      </c>
      <c r="H3933" t="n">
        <v>0.0104241453301003</v>
      </c>
      <c r="I3933" t="n">
        <v>0.5788185977509281</v>
      </c>
      <c r="J3933" t="n">
        <v>0.4347050323553433</v>
      </c>
      <c r="K3933" t="n">
        <v>0.0713660722648731</v>
      </c>
      <c r="L3933" t="b">
        <v>0</v>
      </c>
      <c r="M3933" t="b">
        <v>0</v>
      </c>
      <c r="N3933" t="inlineStr">
        <is>
          <t>ref</t>
        </is>
      </c>
      <c r="O3933" t="n">
        <v>100</v>
      </c>
      <c r="P3933" t="n">
        <v>0.003609</v>
      </c>
      <c r="Q3933" t="n">
        <v>35</v>
      </c>
      <c r="R3933" t="n">
        <v>0.04175</v>
      </c>
      <c r="S3933">
        <f>IMAGE("https://mitra.stanford.edu/kundaje/oak/projects/neuro-variants/variant_position/credible/roussos_2024/variant_figures/roussos_2024.childhood.GABA/rs7017555_count_position.png",4,220,900)</f>
        <v/>
      </c>
      <c r="T3933">
        <f>IMAGE("https://mitra.stanford.edu/kundaje/oak/projects/neuro-variants/variant_position/credible/roussos_2024/variant_figures/roussos_2024.childhood.GABA/rs7017555_profile_position.png",4,220,900)</f>
        <v/>
      </c>
    </row>
    <row r="3934">
      <c r="A3934" t="inlineStr">
        <is>
          <t>chr8</t>
        </is>
      </c>
      <c r="B3934" t="n">
        <v>59957960</v>
      </c>
      <c r="C3934" t="inlineStr">
        <is>
          <t>G</t>
        </is>
      </c>
      <c r="D3934" t="inlineStr">
        <is>
          <t>A</t>
        </is>
      </c>
      <c r="E3934" t="inlineStr">
        <is>
          <t>rs782022</t>
        </is>
      </c>
      <c r="F3934" t="n">
        <v>-0.087602238</v>
      </c>
      <c r="G3934" t="n">
        <v>0.0512553499378511</v>
      </c>
      <c r="H3934" t="n">
        <v>0.0148457523361547</v>
      </c>
      <c r="I3934" t="n">
        <v>0.2353554879766757</v>
      </c>
      <c r="J3934" t="n">
        <v>0.0332799313103389</v>
      </c>
      <c r="K3934" t="n">
        <v>0.5613240484496542</v>
      </c>
      <c r="L3934" t="b">
        <v>0</v>
      </c>
      <c r="M3934" t="b">
        <v>0</v>
      </c>
      <c r="N3934" t="inlineStr">
        <is>
          <t>ref</t>
        </is>
      </c>
      <c r="O3934" t="n">
        <v>75</v>
      </c>
      <c r="P3934" t="n">
        <v>0.002197</v>
      </c>
      <c r="Q3934" t="n">
        <v>80</v>
      </c>
      <c r="R3934" t="n">
        <v>0.04218</v>
      </c>
      <c r="S3934">
        <f>IMAGE("https://mitra.stanford.edu/kundaje/oak/projects/neuro-variants/variant_position/credible/roussos_2024/variant_figures/roussos_2024.childhood.GABA/rs782022_count_position.png",4,220,900)</f>
        <v/>
      </c>
      <c r="T3934">
        <f>IMAGE("https://mitra.stanford.edu/kundaje/oak/projects/neuro-variants/variant_position/credible/roussos_2024/variant_figures/roussos_2024.childhood.GABA/rs782022_profile_position.png",4,220,900)</f>
        <v/>
      </c>
    </row>
    <row r="3935">
      <c r="A3935" t="inlineStr">
        <is>
          <t>chr8</t>
        </is>
      </c>
      <c r="B3935" t="n">
        <v>59963041</v>
      </c>
      <c r="C3935" t="inlineStr">
        <is>
          <t>T</t>
        </is>
      </c>
      <c r="D3935" t="inlineStr">
        <is>
          <t>C</t>
        </is>
      </c>
      <c r="E3935" t="inlineStr">
        <is>
          <t>rs522182</t>
        </is>
      </c>
      <c r="F3935" t="n">
        <v>-0.001624812694</v>
      </c>
      <c r="G3935" t="n">
        <v>0.7673918249192528</v>
      </c>
      <c r="H3935" t="n">
        <v>0.0077565842116441</v>
      </c>
      <c r="I3935" t="n">
        <v>0.8814138445953075</v>
      </c>
      <c r="J3935" t="n">
        <v>0.0066417457226026</v>
      </c>
      <c r="K3935" t="n">
        <v>0.795928789001226</v>
      </c>
      <c r="L3935" t="b">
        <v>0</v>
      </c>
      <c r="M3935" t="b">
        <v>0</v>
      </c>
      <c r="N3935" t="inlineStr">
        <is>
          <t>ref</t>
        </is>
      </c>
      <c r="O3935" t="n">
        <v>-95</v>
      </c>
      <c r="P3935" t="n">
        <v>0.00403</v>
      </c>
      <c r="Q3935" t="n">
        <v>-95</v>
      </c>
      <c r="R3935" t="n">
        <v>0.0808</v>
      </c>
      <c r="S3935">
        <f>IMAGE("https://mitra.stanford.edu/kundaje/oak/projects/neuro-variants/variant_position/credible/roussos_2024/variant_figures/roussos_2024.childhood.GABA/rs522182_count_position.png",4,220,900)</f>
        <v/>
      </c>
      <c r="T3935">
        <f>IMAGE("https://mitra.stanford.edu/kundaje/oak/projects/neuro-variants/variant_position/credible/roussos_2024/variant_figures/roussos_2024.childhood.GABA/rs522182_profile_position.png",4,220,900)</f>
        <v/>
      </c>
    </row>
    <row r="3936">
      <c r="A3936" t="inlineStr">
        <is>
          <t>chr8</t>
        </is>
      </c>
      <c r="B3936" t="n">
        <v>64377812</v>
      </c>
      <c r="C3936" t="inlineStr">
        <is>
          <t>A</t>
        </is>
      </c>
      <c r="D3936" t="inlineStr">
        <is>
          <t>G</t>
        </is>
      </c>
      <c r="E3936" t="inlineStr">
        <is>
          <t>rs298210</t>
        </is>
      </c>
      <c r="F3936" t="n">
        <v>0.0389629714</v>
      </c>
      <c r="G3936" t="n">
        <v>0.1957099031706964</v>
      </c>
      <c r="H3936" t="n">
        <v>0.0147121772601509</v>
      </c>
      <c r="I3936" t="n">
        <v>0.240778917504257</v>
      </c>
      <c r="J3936" t="n">
        <v>0.8454262737953131</v>
      </c>
      <c r="K3936" t="n">
        <v>0.0040798609711041</v>
      </c>
      <c r="L3936" t="b">
        <v>0</v>
      </c>
      <c r="M3936" t="b">
        <v>0</v>
      </c>
      <c r="N3936" t="inlineStr">
        <is>
          <t>alt</t>
        </is>
      </c>
      <c r="O3936" t="n">
        <v>50</v>
      </c>
      <c r="P3936" t="n">
        <v>0.001835</v>
      </c>
      <c r="Q3936" t="n">
        <v>-80</v>
      </c>
      <c r="R3936" t="n">
        <v>0.02087</v>
      </c>
      <c r="S3936">
        <f>IMAGE("https://mitra.stanford.edu/kundaje/oak/projects/neuro-variants/variant_position/credible/roussos_2024/variant_figures/roussos_2024.childhood.GABA/rs298210_count_position.png",4,220,900)</f>
        <v/>
      </c>
      <c r="T3936">
        <f>IMAGE("https://mitra.stanford.edu/kundaje/oak/projects/neuro-variants/variant_position/credible/roussos_2024/variant_figures/roussos_2024.childhood.GABA/rs298210_profile_position.png",4,220,900)</f>
        <v/>
      </c>
    </row>
    <row r="3937">
      <c r="A3937" t="inlineStr">
        <is>
          <t>chr8</t>
        </is>
      </c>
      <c r="B3937" t="n">
        <v>64385043</v>
      </c>
      <c r="C3937" t="inlineStr">
        <is>
          <t>G</t>
        </is>
      </c>
      <c r="D3937" t="inlineStr">
        <is>
          <t>T</t>
        </is>
      </c>
      <c r="E3937" t="inlineStr">
        <is>
          <t>rs298199</t>
        </is>
      </c>
      <c r="F3937" t="n">
        <v>0.07738817719999989</v>
      </c>
      <c r="G3937" t="n">
        <v>0.0785102773070368</v>
      </c>
      <c r="H3937" t="n">
        <v>0.0347264830482165</v>
      </c>
      <c r="I3937" t="n">
        <v>0.0075540328100379</v>
      </c>
      <c r="J3937" t="n">
        <v>0.1791941530020313</v>
      </c>
      <c r="K3937" t="n">
        <v>0.2335302324498924</v>
      </c>
      <c r="L3937" t="b">
        <v>1</v>
      </c>
      <c r="M3937" t="b">
        <v>1</v>
      </c>
      <c r="N3937" t="inlineStr">
        <is>
          <t>alt</t>
        </is>
      </c>
      <c r="O3937" t="n">
        <v>-30</v>
      </c>
      <c r="P3937" t="n">
        <v>0.003273</v>
      </c>
      <c r="Q3937" t="n">
        <v>35</v>
      </c>
      <c r="R3937" t="n">
        <v>0.03223</v>
      </c>
      <c r="S3937">
        <f>IMAGE("https://mitra.stanford.edu/kundaje/oak/projects/neuro-variants/variant_position/credible/roussos_2024/variant_figures/roussos_2024.childhood.GABA/rs298199_count_position.png",4,220,900)</f>
        <v/>
      </c>
      <c r="T3937">
        <f>IMAGE("https://mitra.stanford.edu/kundaje/oak/projects/neuro-variants/variant_position/credible/roussos_2024/variant_figures/roussos_2024.childhood.GABA/rs298199_profile_position.png",4,220,900)</f>
        <v/>
      </c>
    </row>
    <row r="3938">
      <c r="A3938" t="inlineStr">
        <is>
          <t>chr8</t>
        </is>
      </c>
      <c r="B3938" t="n">
        <v>64385745</v>
      </c>
      <c r="C3938" t="inlineStr">
        <is>
          <t>A</t>
        </is>
      </c>
      <c r="D3938" t="inlineStr">
        <is>
          <t>G</t>
        </is>
      </c>
      <c r="E3938" t="inlineStr">
        <is>
          <t>rs298200</t>
        </is>
      </c>
      <c r="F3938" t="n">
        <v>-0.0064750292</v>
      </c>
      <c r="G3938" t="n">
        <v>0.6199591339272987</v>
      </c>
      <c r="H3938" t="n">
        <v>0.0137984841477573</v>
      </c>
      <c r="I3938" t="n">
        <v>0.2982286775641261</v>
      </c>
      <c r="J3938" t="n">
        <v>0.0863123285376222</v>
      </c>
      <c r="K3938" t="n">
        <v>0.3890086905652468</v>
      </c>
      <c r="L3938" t="b">
        <v>0</v>
      </c>
      <c r="M3938" t="b">
        <v>0</v>
      </c>
      <c r="N3938" t="inlineStr">
        <is>
          <t>ref</t>
        </is>
      </c>
      <c r="O3938" t="n">
        <v>-100</v>
      </c>
      <c r="P3938" t="n">
        <v>0.01271</v>
      </c>
      <c r="Q3938" t="n">
        <v>-95</v>
      </c>
      <c r="R3938" t="n">
        <v>0.2678</v>
      </c>
      <c r="S3938">
        <f>IMAGE("https://mitra.stanford.edu/kundaje/oak/projects/neuro-variants/variant_position/credible/roussos_2024/variant_figures/roussos_2024.childhood.GABA/rs298200_count_position.png",4,220,900)</f>
        <v/>
      </c>
      <c r="T3938">
        <f>IMAGE("https://mitra.stanford.edu/kundaje/oak/projects/neuro-variants/variant_position/credible/roussos_2024/variant_figures/roussos_2024.childhood.GABA/rs298200_profile_position.png",4,220,900)</f>
        <v/>
      </c>
    </row>
    <row r="3939">
      <c r="A3939" t="inlineStr">
        <is>
          <t>chr8</t>
        </is>
      </c>
      <c r="B3939" t="n">
        <v>64388316</v>
      </c>
      <c r="C3939" t="inlineStr">
        <is>
          <t>G</t>
        </is>
      </c>
      <c r="D3939" t="inlineStr">
        <is>
          <t>A</t>
        </is>
      </c>
      <c r="E3939" t="inlineStr">
        <is>
          <t>rs298179</t>
        </is>
      </c>
      <c r="F3939" t="n">
        <v>0.0815839478</v>
      </c>
      <c r="G3939" t="n">
        <v>0.086966876711654</v>
      </c>
      <c r="H3939" t="n">
        <v>0.0291639557318804</v>
      </c>
      <c r="I3939" t="n">
        <v>0.029589519914635</v>
      </c>
      <c r="J3939" t="n">
        <v>0.0093809553726623</v>
      </c>
      <c r="K3939" t="n">
        <v>0.7713794554176072</v>
      </c>
      <c r="L3939" t="b">
        <v>0</v>
      </c>
      <c r="M3939" t="b">
        <v>0</v>
      </c>
      <c r="N3939" t="inlineStr">
        <is>
          <t>alt</t>
        </is>
      </c>
      <c r="O3939" t="n">
        <v>75</v>
      </c>
      <c r="P3939" t="n">
        <v>0.01686</v>
      </c>
      <c r="Q3939" t="n">
        <v>100</v>
      </c>
      <c r="R3939" t="n">
        <v>0.02356</v>
      </c>
      <c r="S3939">
        <f>IMAGE("https://mitra.stanford.edu/kundaje/oak/projects/neuro-variants/variant_position/credible/roussos_2024/variant_figures/roussos_2024.childhood.GABA/rs298179_count_position.png",4,220,900)</f>
        <v/>
      </c>
      <c r="T3939">
        <f>IMAGE("https://mitra.stanford.edu/kundaje/oak/projects/neuro-variants/variant_position/credible/roussos_2024/variant_figures/roussos_2024.childhood.GABA/rs298179_profile_position.png",4,220,900)</f>
        <v/>
      </c>
    </row>
    <row r="3940">
      <c r="A3940" t="inlineStr">
        <is>
          <t>chr8</t>
        </is>
      </c>
      <c r="B3940" t="n">
        <v>64397614</v>
      </c>
      <c r="C3940" t="inlineStr">
        <is>
          <t>G</t>
        </is>
      </c>
      <c r="D3940" t="inlineStr">
        <is>
          <t>A</t>
        </is>
      </c>
      <c r="E3940" t="inlineStr">
        <is>
          <t>rs2577907</t>
        </is>
      </c>
      <c r="F3940" t="n">
        <v>-0.02041352226</v>
      </c>
      <c r="G3940" t="n">
        <v>0.4407610424971427</v>
      </c>
      <c r="H3940" t="n">
        <v>0.0176575340078165</v>
      </c>
      <c r="I3940" t="n">
        <v>0.1235676735457652</v>
      </c>
      <c r="J3940" t="n">
        <v>0.1088155221880169</v>
      </c>
      <c r="K3940" t="n">
        <v>0.3320570238163992</v>
      </c>
      <c r="L3940" t="b">
        <v>0</v>
      </c>
      <c r="M3940" t="b">
        <v>0</v>
      </c>
      <c r="N3940" t="inlineStr">
        <is>
          <t>ref</t>
        </is>
      </c>
      <c r="O3940" t="n">
        <v>-45</v>
      </c>
      <c r="P3940" t="n">
        <v>0.008286</v>
      </c>
      <c r="Q3940" t="n">
        <v>-5</v>
      </c>
      <c r="R3940" t="n">
        <v>0.0004883</v>
      </c>
      <c r="S3940">
        <f>IMAGE("https://mitra.stanford.edu/kundaje/oak/projects/neuro-variants/variant_position/credible/roussos_2024/variant_figures/roussos_2024.childhood.GABA/rs2577907_count_position.png",4,220,900)</f>
        <v/>
      </c>
      <c r="T3940">
        <f>IMAGE("https://mitra.stanford.edu/kundaje/oak/projects/neuro-variants/variant_position/credible/roussos_2024/variant_figures/roussos_2024.childhood.GABA/rs2577907_profile_position.png",4,220,900)</f>
        <v/>
      </c>
    </row>
    <row r="3941">
      <c r="A3941" t="inlineStr">
        <is>
          <t>chr8</t>
        </is>
      </c>
      <c r="B3941" t="n">
        <v>64405886</v>
      </c>
      <c r="C3941" t="inlineStr">
        <is>
          <t>A</t>
        </is>
      </c>
      <c r="D3941" t="inlineStr">
        <is>
          <t>G</t>
        </is>
      </c>
      <c r="E3941" t="inlineStr">
        <is>
          <t>rs59666344</t>
        </is>
      </c>
      <c r="F3941" t="n">
        <v>0.0827314547999999</v>
      </c>
      <c r="G3941" t="n">
        <v>0.0502197470031121</v>
      </c>
      <c r="H3941" t="n">
        <v>0.0224327951374818</v>
      </c>
      <c r="I3941" t="n">
        <v>0.055587135947204</v>
      </c>
      <c r="J3941" t="n">
        <v>0.0614039496555045</v>
      </c>
      <c r="K3941" t="n">
        <v>0.4742171612343971</v>
      </c>
      <c r="L3941" t="b">
        <v>0</v>
      </c>
      <c r="M3941" t="b">
        <v>0</v>
      </c>
      <c r="N3941" t="inlineStr">
        <is>
          <t>alt</t>
        </is>
      </c>
      <c r="O3941" t="n">
        <v>15</v>
      </c>
      <c r="P3941" t="n">
        <v>0.0004845</v>
      </c>
      <c r="Q3941" t="n">
        <v>0</v>
      </c>
      <c r="R3941" t="n">
        <v>0</v>
      </c>
      <c r="S3941">
        <f>IMAGE("https://mitra.stanford.edu/kundaje/oak/projects/neuro-variants/variant_position/credible/roussos_2024/variant_figures/roussos_2024.childhood.GABA/rs59666344_count_position.png",4,220,900)</f>
        <v/>
      </c>
      <c r="T3941">
        <f>IMAGE("https://mitra.stanford.edu/kundaje/oak/projects/neuro-variants/variant_position/credible/roussos_2024/variant_figures/roussos_2024.childhood.GABA/rs59666344_profile_position.png",4,220,900)</f>
        <v/>
      </c>
    </row>
    <row r="3942">
      <c r="A3942" t="inlineStr">
        <is>
          <t>chr8</t>
        </is>
      </c>
      <c r="B3942" t="n">
        <v>64413850</v>
      </c>
      <c r="C3942" t="inlineStr">
        <is>
          <t>C</t>
        </is>
      </c>
      <c r="D3942" t="inlineStr">
        <is>
          <t>T</t>
        </is>
      </c>
      <c r="E3942" t="inlineStr">
        <is>
          <t>rs2612609</t>
        </is>
      </c>
      <c r="F3942" t="n">
        <v>-0.0362013374</v>
      </c>
      <c r="G3942" t="n">
        <v>0.2553490072101401</v>
      </c>
      <c r="H3942" t="n">
        <v>0.0115230514289098</v>
      </c>
      <c r="I3942" t="n">
        <v>0.4850031147860454</v>
      </c>
      <c r="J3942" t="n">
        <v>0.1126761743209566</v>
      </c>
      <c r="K3942" t="n">
        <v>0.3308264994500378</v>
      </c>
      <c r="L3942" t="b">
        <v>0</v>
      </c>
      <c r="M3942" t="b">
        <v>0</v>
      </c>
      <c r="N3942" t="inlineStr">
        <is>
          <t>ref</t>
        </is>
      </c>
      <c r="O3942" t="n">
        <v>65</v>
      </c>
      <c r="P3942" t="n">
        <v>0.0001984</v>
      </c>
      <c r="Q3942" t="n">
        <v>20</v>
      </c>
      <c r="R3942" t="n">
        <v>0.01624</v>
      </c>
      <c r="S3942">
        <f>IMAGE("https://mitra.stanford.edu/kundaje/oak/projects/neuro-variants/variant_position/credible/roussos_2024/variant_figures/roussos_2024.childhood.GABA/rs2612609_count_position.png",4,220,900)</f>
        <v/>
      </c>
      <c r="T3942">
        <f>IMAGE("https://mitra.stanford.edu/kundaje/oak/projects/neuro-variants/variant_position/credible/roussos_2024/variant_figures/roussos_2024.childhood.GABA/rs2612609_profile_position.png",4,220,900)</f>
        <v/>
      </c>
    </row>
    <row r="3943">
      <c r="A3943" t="inlineStr">
        <is>
          <t>chr8</t>
        </is>
      </c>
      <c r="B3943" t="n">
        <v>64428871</v>
      </c>
      <c r="C3943" t="inlineStr">
        <is>
          <t>T</t>
        </is>
      </c>
      <c r="D3943" t="inlineStr">
        <is>
          <t>C</t>
        </is>
      </c>
      <c r="E3943" t="inlineStr">
        <is>
          <t>rs2600467</t>
        </is>
      </c>
      <c r="F3943" t="n">
        <v>0.00396405329</v>
      </c>
      <c r="G3943" t="n">
        <v>0.7737960338779908</v>
      </c>
      <c r="H3943" t="n">
        <v>0.0289609702494678</v>
      </c>
      <c r="I3943" t="n">
        <v>0.0152066244498792</v>
      </c>
      <c r="J3943" t="n">
        <v>0.3736853678456995</v>
      </c>
      <c r="K3943" t="n">
        <v>0.0970783955483243</v>
      </c>
      <c r="L3943" t="b">
        <v>1</v>
      </c>
      <c r="M3943" t="b">
        <v>0</v>
      </c>
      <c r="N3943" t="inlineStr">
        <is>
          <t>alt</t>
        </is>
      </c>
      <c r="O3943" t="n">
        <v>100</v>
      </c>
      <c r="P3943" t="n">
        <v>0.2189</v>
      </c>
      <c r="Q3943" t="n">
        <v>100</v>
      </c>
      <c r="R3943" t="n">
        <v>0.616</v>
      </c>
      <c r="S3943">
        <f>IMAGE("https://mitra.stanford.edu/kundaje/oak/projects/neuro-variants/variant_position/credible/roussos_2024/variant_figures/roussos_2024.childhood.GABA/rs2600467_count_position.png",4,220,900)</f>
        <v/>
      </c>
      <c r="T3943">
        <f>IMAGE("https://mitra.stanford.edu/kundaje/oak/projects/neuro-variants/variant_position/credible/roussos_2024/variant_figures/roussos_2024.childhood.GABA/rs2600467_profile_position.png",4,220,900)</f>
        <v/>
      </c>
    </row>
    <row r="3944">
      <c r="A3944" t="inlineStr">
        <is>
          <t>chr8</t>
        </is>
      </c>
      <c r="B3944" t="n">
        <v>64449238</v>
      </c>
      <c r="C3944" t="inlineStr">
        <is>
          <t>A</t>
        </is>
      </c>
      <c r="D3944" t="inlineStr">
        <is>
          <t>G</t>
        </is>
      </c>
      <c r="E3944" t="inlineStr">
        <is>
          <t>rs2577893</t>
        </is>
      </c>
      <c r="F3944" t="n">
        <v>0.015475242</v>
      </c>
      <c r="G3944" t="n">
        <v>0.4761622007746195</v>
      </c>
      <c r="H3944" t="n">
        <v>0.007955016935054</v>
      </c>
      <c r="I3944" t="n">
        <v>0.8429566778000354</v>
      </c>
      <c r="J3944" t="n">
        <v>0.0331123955519255</v>
      </c>
      <c r="K3944" t="n">
        <v>0.5729376780242049</v>
      </c>
      <c r="L3944" t="b">
        <v>0</v>
      </c>
      <c r="M3944" t="b">
        <v>0</v>
      </c>
      <c r="N3944" t="inlineStr">
        <is>
          <t>alt</t>
        </is>
      </c>
      <c r="O3944" t="n">
        <v>85</v>
      </c>
      <c r="P3944" t="n">
        <v>0.002686</v>
      </c>
      <c r="Q3944" t="n">
        <v>90</v>
      </c>
      <c r="R3944" t="n">
        <v>0.06616</v>
      </c>
      <c r="S3944">
        <f>IMAGE("https://mitra.stanford.edu/kundaje/oak/projects/neuro-variants/variant_position/credible/roussos_2024/variant_figures/roussos_2024.childhood.GABA/rs2577893_count_position.png",4,220,900)</f>
        <v/>
      </c>
      <c r="T3944">
        <f>IMAGE("https://mitra.stanford.edu/kundaje/oak/projects/neuro-variants/variant_position/credible/roussos_2024/variant_figures/roussos_2024.childhood.GABA/rs2577893_profile_position.png",4,220,900)</f>
        <v/>
      </c>
    </row>
    <row r="3945">
      <c r="A3945" t="inlineStr">
        <is>
          <t>chr8</t>
        </is>
      </c>
      <c r="B3945" t="n">
        <v>64451888</v>
      </c>
      <c r="C3945" t="inlineStr">
        <is>
          <t>T</t>
        </is>
      </c>
      <c r="D3945" t="inlineStr">
        <is>
          <t>C</t>
        </is>
      </c>
      <c r="E3945" t="inlineStr">
        <is>
          <t>rs2612589</t>
        </is>
      </c>
      <c r="F3945" t="n">
        <v>0.027885944</v>
      </c>
      <c r="G3945" t="n">
        <v>0.3156378397783327</v>
      </c>
      <c r="H3945" t="n">
        <v>0.0126068636178135</v>
      </c>
      <c r="I3945" t="n">
        <v>0.3839984700810916</v>
      </c>
      <c r="J3945" t="n">
        <v>0.08478147054511941</v>
      </c>
      <c r="K3945" t="n">
        <v>0.3866988516944274</v>
      </c>
      <c r="L3945" t="b">
        <v>0</v>
      </c>
      <c r="M3945" t="b">
        <v>0</v>
      </c>
      <c r="N3945" t="inlineStr">
        <is>
          <t>alt</t>
        </is>
      </c>
      <c r="O3945" t="n">
        <v>-70</v>
      </c>
      <c r="P3945" t="n">
        <v>0.01323</v>
      </c>
      <c r="Q3945" t="n">
        <v>100</v>
      </c>
      <c r="R3945" t="n">
        <v>0.3608</v>
      </c>
      <c r="S3945">
        <f>IMAGE("https://mitra.stanford.edu/kundaje/oak/projects/neuro-variants/variant_position/credible/roussos_2024/variant_figures/roussos_2024.childhood.GABA/rs2612589_count_position.png",4,220,900)</f>
        <v/>
      </c>
      <c r="T3945">
        <f>IMAGE("https://mitra.stanford.edu/kundaje/oak/projects/neuro-variants/variant_position/credible/roussos_2024/variant_figures/roussos_2024.childhood.GABA/rs2612589_profile_position.png",4,220,900)</f>
        <v/>
      </c>
    </row>
    <row r="3946">
      <c r="A3946" t="inlineStr">
        <is>
          <t>chr8</t>
        </is>
      </c>
      <c r="B3946" t="n">
        <v>64468374</v>
      </c>
      <c r="C3946" t="inlineStr">
        <is>
          <t>A</t>
        </is>
      </c>
      <c r="D3946" t="inlineStr">
        <is>
          <t>G</t>
        </is>
      </c>
      <c r="E3946" t="inlineStr">
        <is>
          <t>rs10504376</t>
        </is>
      </c>
      <c r="F3946" t="n">
        <v>-0.0046471911839999</v>
      </c>
      <c r="G3946" t="n">
        <v>0.7911700968168609</v>
      </c>
      <c r="H3946" t="n">
        <v>0.0166787986482081</v>
      </c>
      <c r="I3946" t="n">
        <v>0.1538892841002458</v>
      </c>
      <c r="J3946" t="n">
        <v>0.0006952733974157</v>
      </c>
      <c r="K3946" t="n">
        <v>0.9381018069306584</v>
      </c>
      <c r="L3946" t="b">
        <v>0</v>
      </c>
      <c r="M3946" t="b">
        <v>0</v>
      </c>
      <c r="N3946" t="inlineStr">
        <is>
          <t>ref</t>
        </is>
      </c>
      <c r="O3946" t="n">
        <v>-95</v>
      </c>
      <c r="P3946" t="n">
        <v>0.02348</v>
      </c>
      <c r="Q3946" t="n">
        <v>-100</v>
      </c>
      <c r="R3946" t="n">
        <v>0.0307</v>
      </c>
      <c r="S3946">
        <f>IMAGE("https://mitra.stanford.edu/kundaje/oak/projects/neuro-variants/variant_position/credible/roussos_2024/variant_figures/roussos_2024.childhood.GABA/rs10504376_count_position.png",4,220,900)</f>
        <v/>
      </c>
      <c r="T3946">
        <f>IMAGE("https://mitra.stanford.edu/kundaje/oak/projects/neuro-variants/variant_position/credible/roussos_2024/variant_figures/roussos_2024.childhood.GABA/rs10504376_profile_position.png",4,220,900)</f>
        <v/>
      </c>
    </row>
    <row r="3947">
      <c r="A3947" t="inlineStr">
        <is>
          <t>chr8</t>
        </is>
      </c>
      <c r="B3947" t="n">
        <v>64472801</v>
      </c>
      <c r="C3947" t="inlineStr">
        <is>
          <t>A</t>
        </is>
      </c>
      <c r="D3947" t="inlineStr">
        <is>
          <t>T</t>
        </is>
      </c>
      <c r="E3947" t="inlineStr">
        <is>
          <t>rs16931253</t>
        </is>
      </c>
      <c r="F3947" t="n">
        <v>-0.05879489</v>
      </c>
      <c r="G3947" t="n">
        <v>0.1160766738667931</v>
      </c>
      <c r="H3947" t="n">
        <v>0.0279051183989335</v>
      </c>
      <c r="I3947" t="n">
        <v>0.0181348661824205</v>
      </c>
      <c r="J3947" t="n">
        <v>0.1402735021256099</v>
      </c>
      <c r="K3947" t="n">
        <v>0.303144032316455</v>
      </c>
      <c r="L3947" t="b">
        <v>1</v>
      </c>
      <c r="M3947" t="b">
        <v>0</v>
      </c>
      <c r="N3947" t="inlineStr">
        <is>
          <t>ref</t>
        </is>
      </c>
      <c r="O3947" t="n">
        <v>-100</v>
      </c>
      <c r="P3947" t="n">
        <v>0.01578</v>
      </c>
      <c r="Q3947" t="n">
        <v>55</v>
      </c>
      <c r="R3947" t="n">
        <v>0.0751</v>
      </c>
      <c r="S3947">
        <f>IMAGE("https://mitra.stanford.edu/kundaje/oak/projects/neuro-variants/variant_position/credible/roussos_2024/variant_figures/roussos_2024.childhood.GABA/rs16931253_count_position.png",4,220,900)</f>
        <v/>
      </c>
      <c r="T3947">
        <f>IMAGE("https://mitra.stanford.edu/kundaje/oak/projects/neuro-variants/variant_position/credible/roussos_2024/variant_figures/roussos_2024.childhood.GABA/rs16931253_profile_position.png",4,220,900)</f>
        <v/>
      </c>
    </row>
    <row r="3948">
      <c r="A3948" t="inlineStr">
        <is>
          <t>chr8</t>
        </is>
      </c>
      <c r="B3948" t="n">
        <v>64534132</v>
      </c>
      <c r="C3948" t="inlineStr">
        <is>
          <t>G</t>
        </is>
      </c>
      <c r="D3948" t="inlineStr">
        <is>
          <t>A</t>
        </is>
      </c>
      <c r="E3948" t="inlineStr">
        <is>
          <t>rs9643569</t>
        </is>
      </c>
      <c r="F3948" t="n">
        <v>-0.0456407856</v>
      </c>
      <c r="G3948" t="n">
        <v>0.1702300762192647</v>
      </c>
      <c r="H3948" t="n">
        <v>0.010804696940393</v>
      </c>
      <c r="I3948" t="n">
        <v>0.546446254156353</v>
      </c>
      <c r="J3948" t="n">
        <v>0.0184530166907498</v>
      </c>
      <c r="K3948" t="n">
        <v>0.6775618805818679</v>
      </c>
      <c r="L3948" t="b">
        <v>0</v>
      </c>
      <c r="M3948" t="b">
        <v>0</v>
      </c>
      <c r="N3948" t="inlineStr">
        <is>
          <t>ref</t>
        </is>
      </c>
      <c r="O3948" t="n">
        <v>-10</v>
      </c>
      <c r="P3948" t="n">
        <v>0.000103</v>
      </c>
      <c r="Q3948" t="n">
        <v>-75</v>
      </c>
      <c r="R3948" t="n">
        <v>0.06909999999999999</v>
      </c>
      <c r="S3948">
        <f>IMAGE("https://mitra.stanford.edu/kundaje/oak/projects/neuro-variants/variant_position/credible/roussos_2024/variant_figures/roussos_2024.childhood.GABA/rs9643569_count_position.png",4,220,900)</f>
        <v/>
      </c>
      <c r="T3948">
        <f>IMAGE("https://mitra.stanford.edu/kundaje/oak/projects/neuro-variants/variant_position/credible/roussos_2024/variant_figures/roussos_2024.childhood.GABA/rs9643569_profile_position.png",4,220,900)</f>
        <v/>
      </c>
    </row>
    <row r="3949">
      <c r="A3949" t="inlineStr">
        <is>
          <t>chr8</t>
        </is>
      </c>
      <c r="B3949" t="n">
        <v>64579514</v>
      </c>
      <c r="C3949" t="inlineStr">
        <is>
          <t>C</t>
        </is>
      </c>
      <c r="D3949" t="inlineStr">
        <is>
          <t>T</t>
        </is>
      </c>
      <c r="E3949" t="inlineStr">
        <is>
          <t>rs4737675</t>
        </is>
      </c>
      <c r="F3949" t="n">
        <v>0.00587289408</v>
      </c>
      <c r="G3949" t="n">
        <v>0.746491748744916</v>
      </c>
      <c r="H3949" t="n">
        <v>0.0272287800390008</v>
      </c>
      <c r="I3949" t="n">
        <v>0.0196431658923815</v>
      </c>
      <c r="J3949" t="n">
        <v>0.5374955498314171</v>
      </c>
      <c r="K3949" t="n">
        <v>0.0420267761038346</v>
      </c>
      <c r="L3949" t="b">
        <v>1</v>
      </c>
      <c r="M3949" t="b">
        <v>0</v>
      </c>
      <c r="N3949" t="inlineStr">
        <is>
          <t>alt</t>
        </is>
      </c>
      <c r="O3949" t="n">
        <v>60</v>
      </c>
      <c r="P3949" t="n">
        <v>0.009979999999999999</v>
      </c>
      <c r="Q3949" t="n">
        <v>-100</v>
      </c>
      <c r="R3949" t="n">
        <v>0.1442</v>
      </c>
      <c r="S3949">
        <f>IMAGE("https://mitra.stanford.edu/kundaje/oak/projects/neuro-variants/variant_position/credible/roussos_2024/variant_figures/roussos_2024.childhood.GABA/rs4737675_count_position.png",4,220,900)</f>
        <v/>
      </c>
      <c r="T3949">
        <f>IMAGE("https://mitra.stanford.edu/kundaje/oak/projects/neuro-variants/variant_position/credible/roussos_2024/variant_figures/roussos_2024.childhood.GABA/rs4737675_profile_position.png",4,220,900)</f>
        <v/>
      </c>
    </row>
    <row r="3950">
      <c r="A3950" t="inlineStr">
        <is>
          <t>chr8</t>
        </is>
      </c>
      <c r="B3950" t="n">
        <v>64606609</v>
      </c>
      <c r="C3950" t="inlineStr">
        <is>
          <t>A</t>
        </is>
      </c>
      <c r="D3950" t="inlineStr">
        <is>
          <t>G</t>
        </is>
      </c>
      <c r="E3950" t="inlineStr">
        <is>
          <t>rs3779870</t>
        </is>
      </c>
      <c r="F3950" t="n">
        <v>0.1057304268</v>
      </c>
      <c r="G3950" t="n">
        <v>0.0262523923796256</v>
      </c>
      <c r="H3950" t="n">
        <v>0.0172648452424172</v>
      </c>
      <c r="I3950" t="n">
        <v>0.1354043923260706</v>
      </c>
      <c r="J3950" t="n">
        <v>0.568728403593642</v>
      </c>
      <c r="K3950" t="n">
        <v>0.0354420894799935</v>
      </c>
      <c r="L3950" t="b">
        <v>0</v>
      </c>
      <c r="M3950" t="b">
        <v>0</v>
      </c>
      <c r="N3950" t="inlineStr">
        <is>
          <t>alt</t>
        </is>
      </c>
      <c r="O3950" t="n">
        <v>10</v>
      </c>
      <c r="P3950" t="n">
        <v>0.0002747</v>
      </c>
      <c r="Q3950" t="n">
        <v>40</v>
      </c>
      <c r="R3950" t="n">
        <v>0.0537</v>
      </c>
      <c r="S3950">
        <f>IMAGE("https://mitra.stanford.edu/kundaje/oak/projects/neuro-variants/variant_position/credible/roussos_2024/variant_figures/roussos_2024.childhood.GABA/rs3779870_count_position.png",4,220,900)</f>
        <v/>
      </c>
      <c r="T3950">
        <f>IMAGE("https://mitra.stanford.edu/kundaje/oak/projects/neuro-variants/variant_position/credible/roussos_2024/variant_figures/roussos_2024.childhood.GABA/rs3779870_profile_position.png",4,220,900)</f>
        <v/>
      </c>
    </row>
    <row r="3951">
      <c r="A3951" t="inlineStr">
        <is>
          <t>chr8</t>
        </is>
      </c>
      <c r="B3951" t="n">
        <v>64625546</v>
      </c>
      <c r="C3951" t="inlineStr">
        <is>
          <t>G</t>
        </is>
      </c>
      <c r="D3951" t="inlineStr">
        <is>
          <t>A</t>
        </is>
      </c>
      <c r="E3951" t="inlineStr">
        <is>
          <t>rs4452822</t>
        </is>
      </c>
      <c r="F3951" t="n">
        <v>0.03090253</v>
      </c>
      <c r="G3951" t="n">
        <v>0.2805416401711453</v>
      </c>
      <c r="H3951" t="n">
        <v>0.0250267430588995</v>
      </c>
      <c r="I3951" t="n">
        <v>0.0288854965469426</v>
      </c>
      <c r="J3951" t="n">
        <v>0.0589390798098468</v>
      </c>
      <c r="K3951" t="n">
        <v>0.4719812008283247</v>
      </c>
      <c r="L3951" t="b">
        <v>0</v>
      </c>
      <c r="M3951" t="b">
        <v>0</v>
      </c>
      <c r="N3951" t="inlineStr">
        <is>
          <t>alt</t>
        </is>
      </c>
      <c r="O3951" t="n">
        <v>25</v>
      </c>
      <c r="P3951" t="n">
        <v>0.002298</v>
      </c>
      <c r="Q3951" t="n">
        <v>-100</v>
      </c>
      <c r="R3951" t="n">
        <v>0.067</v>
      </c>
      <c r="S3951">
        <f>IMAGE("https://mitra.stanford.edu/kundaje/oak/projects/neuro-variants/variant_position/credible/roussos_2024/variant_figures/roussos_2024.childhood.GABA/rs4452822_count_position.png",4,220,900)</f>
        <v/>
      </c>
      <c r="T3951">
        <f>IMAGE("https://mitra.stanford.edu/kundaje/oak/projects/neuro-variants/variant_position/credible/roussos_2024/variant_figures/roussos_2024.childhood.GABA/rs4452822_profile_position.png",4,220,900)</f>
        <v/>
      </c>
    </row>
    <row r="3952">
      <c r="A3952" t="inlineStr">
        <is>
          <t>chr8</t>
        </is>
      </c>
      <c r="B3952" t="n">
        <v>64649382</v>
      </c>
      <c r="C3952" t="inlineStr">
        <is>
          <t>C</t>
        </is>
      </c>
      <c r="D3952" t="inlineStr">
        <is>
          <t>T</t>
        </is>
      </c>
      <c r="E3952" t="inlineStr">
        <is>
          <t>rs11996031</t>
        </is>
      </c>
      <c r="F3952" t="n">
        <v>-0.0772075539999999</v>
      </c>
      <c r="G3952" t="n">
        <v>0.0560652430890997</v>
      </c>
      <c r="H3952" t="n">
        <v>0.0171601441210815</v>
      </c>
      <c r="I3952" t="n">
        <v>0.1366518784367996</v>
      </c>
      <c r="J3952" t="n">
        <v>0.0054899373835102</v>
      </c>
      <c r="K3952" t="n">
        <v>0.8105187051876365</v>
      </c>
      <c r="L3952" t="b">
        <v>0</v>
      </c>
      <c r="M3952" t="b">
        <v>0</v>
      </c>
      <c r="N3952" t="inlineStr">
        <is>
          <t>ref</t>
        </is>
      </c>
      <c r="O3952" t="n">
        <v>100</v>
      </c>
      <c r="P3952" t="n">
        <v>0.0007095</v>
      </c>
      <c r="Q3952" t="n">
        <v>100</v>
      </c>
      <c r="R3952" t="n">
        <v>0.09950000000000001</v>
      </c>
      <c r="S3952">
        <f>IMAGE("https://mitra.stanford.edu/kundaje/oak/projects/neuro-variants/variant_position/credible/roussos_2024/variant_figures/roussos_2024.childhood.GABA/rs11996031_count_position.png",4,220,900)</f>
        <v/>
      </c>
      <c r="T3952">
        <f>IMAGE("https://mitra.stanford.edu/kundaje/oak/projects/neuro-variants/variant_position/credible/roussos_2024/variant_figures/roussos_2024.childhood.GABA/rs11996031_profile_position.png",4,220,900)</f>
        <v/>
      </c>
    </row>
    <row r="3953">
      <c r="A3953" t="inlineStr">
        <is>
          <t>chr8</t>
        </is>
      </c>
      <c r="B3953" t="n">
        <v>64663044</v>
      </c>
      <c r="C3953" t="inlineStr">
        <is>
          <t>C</t>
        </is>
      </c>
      <c r="D3953" t="inlineStr">
        <is>
          <t>T</t>
        </is>
      </c>
      <c r="E3953" t="inlineStr">
        <is>
          <t>rs4236934</t>
        </is>
      </c>
      <c r="F3953" t="n">
        <v>-0.0099558203999999</v>
      </c>
      <c r="G3953" t="n">
        <v>0.6339116213808789</v>
      </c>
      <c r="H3953" t="n">
        <v>0.0163987195183776</v>
      </c>
      <c r="I3953" t="n">
        <v>0.1642928446425557</v>
      </c>
      <c r="J3953" t="n">
        <v>0.08638353123494789</v>
      </c>
      <c r="K3953" t="n">
        <v>0.376787733218493</v>
      </c>
      <c r="L3953" t="b">
        <v>0</v>
      </c>
      <c r="M3953" t="b">
        <v>0</v>
      </c>
      <c r="N3953" t="inlineStr">
        <is>
          <t>ref</t>
        </is>
      </c>
      <c r="O3953" t="n">
        <v>-50</v>
      </c>
      <c r="P3953" t="n">
        <v>0.003906</v>
      </c>
      <c r="Q3953" t="n">
        <v>-75</v>
      </c>
      <c r="R3953" t="n">
        <v>0.0572</v>
      </c>
      <c r="S3953">
        <f>IMAGE("https://mitra.stanford.edu/kundaje/oak/projects/neuro-variants/variant_position/credible/roussos_2024/variant_figures/roussos_2024.childhood.GABA/rs4236934_count_position.png",4,220,900)</f>
        <v/>
      </c>
      <c r="T3953">
        <f>IMAGE("https://mitra.stanford.edu/kundaje/oak/projects/neuro-variants/variant_position/credible/roussos_2024/variant_figures/roussos_2024.childhood.GABA/rs4236934_profile_position.png",4,220,900)</f>
        <v/>
      </c>
    </row>
    <row r="3954">
      <c r="A3954" t="inlineStr">
        <is>
          <t>chr8</t>
        </is>
      </c>
      <c r="B3954" t="n">
        <v>64670080</v>
      </c>
      <c r="C3954" t="inlineStr">
        <is>
          <t>A</t>
        </is>
      </c>
      <c r="D3954" t="inlineStr">
        <is>
          <t>G</t>
        </is>
      </c>
      <c r="E3954" t="inlineStr">
        <is>
          <t>rs4486246</t>
        </is>
      </c>
      <c r="F3954" t="n">
        <v>-0.0692691084</v>
      </c>
      <c r="G3954" t="n">
        <v>0.0300872106130701</v>
      </c>
      <c r="H3954" t="n">
        <v>0.0229800297035443</v>
      </c>
      <c r="I3954" t="n">
        <v>0.0481472715326948</v>
      </c>
      <c r="J3954" t="n">
        <v>0.1936807606123431</v>
      </c>
      <c r="K3954" t="n">
        <v>0.2272144535050985</v>
      </c>
      <c r="L3954" t="b">
        <v>0</v>
      </c>
      <c r="M3954" t="b">
        <v>0</v>
      </c>
      <c r="N3954" t="inlineStr">
        <is>
          <t>ref</t>
        </is>
      </c>
      <c r="O3954" t="n">
        <v>-100</v>
      </c>
      <c r="P3954" t="n">
        <v>0.00769</v>
      </c>
      <c r="Q3954" t="n">
        <v>-45</v>
      </c>
      <c r="R3954" t="n">
        <v>0.03076</v>
      </c>
      <c r="S3954">
        <f>IMAGE("https://mitra.stanford.edu/kundaje/oak/projects/neuro-variants/variant_position/credible/roussos_2024/variant_figures/roussos_2024.childhood.GABA/rs4486246_count_position.png",4,220,900)</f>
        <v/>
      </c>
      <c r="T3954">
        <f>IMAGE("https://mitra.stanford.edu/kundaje/oak/projects/neuro-variants/variant_position/credible/roussos_2024/variant_figures/roussos_2024.childhood.GABA/rs4486246_profile_position.png",4,220,900)</f>
        <v/>
      </c>
    </row>
    <row r="3955">
      <c r="A3955" t="inlineStr">
        <is>
          <t>chr8</t>
        </is>
      </c>
      <c r="B3955" t="n">
        <v>64672852</v>
      </c>
      <c r="C3955" t="inlineStr">
        <is>
          <t>T</t>
        </is>
      </c>
      <c r="D3955" t="inlineStr">
        <is>
          <t>C</t>
        </is>
      </c>
      <c r="E3955" t="inlineStr">
        <is>
          <t>rs6999999</t>
        </is>
      </c>
      <c r="F3955" t="n">
        <v>-0.0230847213599999</v>
      </c>
      <c r="G3955" t="n">
        <v>0.4092700036076716</v>
      </c>
      <c r="H3955" t="n">
        <v>0.0124951000831416</v>
      </c>
      <c r="I3955" t="n">
        <v>0.3933350495650562</v>
      </c>
      <c r="J3955" t="n">
        <v>0.0056145421038302</v>
      </c>
      <c r="K3955" t="n">
        <v>0.8014957773857784</v>
      </c>
      <c r="L3955" t="b">
        <v>0</v>
      </c>
      <c r="M3955" t="b">
        <v>0</v>
      </c>
      <c r="N3955" t="inlineStr">
        <is>
          <t>ref</t>
        </is>
      </c>
      <c r="O3955" t="n">
        <v>100</v>
      </c>
      <c r="P3955" t="n">
        <v>0.002905</v>
      </c>
      <c r="Q3955" t="n">
        <v>-5</v>
      </c>
      <c r="R3955" t="n">
        <v>0.01013</v>
      </c>
      <c r="S3955">
        <f>IMAGE("https://mitra.stanford.edu/kundaje/oak/projects/neuro-variants/variant_position/credible/roussos_2024/variant_figures/roussos_2024.childhood.GABA/rs6999999_count_position.png",4,220,900)</f>
        <v/>
      </c>
      <c r="T3955">
        <f>IMAGE("https://mitra.stanford.edu/kundaje/oak/projects/neuro-variants/variant_position/credible/roussos_2024/variant_figures/roussos_2024.childhood.GABA/rs6999999_profile_position.png",4,220,900)</f>
        <v/>
      </c>
    </row>
    <row r="3956">
      <c r="A3956" t="inlineStr">
        <is>
          <t>chr8</t>
        </is>
      </c>
      <c r="B3956" t="n">
        <v>64693162</v>
      </c>
      <c r="C3956" t="inlineStr">
        <is>
          <t>G</t>
        </is>
      </c>
      <c r="D3956" t="inlineStr">
        <is>
          <t>T</t>
        </is>
      </c>
      <c r="E3956" t="inlineStr">
        <is>
          <t>rs7827287</t>
        </is>
      </c>
      <c r="F3956" t="n">
        <v>0.0126510278</v>
      </c>
      <c r="G3956" t="n">
        <v>0.5387324134293816</v>
      </c>
      <c r="H3956" t="n">
        <v>0.0106629102110766</v>
      </c>
      <c r="I3956" t="n">
        <v>0.563984600281818</v>
      </c>
      <c r="J3956" t="n">
        <v>0.0517528428724005</v>
      </c>
      <c r="K3956" t="n">
        <v>0.4958672569000844</v>
      </c>
      <c r="L3956" t="b">
        <v>0</v>
      </c>
      <c r="M3956" t="b">
        <v>0</v>
      </c>
      <c r="N3956" t="inlineStr">
        <is>
          <t>alt</t>
        </is>
      </c>
      <c r="O3956" t="n">
        <v>-100</v>
      </c>
      <c r="P3956" t="n">
        <v>0.02386</v>
      </c>
      <c r="Q3956" t="n">
        <v>95</v>
      </c>
      <c r="R3956" t="n">
        <v>0.1675</v>
      </c>
      <c r="S3956">
        <f>IMAGE("https://mitra.stanford.edu/kundaje/oak/projects/neuro-variants/variant_position/credible/roussos_2024/variant_figures/roussos_2024.childhood.GABA/rs7827287_count_position.png",4,220,900)</f>
        <v/>
      </c>
      <c r="T3956">
        <f>IMAGE("https://mitra.stanford.edu/kundaje/oak/projects/neuro-variants/variant_position/credible/roussos_2024/variant_figures/roussos_2024.childhood.GABA/rs7827287_profile_position.png",4,220,900)</f>
        <v/>
      </c>
    </row>
    <row r="3957">
      <c r="A3957" t="inlineStr">
        <is>
          <t>chr8</t>
        </is>
      </c>
      <c r="B3957" t="n">
        <v>64779146</v>
      </c>
      <c r="C3957" t="inlineStr">
        <is>
          <t>C</t>
        </is>
      </c>
      <c r="D3957" t="inlineStr">
        <is>
          <t>A</t>
        </is>
      </c>
      <c r="E3957" t="inlineStr">
        <is>
          <t>rs13252547</t>
        </is>
      </c>
      <c r="F3957" t="n">
        <v>-0.00767102322</v>
      </c>
      <c r="G3957" t="n">
        <v>0.7232537803368798</v>
      </c>
      <c r="H3957" t="n">
        <v>0.0088813967582363</v>
      </c>
      <c r="I3957" t="n">
        <v>0.764384880784604</v>
      </c>
      <c r="J3957" t="n">
        <v>0.0056888860966262</v>
      </c>
      <c r="K3957" t="n">
        <v>0.809140567974078</v>
      </c>
      <c r="L3957" t="b">
        <v>0</v>
      </c>
      <c r="M3957" t="b">
        <v>0</v>
      </c>
      <c r="N3957" t="inlineStr">
        <is>
          <t>ref</t>
        </is>
      </c>
      <c r="O3957" t="n">
        <v>-65</v>
      </c>
      <c r="P3957" t="n">
        <v>0.0008354</v>
      </c>
      <c r="Q3957" t="n">
        <v>-100</v>
      </c>
      <c r="R3957" t="n">
        <v>0.1616</v>
      </c>
      <c r="S3957">
        <f>IMAGE("https://mitra.stanford.edu/kundaje/oak/projects/neuro-variants/variant_position/credible/roussos_2024/variant_figures/roussos_2024.childhood.GABA/rs13252547_count_position.png",4,220,900)</f>
        <v/>
      </c>
      <c r="T3957">
        <f>IMAGE("https://mitra.stanford.edu/kundaje/oak/projects/neuro-variants/variant_position/credible/roussos_2024/variant_figures/roussos_2024.childhood.GABA/rs13252547_profile_position.png",4,220,900)</f>
        <v/>
      </c>
    </row>
    <row r="3958">
      <c r="A3958" t="inlineStr">
        <is>
          <t>chr8</t>
        </is>
      </c>
      <c r="B3958" t="n">
        <v>81061024</v>
      </c>
      <c r="C3958" t="inlineStr">
        <is>
          <t>T</t>
        </is>
      </c>
      <c r="D3958" t="inlineStr">
        <is>
          <t>G</t>
        </is>
      </c>
      <c r="E3958" t="inlineStr">
        <is>
          <t>rs4574807</t>
        </is>
      </c>
      <c r="F3958" t="n">
        <v>0.0409446068</v>
      </c>
      <c r="G3958" t="n">
        <v>0.1995604808637089</v>
      </c>
      <c r="H3958" t="n">
        <v>0.012989719255106</v>
      </c>
      <c r="I3958" t="n">
        <v>0.3544510851497441</v>
      </c>
      <c r="J3958" t="n">
        <v>0.0295574961780904</v>
      </c>
      <c r="K3958" t="n">
        <v>0.5814029828853691</v>
      </c>
      <c r="L3958" t="b">
        <v>0</v>
      </c>
      <c r="M3958" t="b">
        <v>0</v>
      </c>
      <c r="N3958" t="inlineStr">
        <is>
          <t>alt</t>
        </is>
      </c>
      <c r="O3958" t="n">
        <v>-70</v>
      </c>
      <c r="P3958" t="n">
        <v>0.007454</v>
      </c>
      <c r="Q3958" t="n">
        <v>45</v>
      </c>
      <c r="R3958" t="n">
        <v>0.06335</v>
      </c>
      <c r="S3958">
        <f>IMAGE("https://mitra.stanford.edu/kundaje/oak/projects/neuro-variants/variant_position/credible/roussos_2024/variant_figures/roussos_2024.childhood.GABA/rs4574807_count_position.png",4,220,900)</f>
        <v/>
      </c>
      <c r="T3958">
        <f>IMAGE("https://mitra.stanford.edu/kundaje/oak/projects/neuro-variants/variant_position/credible/roussos_2024/variant_figures/roussos_2024.childhood.GABA/rs4574807_profile_position.png",4,220,900)</f>
        <v/>
      </c>
    </row>
    <row r="3959">
      <c r="A3959" t="inlineStr">
        <is>
          <t>chr8</t>
        </is>
      </c>
      <c r="B3959" t="n">
        <v>81061053</v>
      </c>
      <c r="C3959" t="inlineStr">
        <is>
          <t>T</t>
        </is>
      </c>
      <c r="D3959" t="inlineStr">
        <is>
          <t>C</t>
        </is>
      </c>
      <c r="E3959" t="inlineStr">
        <is>
          <t>rs4265143</t>
        </is>
      </c>
      <c r="F3959" t="n">
        <v>0.0351691579999999</v>
      </c>
      <c r="G3959" t="n">
        <v>0.2415381753225379</v>
      </c>
      <c r="H3959" t="n">
        <v>0.0119809962144707</v>
      </c>
      <c r="I3959" t="n">
        <v>0.435593435030736</v>
      </c>
      <c r="J3959" t="n">
        <v>0.0322056082595128</v>
      </c>
      <c r="K3959" t="n">
        <v>0.5671704192383176</v>
      </c>
      <c r="L3959" t="b">
        <v>0</v>
      </c>
      <c r="M3959" t="b">
        <v>0</v>
      </c>
      <c r="N3959" t="inlineStr">
        <is>
          <t>alt</t>
        </is>
      </c>
      <c r="O3959" t="n">
        <v>-100</v>
      </c>
      <c r="P3959" t="n">
        <v>0.01033</v>
      </c>
      <c r="Q3959" t="n">
        <v>15</v>
      </c>
      <c r="R3959" t="n">
        <v>0.03772</v>
      </c>
      <c r="S3959">
        <f>IMAGE("https://mitra.stanford.edu/kundaje/oak/projects/neuro-variants/variant_position/credible/roussos_2024/variant_figures/roussos_2024.childhood.GABA/rs4265143_count_position.png",4,220,900)</f>
        <v/>
      </c>
      <c r="T3959">
        <f>IMAGE("https://mitra.stanford.edu/kundaje/oak/projects/neuro-variants/variant_position/credible/roussos_2024/variant_figures/roussos_2024.childhood.GABA/rs4265143_profile_position.png",4,220,900)</f>
        <v/>
      </c>
    </row>
    <row r="3960">
      <c r="A3960" t="inlineStr">
        <is>
          <t>chr8</t>
        </is>
      </c>
      <c r="B3960" t="n">
        <v>81061840</v>
      </c>
      <c r="C3960" t="inlineStr">
        <is>
          <t>G</t>
        </is>
      </c>
      <c r="D3960" t="inlineStr">
        <is>
          <t>T</t>
        </is>
      </c>
      <c r="E3960" t="inlineStr">
        <is>
          <t>rs11986552</t>
        </is>
      </c>
      <c r="F3960" t="n">
        <v>-0.0500853797999999</v>
      </c>
      <c r="G3960" t="n">
        <v>0.1496997035612189</v>
      </c>
      <c r="H3960" t="n">
        <v>0.0183928114369598</v>
      </c>
      <c r="I3960" t="n">
        <v>0.1058877895596065</v>
      </c>
      <c r="J3960" t="n">
        <v>0.0449529852777951</v>
      </c>
      <c r="K3960" t="n">
        <v>0.5118677361897734</v>
      </c>
      <c r="L3960" t="b">
        <v>0</v>
      </c>
      <c r="M3960" t="b">
        <v>0</v>
      </c>
      <c r="N3960" t="inlineStr">
        <is>
          <t>ref</t>
        </is>
      </c>
      <c r="O3960" t="n">
        <v>90</v>
      </c>
      <c r="P3960" t="n">
        <v>0.00746</v>
      </c>
      <c r="Q3960" t="n">
        <v>30</v>
      </c>
      <c r="R3960" t="n">
        <v>0.01904</v>
      </c>
      <c r="S3960">
        <f>IMAGE("https://mitra.stanford.edu/kundaje/oak/projects/neuro-variants/variant_position/credible/roussos_2024/variant_figures/roussos_2024.childhood.GABA/rs11986552_count_position.png",4,220,900)</f>
        <v/>
      </c>
      <c r="T3960">
        <f>IMAGE("https://mitra.stanford.edu/kundaje/oak/projects/neuro-variants/variant_position/credible/roussos_2024/variant_figures/roussos_2024.childhood.GABA/rs11986552_profile_position.png",4,220,900)</f>
        <v/>
      </c>
    </row>
    <row r="3961">
      <c r="A3961" t="inlineStr">
        <is>
          <t>chr8</t>
        </is>
      </c>
      <c r="B3961" t="n">
        <v>81078844</v>
      </c>
      <c r="C3961" t="inlineStr">
        <is>
          <t>C</t>
        </is>
      </c>
      <c r="D3961" t="inlineStr">
        <is>
          <t>T</t>
        </is>
      </c>
      <c r="E3961" t="inlineStr">
        <is>
          <t>rs4534094</t>
        </is>
      </c>
      <c r="F3961" t="n">
        <v>-0.069630238</v>
      </c>
      <c r="G3961" t="n">
        <v>0.07829333291529771</v>
      </c>
      <c r="H3961" t="n">
        <v>0.0157368239572556</v>
      </c>
      <c r="I3961" t="n">
        <v>0.1904146740521917</v>
      </c>
      <c r="J3961" t="n">
        <v>0.0270758727565914</v>
      </c>
      <c r="K3961" t="n">
        <v>0.6002353782675661</v>
      </c>
      <c r="L3961" t="b">
        <v>0</v>
      </c>
      <c r="M3961" t="b">
        <v>0</v>
      </c>
      <c r="N3961" t="inlineStr">
        <is>
          <t>ref</t>
        </is>
      </c>
      <c r="O3961" t="n">
        <v>-40</v>
      </c>
      <c r="P3961" t="n">
        <v>0.001596</v>
      </c>
      <c r="Q3961" t="n">
        <v>-60</v>
      </c>
      <c r="R3961" t="n">
        <v>0.05267</v>
      </c>
      <c r="S3961">
        <f>IMAGE("https://mitra.stanford.edu/kundaje/oak/projects/neuro-variants/variant_position/credible/roussos_2024/variant_figures/roussos_2024.childhood.GABA/rs4534094_count_position.png",4,220,900)</f>
        <v/>
      </c>
      <c r="T3961">
        <f>IMAGE("https://mitra.stanford.edu/kundaje/oak/projects/neuro-variants/variant_position/credible/roussos_2024/variant_figures/roussos_2024.childhood.GABA/rs4534094_profile_position.png",4,220,900)</f>
        <v/>
      </c>
    </row>
    <row r="3962">
      <c r="A3962" t="inlineStr">
        <is>
          <t>chr8</t>
        </is>
      </c>
      <c r="B3962" t="n">
        <v>81081544</v>
      </c>
      <c r="C3962" t="inlineStr">
        <is>
          <t>C</t>
        </is>
      </c>
      <c r="D3962" t="inlineStr">
        <is>
          <t>T</t>
        </is>
      </c>
      <c r="E3962" t="inlineStr">
        <is>
          <t>rs4739612</t>
        </is>
      </c>
      <c r="F3962" t="n">
        <v>-0.0242964617</v>
      </c>
      <c r="G3962" t="n">
        <v>0.3213868883573555</v>
      </c>
      <c r="H3962" t="n">
        <v>0.0106108069658449</v>
      </c>
      <c r="I3962" t="n">
        <v>0.5133971153269105</v>
      </c>
      <c r="J3962" t="n">
        <v>0.0363584008711859</v>
      </c>
      <c r="K3962" t="n">
        <v>0.5467386754372162</v>
      </c>
      <c r="L3962" t="b">
        <v>0</v>
      </c>
      <c r="M3962" t="b">
        <v>0</v>
      </c>
      <c r="N3962" t="inlineStr">
        <is>
          <t>ref</t>
        </is>
      </c>
      <c r="O3962" t="n">
        <v>-100</v>
      </c>
      <c r="P3962" t="n">
        <v>0.09265</v>
      </c>
      <c r="Q3962" t="n">
        <v>100</v>
      </c>
      <c r="R3962" t="n">
        <v>0.2402</v>
      </c>
      <c r="S3962">
        <f>IMAGE("https://mitra.stanford.edu/kundaje/oak/projects/neuro-variants/variant_position/credible/roussos_2024/variant_figures/roussos_2024.childhood.GABA/rs4739612_count_position.png",4,220,900)</f>
        <v/>
      </c>
      <c r="T3962">
        <f>IMAGE("https://mitra.stanford.edu/kundaje/oak/projects/neuro-variants/variant_position/credible/roussos_2024/variant_figures/roussos_2024.childhood.GABA/rs4739612_profile_position.png",4,220,900)</f>
        <v/>
      </c>
    </row>
    <row r="3963">
      <c r="A3963" t="inlineStr">
        <is>
          <t>chr8</t>
        </is>
      </c>
      <c r="B3963" t="n">
        <v>88351378</v>
      </c>
      <c r="C3963" t="inlineStr">
        <is>
          <t>G</t>
        </is>
      </c>
      <c r="D3963" t="inlineStr">
        <is>
          <t>A</t>
        </is>
      </c>
      <c r="E3963" t="inlineStr">
        <is>
          <t>rs58255283</t>
        </is>
      </c>
      <c r="F3963" t="n">
        <v>0.009212169100000001</v>
      </c>
      <c r="G3963" t="n">
        <v>0.623384920942585</v>
      </c>
      <c r="H3963" t="n">
        <v>0.0214895868727599</v>
      </c>
      <c r="I3963" t="n">
        <v>0.0618743131006114</v>
      </c>
      <c r="J3963" t="n">
        <v>0.0241837867269795</v>
      </c>
      <c r="K3963" t="n">
        <v>0.6326901305740291</v>
      </c>
      <c r="L3963" t="b">
        <v>0</v>
      </c>
      <c r="M3963" t="b">
        <v>0</v>
      </c>
      <c r="N3963" t="inlineStr">
        <is>
          <t>alt</t>
        </is>
      </c>
      <c r="O3963" t="n">
        <v>5</v>
      </c>
      <c r="P3963" t="n">
        <v>0.0002441</v>
      </c>
      <c r="Q3963" t="n">
        <v>100</v>
      </c>
      <c r="R3963" t="n">
        <v>0.05096</v>
      </c>
      <c r="S3963">
        <f>IMAGE("https://mitra.stanford.edu/kundaje/oak/projects/neuro-variants/variant_position/credible/roussos_2024/variant_figures/roussos_2024.childhood.GABA/rs58255283_count_position.png",4,220,900)</f>
        <v/>
      </c>
      <c r="T3963">
        <f>IMAGE("https://mitra.stanford.edu/kundaje/oak/projects/neuro-variants/variant_position/credible/roussos_2024/variant_figures/roussos_2024.childhood.GABA/rs58255283_profile_position.png",4,220,900)</f>
        <v/>
      </c>
    </row>
    <row r="3964">
      <c r="A3964" t="inlineStr">
        <is>
          <t>chr8</t>
        </is>
      </c>
      <c r="B3964" t="n">
        <v>88354878</v>
      </c>
      <c r="C3964" t="inlineStr">
        <is>
          <t>T</t>
        </is>
      </c>
      <c r="D3964" t="inlineStr">
        <is>
          <t>C</t>
        </is>
      </c>
      <c r="E3964" t="inlineStr">
        <is>
          <t>rs13262875</t>
        </is>
      </c>
      <c r="F3964" t="n">
        <v>-0.0881841102</v>
      </c>
      <c r="G3964" t="n">
        <v>0.046554431996423</v>
      </c>
      <c r="H3964" t="n">
        <v>0.02045448155077</v>
      </c>
      <c r="I3964" t="n">
        <v>0.0688819639005892</v>
      </c>
      <c r="J3964" t="n">
        <v>0.0329239178237104</v>
      </c>
      <c r="K3964" t="n">
        <v>0.5914692421662723</v>
      </c>
      <c r="L3964" t="b">
        <v>0</v>
      </c>
      <c r="M3964" t="b">
        <v>0</v>
      </c>
      <c r="N3964" t="inlineStr">
        <is>
          <t>ref</t>
        </is>
      </c>
      <c r="O3964" t="n">
        <v>95</v>
      </c>
      <c r="P3964" t="n">
        <v>0.003685</v>
      </c>
      <c r="Q3964" t="n">
        <v>95</v>
      </c>
      <c r="R3964" t="n">
        <v>0.053</v>
      </c>
      <c r="S3964">
        <f>IMAGE("https://mitra.stanford.edu/kundaje/oak/projects/neuro-variants/variant_position/credible/roussos_2024/variant_figures/roussos_2024.childhood.GABA/rs13262875_count_position.png",4,220,900)</f>
        <v/>
      </c>
      <c r="T3964">
        <f>IMAGE("https://mitra.stanford.edu/kundaje/oak/projects/neuro-variants/variant_position/credible/roussos_2024/variant_figures/roussos_2024.childhood.GABA/rs13262875_profile_position.png",4,220,900)</f>
        <v/>
      </c>
    </row>
    <row r="3965">
      <c r="A3965" t="inlineStr">
        <is>
          <t>chr8</t>
        </is>
      </c>
      <c r="B3965" t="n">
        <v>88430735</v>
      </c>
      <c r="C3965" t="inlineStr">
        <is>
          <t>A</t>
        </is>
      </c>
      <c r="D3965" t="inlineStr">
        <is>
          <t>C</t>
        </is>
      </c>
      <c r="E3965" t="inlineStr">
        <is>
          <t>rs73291155</t>
        </is>
      </c>
      <c r="F3965" t="n">
        <v>0.08562301559999989</v>
      </c>
      <c r="G3965" t="n">
        <v>0.0452987883691782</v>
      </c>
      <c r="H3965" t="n">
        <v>0.0127881281092974</v>
      </c>
      <c r="I3965" t="n">
        <v>0.3524848822281609</v>
      </c>
      <c r="J3965" t="n">
        <v>0.06520177587903909</v>
      </c>
      <c r="K3965" t="n">
        <v>0.4365699735123326</v>
      </c>
      <c r="L3965" t="b">
        <v>0</v>
      </c>
      <c r="M3965" t="b">
        <v>0</v>
      </c>
      <c r="N3965" t="inlineStr">
        <is>
          <t>alt</t>
        </is>
      </c>
      <c r="O3965" t="n">
        <v>-100</v>
      </c>
      <c r="P3965" t="n">
        <v>0.007538</v>
      </c>
      <c r="Q3965" t="n">
        <v>100</v>
      </c>
      <c r="R3965" t="n">
        <v>0.1194</v>
      </c>
      <c r="S3965">
        <f>IMAGE("https://mitra.stanford.edu/kundaje/oak/projects/neuro-variants/variant_position/credible/roussos_2024/variant_figures/roussos_2024.childhood.GABA/rs73291155_count_position.png",4,220,900)</f>
        <v/>
      </c>
      <c r="T3965">
        <f>IMAGE("https://mitra.stanford.edu/kundaje/oak/projects/neuro-variants/variant_position/credible/roussos_2024/variant_figures/roussos_2024.childhood.GABA/rs73291155_profile_position.png",4,220,900)</f>
        <v/>
      </c>
    </row>
    <row r="3966">
      <c r="A3966" t="inlineStr">
        <is>
          <t>chr8</t>
        </is>
      </c>
      <c r="B3966" t="n">
        <v>88502546</v>
      </c>
      <c r="C3966" t="inlineStr">
        <is>
          <t>T</t>
        </is>
      </c>
      <c r="D3966" t="inlineStr">
        <is>
          <t>G</t>
        </is>
      </c>
      <c r="E3966" t="inlineStr">
        <is>
          <t>rs6469448</t>
        </is>
      </c>
      <c r="F3966" t="n">
        <v>-0.01335927128</v>
      </c>
      <c r="G3966" t="n">
        <v>0.5030069619288445</v>
      </c>
      <c r="H3966" t="n">
        <v>0.0306890062326458</v>
      </c>
      <c r="I3966" t="n">
        <v>0.0114738609094443</v>
      </c>
      <c r="J3966" t="n">
        <v>4.921362903393147e-05</v>
      </c>
      <c r="K3966" t="n">
        <v>0.9907746265134182</v>
      </c>
      <c r="L3966" t="b">
        <v>0</v>
      </c>
      <c r="M3966" t="b">
        <v>0</v>
      </c>
      <c r="N3966" t="inlineStr">
        <is>
          <t>ref</t>
        </is>
      </c>
      <c r="O3966" t="n">
        <v>30</v>
      </c>
      <c r="P3966" t="n">
        <v>0.003326</v>
      </c>
      <c r="Q3966" t="n">
        <v>100</v>
      </c>
      <c r="R3966" t="n">
        <v>0.01953</v>
      </c>
      <c r="S3966">
        <f>IMAGE("https://mitra.stanford.edu/kundaje/oak/projects/neuro-variants/variant_position/credible/roussos_2024/variant_figures/roussos_2024.childhood.GABA/rs6469448_count_position.png",4,220,900)</f>
        <v/>
      </c>
      <c r="T3966">
        <f>IMAGE("https://mitra.stanford.edu/kundaje/oak/projects/neuro-variants/variant_position/credible/roussos_2024/variant_figures/roussos_2024.childhood.GABA/rs6469448_profile_position.png",4,220,900)</f>
        <v/>
      </c>
    </row>
    <row r="3967">
      <c r="A3967" t="inlineStr">
        <is>
          <t>chr8</t>
        </is>
      </c>
      <c r="B3967" t="n">
        <v>88538814</v>
      </c>
      <c r="C3967" t="inlineStr">
        <is>
          <t>C</t>
        </is>
      </c>
      <c r="D3967" t="inlineStr">
        <is>
          <t>T</t>
        </is>
      </c>
      <c r="E3967" t="inlineStr">
        <is>
          <t>rs16884208</t>
        </is>
      </c>
      <c r="F3967" t="n">
        <v>0.00794889014</v>
      </c>
      <c r="G3967" t="n">
        <v>0.6844190991655301</v>
      </c>
      <c r="H3967" t="n">
        <v>0.0230972237689352</v>
      </c>
      <c r="I3967" t="n">
        <v>0.0408921396863237</v>
      </c>
      <c r="J3967" t="n">
        <v>0.000412556805093</v>
      </c>
      <c r="K3967" t="n">
        <v>0.9414343213113036</v>
      </c>
      <c r="L3967" t="b">
        <v>0</v>
      </c>
      <c r="M3967" t="b">
        <v>0</v>
      </c>
      <c r="N3967" t="inlineStr">
        <is>
          <t>alt</t>
        </is>
      </c>
      <c r="O3967" t="n">
        <v>-60</v>
      </c>
      <c r="P3967" t="n">
        <v>0.01184</v>
      </c>
      <c r="Q3967" t="n">
        <v>-35</v>
      </c>
      <c r="R3967" t="n">
        <v>0.03827</v>
      </c>
      <c r="S3967">
        <f>IMAGE("https://mitra.stanford.edu/kundaje/oak/projects/neuro-variants/variant_position/credible/roussos_2024/variant_figures/roussos_2024.childhood.GABA/rs16884208_count_position.png",4,220,900)</f>
        <v/>
      </c>
      <c r="T3967">
        <f>IMAGE("https://mitra.stanford.edu/kundaje/oak/projects/neuro-variants/variant_position/credible/roussos_2024/variant_figures/roussos_2024.childhood.GABA/rs16884208_profile_position.png",4,220,900)</f>
        <v/>
      </c>
    </row>
    <row r="3968">
      <c r="A3968" t="inlineStr">
        <is>
          <t>chr8</t>
        </is>
      </c>
      <c r="B3968" t="n">
        <v>88540393</v>
      </c>
      <c r="C3968" t="inlineStr">
        <is>
          <t>T</t>
        </is>
      </c>
      <c r="D3968" t="inlineStr">
        <is>
          <t>G</t>
        </is>
      </c>
      <c r="E3968" t="inlineStr">
        <is>
          <t>rs7007660</t>
        </is>
      </c>
      <c r="F3968" t="n">
        <v>0.109594038</v>
      </c>
      <c r="G3968" t="n">
        <v>0.0241940685641412</v>
      </c>
      <c r="H3968" t="n">
        <v>0.0171659807365824</v>
      </c>
      <c r="I3968" t="n">
        <v>0.1394464073823117</v>
      </c>
      <c r="J3968" t="n">
        <v>0.0139546815773491</v>
      </c>
      <c r="K3968" t="n">
        <v>0.6961389590368338</v>
      </c>
      <c r="L3968" t="b">
        <v>0</v>
      </c>
      <c r="M3968" t="b">
        <v>0</v>
      </c>
      <c r="N3968" t="inlineStr">
        <is>
          <t>alt</t>
        </is>
      </c>
      <c r="O3968" t="n">
        <v>40</v>
      </c>
      <c r="P3968" t="n">
        <v>0.009445</v>
      </c>
      <c r="Q3968" t="n">
        <v>5</v>
      </c>
      <c r="R3968" t="n">
        <v>0.01563</v>
      </c>
      <c r="S3968">
        <f>IMAGE("https://mitra.stanford.edu/kundaje/oak/projects/neuro-variants/variant_position/credible/roussos_2024/variant_figures/roussos_2024.childhood.GABA/rs7007660_count_position.png",4,220,900)</f>
        <v/>
      </c>
      <c r="T3968">
        <f>IMAGE("https://mitra.stanford.edu/kundaje/oak/projects/neuro-variants/variant_position/credible/roussos_2024/variant_figures/roussos_2024.childhood.GABA/rs7007660_profile_position.png",4,220,900)</f>
        <v/>
      </c>
    </row>
    <row r="3969">
      <c r="A3969" t="inlineStr">
        <is>
          <t>chr8</t>
        </is>
      </c>
      <c r="B3969" t="n">
        <v>88541760</v>
      </c>
      <c r="C3969" t="inlineStr">
        <is>
          <t>C</t>
        </is>
      </c>
      <c r="D3969" t="inlineStr">
        <is>
          <t>G</t>
        </is>
      </c>
      <c r="E3969" t="inlineStr">
        <is>
          <t>rs16884246</t>
        </is>
      </c>
      <c r="F3969" t="n">
        <v>0.131468566</v>
      </c>
      <c r="G3969" t="n">
        <v>0.0158342625724726</v>
      </c>
      <c r="H3969" t="n">
        <v>0.019786753373018</v>
      </c>
      <c r="I3969" t="n">
        <v>0.07909122716393729</v>
      </c>
      <c r="J3969" t="n">
        <v>0.0017172415237376</v>
      </c>
      <c r="K3969" t="n">
        <v>0.9027344258851526</v>
      </c>
      <c r="L3969" t="b">
        <v>1</v>
      </c>
      <c r="M3969" t="b">
        <v>0</v>
      </c>
      <c r="N3969" t="inlineStr">
        <is>
          <t>alt</t>
        </is>
      </c>
      <c r="O3969" t="n">
        <v>65</v>
      </c>
      <c r="P3969" t="n">
        <v>0.00251</v>
      </c>
      <c r="Q3969" t="n">
        <v>20</v>
      </c>
      <c r="R3969" t="n">
        <v>0.006958</v>
      </c>
      <c r="S3969">
        <f>IMAGE("https://mitra.stanford.edu/kundaje/oak/projects/neuro-variants/variant_position/credible/roussos_2024/variant_figures/roussos_2024.childhood.GABA/rs16884246_count_position.png",4,220,900)</f>
        <v/>
      </c>
      <c r="T3969">
        <f>IMAGE("https://mitra.stanford.edu/kundaje/oak/projects/neuro-variants/variant_position/credible/roussos_2024/variant_figures/roussos_2024.childhood.GABA/rs16884246_profile_position.png",4,220,900)</f>
        <v/>
      </c>
    </row>
    <row r="3970">
      <c r="A3970" t="inlineStr">
        <is>
          <t>chr8</t>
        </is>
      </c>
      <c r="B3970" t="n">
        <v>88548660</v>
      </c>
      <c r="C3970" t="inlineStr">
        <is>
          <t>G</t>
        </is>
      </c>
      <c r="D3970" t="inlineStr">
        <is>
          <t>A</t>
        </is>
      </c>
      <c r="E3970" t="inlineStr">
        <is>
          <t>rs34846572</t>
        </is>
      </c>
      <c r="F3970" t="n">
        <v>0.128859006</v>
      </c>
      <c r="G3970" t="n">
        <v>0.0180858012731313</v>
      </c>
      <c r="H3970" t="n">
        <v>0.0197626320008695</v>
      </c>
      <c r="I3970" t="n">
        <v>0.08144576868044411</v>
      </c>
      <c r="J3970" t="n">
        <v>0.0194865029004627</v>
      </c>
      <c r="K3970" t="n">
        <v>0.6473025004017854</v>
      </c>
      <c r="L3970" t="b">
        <v>1</v>
      </c>
      <c r="M3970" t="b">
        <v>0</v>
      </c>
      <c r="N3970" t="inlineStr">
        <is>
          <t>alt</t>
        </is>
      </c>
      <c r="O3970" t="n">
        <v>95</v>
      </c>
      <c r="P3970" t="n">
        <v>0.01651</v>
      </c>
      <c r="Q3970" t="n">
        <v>-20</v>
      </c>
      <c r="R3970" t="n">
        <v>0.05713</v>
      </c>
      <c r="S3970">
        <f>IMAGE("https://mitra.stanford.edu/kundaje/oak/projects/neuro-variants/variant_position/credible/roussos_2024/variant_figures/roussos_2024.childhood.GABA/rs34846572_count_position.png",4,220,900)</f>
        <v/>
      </c>
      <c r="T3970">
        <f>IMAGE("https://mitra.stanford.edu/kundaje/oak/projects/neuro-variants/variant_position/credible/roussos_2024/variant_figures/roussos_2024.childhood.GABA/rs34846572_profile_position.png",4,220,900)</f>
        <v/>
      </c>
    </row>
    <row r="3971">
      <c r="A3971" t="inlineStr">
        <is>
          <t>chr8</t>
        </is>
      </c>
      <c r="B3971" t="n">
        <v>88570396</v>
      </c>
      <c r="C3971" t="inlineStr">
        <is>
          <t>A</t>
        </is>
      </c>
      <c r="D3971" t="inlineStr">
        <is>
          <t>G</t>
        </is>
      </c>
      <c r="E3971" t="inlineStr">
        <is>
          <t>rs10504857</t>
        </is>
      </c>
      <c r="F3971" t="n">
        <v>-0.01946488212</v>
      </c>
      <c r="G3971" t="n">
        <v>0.4565308713704163</v>
      </c>
      <c r="H3971" t="n">
        <v>0.0176464857031105</v>
      </c>
      <c r="I3971" t="n">
        <v>0.1238875679809766</v>
      </c>
      <c r="J3971" t="n">
        <v>0.0361594521580699</v>
      </c>
      <c r="K3971" t="n">
        <v>0.5763251157967842</v>
      </c>
      <c r="L3971" t="b">
        <v>0</v>
      </c>
      <c r="M3971" t="b">
        <v>0</v>
      </c>
      <c r="N3971" t="inlineStr">
        <is>
          <t>ref</t>
        </is>
      </c>
      <c r="O3971" t="n">
        <v>-100</v>
      </c>
      <c r="P3971" t="n">
        <v>0.003214</v>
      </c>
      <c r="Q3971" t="n">
        <v>90</v>
      </c>
      <c r="R3971" t="n">
        <v>0.01056</v>
      </c>
      <c r="S3971">
        <f>IMAGE("https://mitra.stanford.edu/kundaje/oak/projects/neuro-variants/variant_position/credible/roussos_2024/variant_figures/roussos_2024.childhood.GABA/rs10504857_count_position.png",4,220,900)</f>
        <v/>
      </c>
      <c r="T3971">
        <f>IMAGE("https://mitra.stanford.edu/kundaje/oak/projects/neuro-variants/variant_position/credible/roussos_2024/variant_figures/roussos_2024.childhood.GABA/rs10504857_profile_position.png",4,220,900)</f>
        <v/>
      </c>
    </row>
    <row r="3972">
      <c r="A3972" t="inlineStr">
        <is>
          <t>chr8</t>
        </is>
      </c>
      <c r="B3972" t="n">
        <v>88572819</v>
      </c>
      <c r="C3972" t="inlineStr">
        <is>
          <t>G</t>
        </is>
      </c>
      <c r="D3972" t="inlineStr">
        <is>
          <t>A</t>
        </is>
      </c>
      <c r="E3972" t="inlineStr">
        <is>
          <t>rs7838490</t>
        </is>
      </c>
      <c r="F3972" t="n">
        <v>0.045192628</v>
      </c>
      <c r="G3972" t="n">
        <v>0.1757283632450994</v>
      </c>
      <c r="H3972" t="n">
        <v>0.0191732374511345</v>
      </c>
      <c r="I3972" t="n">
        <v>0.0889338017968932</v>
      </c>
      <c r="J3972" t="n">
        <v>0.0122311574626708</v>
      </c>
      <c r="K3972" t="n">
        <v>0.7206191754478772</v>
      </c>
      <c r="L3972" t="b">
        <v>0</v>
      </c>
      <c r="M3972" t="b">
        <v>0</v>
      </c>
      <c r="N3972" t="inlineStr">
        <is>
          <t>alt</t>
        </is>
      </c>
      <c r="O3972" t="n">
        <v>-100</v>
      </c>
      <c r="P3972" t="n">
        <v>0.01978</v>
      </c>
      <c r="Q3972" t="n">
        <v>-100</v>
      </c>
      <c r="R3972" t="n">
        <v>0.1823</v>
      </c>
      <c r="S3972">
        <f>IMAGE("https://mitra.stanford.edu/kundaje/oak/projects/neuro-variants/variant_position/credible/roussos_2024/variant_figures/roussos_2024.childhood.GABA/rs7838490_count_position.png",4,220,900)</f>
        <v/>
      </c>
      <c r="T3972">
        <f>IMAGE("https://mitra.stanford.edu/kundaje/oak/projects/neuro-variants/variant_position/credible/roussos_2024/variant_figures/roussos_2024.childhood.GABA/rs7838490_profile_position.png",4,220,900)</f>
        <v/>
      </c>
    </row>
    <row r="3973">
      <c r="A3973" t="inlineStr">
        <is>
          <t>chr8</t>
        </is>
      </c>
      <c r="B3973" t="n">
        <v>88581951</v>
      </c>
      <c r="C3973" t="inlineStr">
        <is>
          <t>G</t>
        </is>
      </c>
      <c r="D3973" t="inlineStr">
        <is>
          <t>T</t>
        </is>
      </c>
      <c r="E3973" t="inlineStr">
        <is>
          <t>rs71526952</t>
        </is>
      </c>
      <c r="F3973" t="n">
        <v>-0.004592766932</v>
      </c>
      <c r="G3973" t="n">
        <v>0.810619065038129</v>
      </c>
      <c r="H3973" t="n">
        <v>0.017880342775328</v>
      </c>
      <c r="I3973" t="n">
        <v>0.1186584765365501</v>
      </c>
      <c r="J3973" t="n">
        <v>0.0011706561119138</v>
      </c>
      <c r="K3973" t="n">
        <v>0.9092009143944908</v>
      </c>
      <c r="L3973" t="b">
        <v>0</v>
      </c>
      <c r="M3973" t="b">
        <v>0</v>
      </c>
      <c r="N3973" t="inlineStr">
        <is>
          <t>ref</t>
        </is>
      </c>
      <c r="O3973" t="n">
        <v>-25</v>
      </c>
      <c r="P3973" t="n">
        <v>0.000977</v>
      </c>
      <c r="Q3973" t="n">
        <v>85</v>
      </c>
      <c r="R3973" t="n">
        <v>0.05286</v>
      </c>
      <c r="S3973">
        <f>IMAGE("https://mitra.stanford.edu/kundaje/oak/projects/neuro-variants/variant_position/credible/roussos_2024/variant_figures/roussos_2024.childhood.GABA/rs71526952_count_position.png",4,220,900)</f>
        <v/>
      </c>
      <c r="T3973">
        <f>IMAGE("https://mitra.stanford.edu/kundaje/oak/projects/neuro-variants/variant_position/credible/roussos_2024/variant_figures/roussos_2024.childhood.GABA/rs71526952_profile_position.png",4,220,900)</f>
        <v/>
      </c>
    </row>
    <row r="3974">
      <c r="A3974" t="inlineStr">
        <is>
          <t>chr8</t>
        </is>
      </c>
      <c r="B3974" t="n">
        <v>102649991</v>
      </c>
      <c r="C3974" t="inlineStr">
        <is>
          <t>G</t>
        </is>
      </c>
      <c r="D3974" t="inlineStr">
        <is>
          <t>A</t>
        </is>
      </c>
      <c r="E3974" t="inlineStr">
        <is>
          <t>rs3191333</t>
        </is>
      </c>
      <c r="F3974" t="n">
        <v>-0.0326781438</v>
      </c>
      <c r="G3974" t="n">
        <v>0.2734811610171719</v>
      </c>
      <c r="H3974" t="n">
        <v>0.009833012590252901</v>
      </c>
      <c r="I3974" t="n">
        <v>0.6536115506405027</v>
      </c>
      <c r="J3974" t="n">
        <v>0.09384724927226649</v>
      </c>
      <c r="K3974" t="n">
        <v>0.3794652927643546</v>
      </c>
      <c r="L3974" t="b">
        <v>0</v>
      </c>
      <c r="M3974" t="b">
        <v>0</v>
      </c>
      <c r="N3974" t="inlineStr">
        <is>
          <t>ref</t>
        </is>
      </c>
      <c r="O3974" t="n">
        <v>10</v>
      </c>
      <c r="P3974" t="n">
        <v>0.0002823</v>
      </c>
      <c r="Q3974" t="n">
        <v>100</v>
      </c>
      <c r="R3974" t="n">
        <v>0.1256</v>
      </c>
      <c r="S3974">
        <f>IMAGE("https://mitra.stanford.edu/kundaje/oak/projects/neuro-variants/variant_position/credible/roussos_2024/variant_figures/roussos_2024.childhood.GABA/rs3191333_count_position.png",4,220,900)</f>
        <v/>
      </c>
      <c r="T3974">
        <f>IMAGE("https://mitra.stanford.edu/kundaje/oak/projects/neuro-variants/variant_position/credible/roussos_2024/variant_figures/roussos_2024.childhood.GABA/rs3191333_profile_position.png",4,220,900)</f>
        <v/>
      </c>
    </row>
    <row r="3975">
      <c r="A3975" t="inlineStr">
        <is>
          <t>chr8</t>
        </is>
      </c>
      <c r="B3975" t="n">
        <v>102657763</v>
      </c>
      <c r="C3975" t="inlineStr">
        <is>
          <t>A</t>
        </is>
      </c>
      <c r="D3975" t="inlineStr">
        <is>
          <t>G</t>
        </is>
      </c>
      <c r="E3975" t="inlineStr">
        <is>
          <t>rs4734654</t>
        </is>
      </c>
      <c r="F3975" t="n">
        <v>0.039493636</v>
      </c>
      <c r="G3975" t="n">
        <v>0.202046020357785</v>
      </c>
      <c r="H3975" t="n">
        <v>0.0138950771161206</v>
      </c>
      <c r="I3975" t="n">
        <v>0.2916644028657171</v>
      </c>
      <c r="J3975" t="n">
        <v>0.5324862306548555</v>
      </c>
      <c r="K3975" t="n">
        <v>0.0434173355274551</v>
      </c>
      <c r="L3975" t="b">
        <v>0</v>
      </c>
      <c r="M3975" t="b">
        <v>0</v>
      </c>
      <c r="N3975" t="inlineStr">
        <is>
          <t>alt</t>
        </is>
      </c>
      <c r="O3975" t="n">
        <v>100</v>
      </c>
      <c r="P3975" t="n">
        <v>0.00375</v>
      </c>
      <c r="Q3975" t="n">
        <v>-15</v>
      </c>
      <c r="R3975" t="n">
        <v>0.001526</v>
      </c>
      <c r="S3975">
        <f>IMAGE("https://mitra.stanford.edu/kundaje/oak/projects/neuro-variants/variant_position/credible/roussos_2024/variant_figures/roussos_2024.childhood.GABA/rs4734654_count_position.png",4,220,900)</f>
        <v/>
      </c>
      <c r="T3975">
        <f>IMAGE("https://mitra.stanford.edu/kundaje/oak/projects/neuro-variants/variant_position/credible/roussos_2024/variant_figures/roussos_2024.childhood.GABA/rs4734654_profile_position.png",4,220,900)</f>
        <v/>
      </c>
    </row>
    <row r="3976">
      <c r="A3976" t="inlineStr">
        <is>
          <t>chr8</t>
        </is>
      </c>
      <c r="B3976" t="n">
        <v>102658852</v>
      </c>
      <c r="C3976" t="inlineStr">
        <is>
          <t>G</t>
        </is>
      </c>
      <c r="D3976" t="inlineStr">
        <is>
          <t>A</t>
        </is>
      </c>
      <c r="E3976" t="inlineStr">
        <is>
          <t>rs1434281</t>
        </is>
      </c>
      <c r="F3976" t="n">
        <v>-0.100179256</v>
      </c>
      <c r="G3976" t="n">
        <v>0.03017677825878</v>
      </c>
      <c r="H3976" t="n">
        <v>0.0141102237349923</v>
      </c>
      <c r="I3976" t="n">
        <v>0.2794542400247921</v>
      </c>
      <c r="J3976" t="n">
        <v>0.1548564427970094</v>
      </c>
      <c r="K3976" t="n">
        <v>0.2757313007977623</v>
      </c>
      <c r="L3976" t="b">
        <v>0</v>
      </c>
      <c r="M3976" t="b">
        <v>0</v>
      </c>
      <c r="N3976" t="inlineStr">
        <is>
          <t>ref</t>
        </is>
      </c>
      <c r="O3976" t="n">
        <v>10</v>
      </c>
      <c r="P3976" t="n">
        <v>0.001434</v>
      </c>
      <c r="Q3976" t="n">
        <v>-35</v>
      </c>
      <c r="R3976" t="n">
        <v>0.03735</v>
      </c>
      <c r="S3976">
        <f>IMAGE("https://mitra.stanford.edu/kundaje/oak/projects/neuro-variants/variant_position/credible/roussos_2024/variant_figures/roussos_2024.childhood.GABA/rs1434281_count_position.png",4,220,900)</f>
        <v/>
      </c>
      <c r="T3976">
        <f>IMAGE("https://mitra.stanford.edu/kundaje/oak/projects/neuro-variants/variant_position/credible/roussos_2024/variant_figures/roussos_2024.childhood.GABA/rs1434281_profile_position.png",4,220,900)</f>
        <v/>
      </c>
    </row>
    <row r="3977">
      <c r="A3977" t="inlineStr">
        <is>
          <t>chr8</t>
        </is>
      </c>
      <c r="B3977" t="n">
        <v>102665495</v>
      </c>
      <c r="C3977" t="inlineStr">
        <is>
          <t>C</t>
        </is>
      </c>
      <c r="D3977" t="inlineStr">
        <is>
          <t>A</t>
        </is>
      </c>
      <c r="E3977" t="inlineStr">
        <is>
          <t>rs2436936</t>
        </is>
      </c>
      <c r="F3977" t="n">
        <v>0.004388073868</v>
      </c>
      <c r="G3977" t="n">
        <v>0.7974631655503237</v>
      </c>
      <c r="H3977" t="n">
        <v>0.0310238574511452</v>
      </c>
      <c r="I3977" t="n">
        <v>0.0110004929508479</v>
      </c>
      <c r="J3977" t="n">
        <v>0.0098165483445372</v>
      </c>
      <c r="K3977" t="n">
        <v>0.7439192231590859</v>
      </c>
      <c r="L3977" t="b">
        <v>0</v>
      </c>
      <c r="M3977" t="b">
        <v>0</v>
      </c>
      <c r="N3977" t="inlineStr">
        <is>
          <t>alt</t>
        </is>
      </c>
      <c r="O3977" t="n">
        <v>100</v>
      </c>
      <c r="P3977" t="n">
        <v>0.005424</v>
      </c>
      <c r="Q3977" t="n">
        <v>-45</v>
      </c>
      <c r="R3977" t="n">
        <v>0.02747</v>
      </c>
      <c r="S3977">
        <f>IMAGE("https://mitra.stanford.edu/kundaje/oak/projects/neuro-variants/variant_position/credible/roussos_2024/variant_figures/roussos_2024.childhood.GABA/rs2436936_count_position.png",4,220,900)</f>
        <v/>
      </c>
      <c r="T3977">
        <f>IMAGE("https://mitra.stanford.edu/kundaje/oak/projects/neuro-variants/variant_position/credible/roussos_2024/variant_figures/roussos_2024.childhood.GABA/rs2436936_profile_position.png",4,220,900)</f>
        <v/>
      </c>
    </row>
    <row r="3978">
      <c r="A3978" t="inlineStr">
        <is>
          <t>chr8</t>
        </is>
      </c>
      <c r="B3978" t="n">
        <v>102916522</v>
      </c>
      <c r="C3978" t="inlineStr">
        <is>
          <t>A</t>
        </is>
      </c>
      <c r="D3978" t="inlineStr">
        <is>
          <t>G</t>
        </is>
      </c>
      <c r="E3978" t="inlineStr">
        <is>
          <t>rs7841632</t>
        </is>
      </c>
      <c r="F3978" t="n">
        <v>-0.02257210688</v>
      </c>
      <c r="G3978" t="n">
        <v>0.4120325644629937</v>
      </c>
      <c r="H3978" t="n">
        <v>0.0231488911196427</v>
      </c>
      <c r="I3978" t="n">
        <v>0.0403315250968969</v>
      </c>
      <c r="J3978" t="n">
        <v>0.0337532198278569</v>
      </c>
      <c r="K3978" t="n">
        <v>0.5764123404602911</v>
      </c>
      <c r="L3978" t="b">
        <v>0</v>
      </c>
      <c r="M3978" t="b">
        <v>0</v>
      </c>
      <c r="N3978" t="inlineStr">
        <is>
          <t>ref</t>
        </is>
      </c>
      <c r="O3978" t="n">
        <v>-85</v>
      </c>
      <c r="P3978" t="n">
        <v>0.01428</v>
      </c>
      <c r="Q3978" t="n">
        <v>-35</v>
      </c>
      <c r="R3978" t="n">
        <v>0.05</v>
      </c>
      <c r="S3978">
        <f>IMAGE("https://mitra.stanford.edu/kundaje/oak/projects/neuro-variants/variant_position/credible/roussos_2024/variant_figures/roussos_2024.childhood.GABA/rs7841632_count_position.png",4,220,900)</f>
        <v/>
      </c>
      <c r="T3978">
        <f>IMAGE("https://mitra.stanford.edu/kundaje/oak/projects/neuro-variants/variant_position/credible/roussos_2024/variant_figures/roussos_2024.childhood.GABA/rs7841632_profile_position.png",4,220,900)</f>
        <v/>
      </c>
    </row>
    <row r="3979">
      <c r="A3979" t="inlineStr">
        <is>
          <t>chr8</t>
        </is>
      </c>
      <c r="B3979" t="n">
        <v>110459785</v>
      </c>
      <c r="C3979" t="inlineStr">
        <is>
          <t>G</t>
        </is>
      </c>
      <c r="D3979" t="inlineStr">
        <is>
          <t>A</t>
        </is>
      </c>
      <c r="E3979" t="inlineStr">
        <is>
          <t>rs36043959</t>
        </is>
      </c>
      <c r="F3979" t="n">
        <v>-0.0848639404</v>
      </c>
      <c r="G3979" t="n">
        <v>0.0545879901591989</v>
      </c>
      <c r="H3979" t="n">
        <v>0.0165967416059136</v>
      </c>
      <c r="I3979" t="n">
        <v>0.1628943406520713</v>
      </c>
      <c r="J3979" t="n">
        <v>0.0206037569893823</v>
      </c>
      <c r="K3979" t="n">
        <v>0.646449626546524</v>
      </c>
      <c r="L3979" t="b">
        <v>0</v>
      </c>
      <c r="M3979" t="b">
        <v>0</v>
      </c>
      <c r="N3979" t="inlineStr">
        <is>
          <t>ref</t>
        </is>
      </c>
      <c r="O3979" t="n">
        <v>0</v>
      </c>
      <c r="P3979" t="n">
        <v>0</v>
      </c>
      <c r="Q3979" t="n">
        <v>-50</v>
      </c>
      <c r="R3979" t="n">
        <v>0.03625</v>
      </c>
      <c r="S3979">
        <f>IMAGE("https://mitra.stanford.edu/kundaje/oak/projects/neuro-variants/variant_position/credible/roussos_2024/variant_figures/roussos_2024.childhood.GABA/rs36043959_count_position.png",4,220,900)</f>
        <v/>
      </c>
      <c r="T3979">
        <f>IMAGE("https://mitra.stanford.edu/kundaje/oak/projects/neuro-variants/variant_position/credible/roussos_2024/variant_figures/roussos_2024.childhood.GABA/rs36043959_profile_position.png",4,220,900)</f>
        <v/>
      </c>
    </row>
    <row r="3980">
      <c r="A3980" t="inlineStr">
        <is>
          <t>chr8</t>
        </is>
      </c>
      <c r="B3980" t="n">
        <v>110466092</v>
      </c>
      <c r="C3980" t="inlineStr">
        <is>
          <t>A</t>
        </is>
      </c>
      <c r="D3980" t="inlineStr">
        <is>
          <t>C</t>
        </is>
      </c>
      <c r="E3980" t="inlineStr">
        <is>
          <t>rs13267290</t>
        </is>
      </c>
      <c r="F3980" t="n">
        <v>-0.003486550254</v>
      </c>
      <c r="G3980" t="n">
        <v>0.7882706523524071</v>
      </c>
      <c r="H3980" t="n">
        <v>0.026575371927815</v>
      </c>
      <c r="I3980" t="n">
        <v>0.0214409732861163</v>
      </c>
      <c r="J3980" t="n">
        <v>0.0089893405373709</v>
      </c>
      <c r="K3980" t="n">
        <v>0.7573516413579514</v>
      </c>
      <c r="L3980" t="b">
        <v>0</v>
      </c>
      <c r="M3980" t="b">
        <v>0</v>
      </c>
      <c r="N3980" t="inlineStr">
        <is>
          <t>ref</t>
        </is>
      </c>
      <c r="O3980" t="n">
        <v>-100</v>
      </c>
      <c r="P3980" t="n">
        <v>0.02043</v>
      </c>
      <c r="Q3980" t="n">
        <v>-100</v>
      </c>
      <c r="R3980" t="n">
        <v>0.1017</v>
      </c>
      <c r="S3980">
        <f>IMAGE("https://mitra.stanford.edu/kundaje/oak/projects/neuro-variants/variant_position/credible/roussos_2024/variant_figures/roussos_2024.childhood.GABA/rs13267290_count_position.png",4,220,900)</f>
        <v/>
      </c>
      <c r="T3980">
        <f>IMAGE("https://mitra.stanford.edu/kundaje/oak/projects/neuro-variants/variant_position/credible/roussos_2024/variant_figures/roussos_2024.childhood.GABA/rs13267290_profile_position.png",4,220,900)</f>
        <v/>
      </c>
    </row>
    <row r="3981">
      <c r="A3981" t="inlineStr">
        <is>
          <t>chr8</t>
        </is>
      </c>
      <c r="B3981" t="n">
        <v>110494336</v>
      </c>
      <c r="C3981" t="inlineStr">
        <is>
          <t>C</t>
        </is>
      </c>
      <c r="D3981" t="inlineStr">
        <is>
          <t>G</t>
        </is>
      </c>
      <c r="E3981" t="inlineStr">
        <is>
          <t>rs6995307</t>
        </is>
      </c>
      <c r="F3981" t="n">
        <v>0.1531713579999999</v>
      </c>
      <c r="G3981" t="n">
        <v>0.009566020158807999</v>
      </c>
      <c r="H3981" t="n">
        <v>0.0289404253713784</v>
      </c>
      <c r="I3981" t="n">
        <v>0.015402729530954</v>
      </c>
      <c r="J3981" t="n">
        <v>0.0035569935708152</v>
      </c>
      <c r="K3981" t="n">
        <v>0.8407970691819395</v>
      </c>
      <c r="L3981" t="b">
        <v>1</v>
      </c>
      <c r="M3981" t="b">
        <v>1</v>
      </c>
      <c r="N3981" t="inlineStr">
        <is>
          <t>alt</t>
        </is>
      </c>
      <c r="O3981" t="n">
        <v>-100</v>
      </c>
      <c r="P3981" t="n">
        <v>0.0146</v>
      </c>
      <c r="Q3981" t="n">
        <v>10</v>
      </c>
      <c r="R3981" t="n">
        <v>0.003754</v>
      </c>
      <c r="S3981">
        <f>IMAGE("https://mitra.stanford.edu/kundaje/oak/projects/neuro-variants/variant_position/credible/roussos_2024/variant_figures/roussos_2024.childhood.GABA/rs6995307_count_position.png",4,220,900)</f>
        <v/>
      </c>
      <c r="T3981">
        <f>IMAGE("https://mitra.stanford.edu/kundaje/oak/projects/neuro-variants/variant_position/credible/roussos_2024/variant_figures/roussos_2024.childhood.GABA/rs6995307_profile_position.png",4,220,900)</f>
        <v/>
      </c>
    </row>
    <row r="3982">
      <c r="A3982" t="inlineStr">
        <is>
          <t>chr8</t>
        </is>
      </c>
      <c r="B3982" t="n">
        <v>110510428</v>
      </c>
      <c r="C3982" t="inlineStr">
        <is>
          <t>T</t>
        </is>
      </c>
      <c r="D3982" t="inlineStr">
        <is>
          <t>C</t>
        </is>
      </c>
      <c r="E3982" t="inlineStr">
        <is>
          <t>rs111534212</t>
        </is>
      </c>
      <c r="F3982" t="n">
        <v>-0.0142362817</v>
      </c>
      <c r="G3982" t="n">
        <v>0.5356319776261402</v>
      </c>
      <c r="H3982" t="n">
        <v>0.0359249622049281</v>
      </c>
      <c r="I3982" t="n">
        <v>0.0057270456893297</v>
      </c>
      <c r="J3982" t="n">
        <v>0.0006732843291239</v>
      </c>
      <c r="K3982" t="n">
        <v>0.9328187155770304</v>
      </c>
      <c r="L3982" t="b">
        <v>0</v>
      </c>
      <c r="M3982" t="b">
        <v>0</v>
      </c>
      <c r="N3982" t="inlineStr">
        <is>
          <t>ref</t>
        </is>
      </c>
      <c r="O3982" t="n">
        <v>-30</v>
      </c>
      <c r="P3982" t="n">
        <v>0.001251</v>
      </c>
      <c r="Q3982" t="n">
        <v>-40</v>
      </c>
      <c r="R3982" t="n">
        <v>0.04187</v>
      </c>
      <c r="S3982">
        <f>IMAGE("https://mitra.stanford.edu/kundaje/oak/projects/neuro-variants/variant_position/credible/roussos_2024/variant_figures/roussos_2024.childhood.GABA/rs111534212_count_position.png",4,220,900)</f>
        <v/>
      </c>
      <c r="T3982">
        <f>IMAGE("https://mitra.stanford.edu/kundaje/oak/projects/neuro-variants/variant_position/credible/roussos_2024/variant_figures/roussos_2024.childhood.GABA/rs111534212_profile_position.png",4,220,900)</f>
        <v/>
      </c>
    </row>
    <row r="3983">
      <c r="A3983" t="inlineStr">
        <is>
          <t>chr8</t>
        </is>
      </c>
      <c r="B3983" t="n">
        <v>110564460</v>
      </c>
      <c r="C3983" t="inlineStr">
        <is>
          <t>C</t>
        </is>
      </c>
      <c r="D3983" t="inlineStr">
        <is>
          <t>A</t>
        </is>
      </c>
      <c r="E3983" t="inlineStr">
        <is>
          <t>rs13280766</t>
        </is>
      </c>
      <c r="F3983" t="n">
        <v>-0.00807270583</v>
      </c>
      <c r="G3983" t="n">
        <v>0.6740812497291109</v>
      </c>
      <c r="H3983" t="n">
        <v>0.0239723970624407</v>
      </c>
      <c r="I3983" t="n">
        <v>0.0349390452222568</v>
      </c>
      <c r="J3983" t="n">
        <v>0.0053517203828191</v>
      </c>
      <c r="K3983" t="n">
        <v>0.8220040758396747</v>
      </c>
      <c r="L3983" t="b">
        <v>0</v>
      </c>
      <c r="M3983" t="b">
        <v>0</v>
      </c>
      <c r="N3983" t="inlineStr">
        <is>
          <t>ref</t>
        </is>
      </c>
      <c r="O3983" t="n">
        <v>95</v>
      </c>
      <c r="P3983" t="n">
        <v>0.002716</v>
      </c>
      <c r="Q3983" t="n">
        <v>-60</v>
      </c>
      <c r="R3983" t="n">
        <v>0.03845</v>
      </c>
      <c r="S3983">
        <f>IMAGE("https://mitra.stanford.edu/kundaje/oak/projects/neuro-variants/variant_position/credible/roussos_2024/variant_figures/roussos_2024.childhood.GABA/rs13280766_count_position.png",4,220,900)</f>
        <v/>
      </c>
      <c r="T3983">
        <f>IMAGE("https://mitra.stanford.edu/kundaje/oak/projects/neuro-variants/variant_position/credible/roussos_2024/variant_figures/roussos_2024.childhood.GABA/rs13280766_profile_position.png",4,220,900)</f>
        <v/>
      </c>
    </row>
    <row r="3984">
      <c r="A3984" t="inlineStr">
        <is>
          <t>chr8</t>
        </is>
      </c>
      <c r="B3984" t="n">
        <v>110588499</v>
      </c>
      <c r="C3984" t="inlineStr">
        <is>
          <t>G</t>
        </is>
      </c>
      <c r="D3984" t="inlineStr">
        <is>
          <t>T</t>
        </is>
      </c>
      <c r="E3984" t="inlineStr">
        <is>
          <t>rs6990323</t>
        </is>
      </c>
      <c r="F3984" t="n">
        <v>0.001620635708</v>
      </c>
      <c r="G3984" t="n">
        <v>0.7558011602437983</v>
      </c>
      <c r="H3984" t="n">
        <v>0.0246055367790897</v>
      </c>
      <c r="I3984" t="n">
        <v>0.0307591871714666</v>
      </c>
      <c r="J3984" t="n">
        <v>0.0102552826118824</v>
      </c>
      <c r="K3984" t="n">
        <v>0.7365353354096426</v>
      </c>
      <c r="L3984" t="b">
        <v>0</v>
      </c>
      <c r="M3984" t="b">
        <v>0</v>
      </c>
      <c r="N3984" t="inlineStr">
        <is>
          <t>alt</t>
        </is>
      </c>
      <c r="O3984" t="n">
        <v>-45</v>
      </c>
      <c r="P3984" t="n">
        <v>0.07199999999999999</v>
      </c>
      <c r="Q3984" t="n">
        <v>-80</v>
      </c>
      <c r="R3984" t="n">
        <v>0.1166</v>
      </c>
      <c r="S3984">
        <f>IMAGE("https://mitra.stanford.edu/kundaje/oak/projects/neuro-variants/variant_position/credible/roussos_2024/variant_figures/roussos_2024.childhood.GABA/rs6990323_count_position.png",4,220,900)</f>
        <v/>
      </c>
      <c r="T3984">
        <f>IMAGE("https://mitra.stanford.edu/kundaje/oak/projects/neuro-variants/variant_position/credible/roussos_2024/variant_figures/roussos_2024.childhood.GABA/rs6990323_profile_position.png",4,220,900)</f>
        <v/>
      </c>
    </row>
    <row r="3985">
      <c r="A3985" t="inlineStr">
        <is>
          <t>chr8</t>
        </is>
      </c>
      <c r="B3985" t="n">
        <v>110607825</v>
      </c>
      <c r="C3985" t="inlineStr">
        <is>
          <t>A</t>
        </is>
      </c>
      <c r="D3985" t="inlineStr">
        <is>
          <t>T</t>
        </is>
      </c>
      <c r="E3985" t="inlineStr">
        <is>
          <t>rs16880919</t>
        </is>
      </c>
      <c r="F3985" t="n">
        <v>-0.01941684306</v>
      </c>
      <c r="G3985" t="n">
        <v>0.444752725146976</v>
      </c>
      <c r="H3985" t="n">
        <v>0.0156265047341428</v>
      </c>
      <c r="I3985" t="n">
        <v>0.2011710284860612</v>
      </c>
      <c r="J3985" t="n">
        <v>0.0026523004753826</v>
      </c>
      <c r="K3985" t="n">
        <v>0.8672850914024829</v>
      </c>
      <c r="L3985" t="b">
        <v>0</v>
      </c>
      <c r="M3985" t="b">
        <v>0</v>
      </c>
      <c r="N3985" t="inlineStr">
        <is>
          <t>ref</t>
        </is>
      </c>
      <c r="O3985" t="n">
        <v>100</v>
      </c>
      <c r="P3985" t="n">
        <v>0.006733</v>
      </c>
      <c r="Q3985" t="n">
        <v>-60</v>
      </c>
      <c r="R3985" t="n">
        <v>0.064</v>
      </c>
      <c r="S3985">
        <f>IMAGE("https://mitra.stanford.edu/kundaje/oak/projects/neuro-variants/variant_position/credible/roussos_2024/variant_figures/roussos_2024.childhood.GABA/rs16880919_count_position.png",4,220,900)</f>
        <v/>
      </c>
      <c r="T3985">
        <f>IMAGE("https://mitra.stanford.edu/kundaje/oak/projects/neuro-variants/variant_position/credible/roussos_2024/variant_figures/roussos_2024.childhood.GABA/rs16880919_profile_position.png",4,220,900)</f>
        <v/>
      </c>
    </row>
    <row r="3986">
      <c r="A3986" t="inlineStr">
        <is>
          <t>chr8</t>
        </is>
      </c>
      <c r="B3986" t="n">
        <v>110609036</v>
      </c>
      <c r="C3986" t="inlineStr">
        <is>
          <t>C</t>
        </is>
      </c>
      <c r="D3986" t="inlineStr">
        <is>
          <t>T</t>
        </is>
      </c>
      <c r="E3986" t="inlineStr">
        <is>
          <t>rs7007361</t>
        </is>
      </c>
      <c r="F3986" t="n">
        <v>-0.120539956</v>
      </c>
      <c r="G3986" t="n">
        <v>0.0178504376752184</v>
      </c>
      <c r="H3986" t="n">
        <v>0.0205724529207685</v>
      </c>
      <c r="I3986" t="n">
        <v>0.06858277291156489</v>
      </c>
      <c r="J3986" t="n">
        <v>0.0030470566061443</v>
      </c>
      <c r="K3986" t="n">
        <v>0.8641270451535091</v>
      </c>
      <c r="L3986" t="b">
        <v>1</v>
      </c>
      <c r="M3986" t="b">
        <v>0</v>
      </c>
      <c r="N3986" t="inlineStr">
        <is>
          <t>ref</t>
        </is>
      </c>
      <c r="O3986" t="n">
        <v>55</v>
      </c>
      <c r="P3986" t="n">
        <v>0.001514</v>
      </c>
      <c r="Q3986" t="n">
        <v>-100</v>
      </c>
      <c r="R3986" t="n">
        <v>0.01776</v>
      </c>
      <c r="S3986">
        <f>IMAGE("https://mitra.stanford.edu/kundaje/oak/projects/neuro-variants/variant_position/credible/roussos_2024/variant_figures/roussos_2024.childhood.GABA/rs7007361_count_position.png",4,220,900)</f>
        <v/>
      </c>
      <c r="T3986">
        <f>IMAGE("https://mitra.stanford.edu/kundaje/oak/projects/neuro-variants/variant_position/credible/roussos_2024/variant_figures/roussos_2024.childhood.GABA/rs7007361_profile_position.png",4,220,900)</f>
        <v/>
      </c>
    </row>
    <row r="3987">
      <c r="A3987" t="inlineStr">
        <is>
          <t>chr8</t>
        </is>
      </c>
      <c r="B3987" t="n">
        <v>110614839</v>
      </c>
      <c r="C3987" t="inlineStr">
        <is>
          <t>C</t>
        </is>
      </c>
      <c r="D3987" t="inlineStr">
        <is>
          <t>T</t>
        </is>
      </c>
      <c r="E3987" t="inlineStr">
        <is>
          <t>rs34921000</t>
        </is>
      </c>
      <c r="F3987" t="n">
        <v>-0.107644352</v>
      </c>
      <c r="G3987" t="n">
        <v>0.0282011435042238</v>
      </c>
      <c r="H3987" t="n">
        <v>0.0146647757077841</v>
      </c>
      <c r="I3987" t="n">
        <v>0.2400089227942153</v>
      </c>
      <c r="J3987" t="n">
        <v>0.0402462775648677</v>
      </c>
      <c r="K3987" t="n">
        <v>0.528499615586504</v>
      </c>
      <c r="L3987" t="b">
        <v>0</v>
      </c>
      <c r="M3987" t="b">
        <v>0</v>
      </c>
      <c r="N3987" t="inlineStr">
        <is>
          <t>ref</t>
        </is>
      </c>
      <c r="O3987" t="n">
        <v>-65</v>
      </c>
      <c r="P3987" t="n">
        <v>0.00224</v>
      </c>
      <c r="Q3987" t="n">
        <v>-35</v>
      </c>
      <c r="R3987" t="n">
        <v>0.02368</v>
      </c>
      <c r="S3987">
        <f>IMAGE("https://mitra.stanford.edu/kundaje/oak/projects/neuro-variants/variant_position/credible/roussos_2024/variant_figures/roussos_2024.childhood.GABA/rs34921000_count_position.png",4,220,900)</f>
        <v/>
      </c>
      <c r="T3987">
        <f>IMAGE("https://mitra.stanford.edu/kundaje/oak/projects/neuro-variants/variant_position/credible/roussos_2024/variant_figures/roussos_2024.childhood.GABA/rs34921000_profile_position.png",4,220,900)</f>
        <v/>
      </c>
    </row>
    <row r="3988">
      <c r="A3988" t="inlineStr">
        <is>
          <t>chr8</t>
        </is>
      </c>
      <c r="B3988" t="n">
        <v>115831047</v>
      </c>
      <c r="C3988" t="inlineStr">
        <is>
          <t>T</t>
        </is>
      </c>
      <c r="D3988" t="inlineStr">
        <is>
          <t>C</t>
        </is>
      </c>
      <c r="E3988" t="inlineStr">
        <is>
          <t>rs800531</t>
        </is>
      </c>
      <c r="F3988" t="n">
        <v>-0.00429153514</v>
      </c>
      <c r="G3988" t="n">
        <v>0.5301578174510073</v>
      </c>
      <c r="H3988" t="n">
        <v>0.0112848008840369</v>
      </c>
      <c r="I3988" t="n">
        <v>0.5044539422460621</v>
      </c>
      <c r="J3988" t="n">
        <v>0.0370369206927603</v>
      </c>
      <c r="K3988" t="n">
        <v>0.5408736570844874</v>
      </c>
      <c r="L3988" t="b">
        <v>0</v>
      </c>
      <c r="M3988" t="b">
        <v>0</v>
      </c>
      <c r="N3988" t="inlineStr">
        <is>
          <t>ref</t>
        </is>
      </c>
      <c r="O3988" t="n">
        <v>100</v>
      </c>
      <c r="P3988" t="n">
        <v>0.02402</v>
      </c>
      <c r="Q3988" t="n">
        <v>50</v>
      </c>
      <c r="R3988" t="n">
        <v>0.1049</v>
      </c>
      <c r="S3988">
        <f>IMAGE("https://mitra.stanford.edu/kundaje/oak/projects/neuro-variants/variant_position/credible/roussos_2024/variant_figures/roussos_2024.childhood.GABA/rs800531_count_position.png",4,220,900)</f>
        <v/>
      </c>
      <c r="T3988">
        <f>IMAGE("https://mitra.stanford.edu/kundaje/oak/projects/neuro-variants/variant_position/credible/roussos_2024/variant_figures/roussos_2024.childhood.GABA/rs800531_profile_position.png",4,220,900)</f>
        <v/>
      </c>
    </row>
    <row r="3989">
      <c r="A3989" t="inlineStr">
        <is>
          <t>chr8</t>
        </is>
      </c>
      <c r="B3989" t="n">
        <v>115835299</v>
      </c>
      <c r="C3989" t="inlineStr">
        <is>
          <t>T</t>
        </is>
      </c>
      <c r="D3989" t="inlineStr">
        <is>
          <t>C</t>
        </is>
      </c>
      <c r="E3989" t="inlineStr">
        <is>
          <t>rs800524</t>
        </is>
      </c>
      <c r="F3989" t="n">
        <v>0.02553739988</v>
      </c>
      <c r="G3989" t="n">
        <v>0.3337449969130667</v>
      </c>
      <c r="H3989" t="n">
        <v>0.0100844065340561</v>
      </c>
      <c r="I3989" t="n">
        <v>0.6335666304682899</v>
      </c>
      <c r="J3989" t="n">
        <v>0.0288025381667399</v>
      </c>
      <c r="K3989" t="n">
        <v>0.5860848995114559</v>
      </c>
      <c r="L3989" t="b">
        <v>0</v>
      </c>
      <c r="M3989" t="b">
        <v>0</v>
      </c>
      <c r="N3989" t="inlineStr">
        <is>
          <t>alt</t>
        </is>
      </c>
      <c r="O3989" t="n">
        <v>10</v>
      </c>
      <c r="P3989" t="n">
        <v>0.0001831</v>
      </c>
      <c r="Q3989" t="n">
        <v>100</v>
      </c>
      <c r="R3989" t="n">
        <v>0.1567</v>
      </c>
      <c r="S3989">
        <f>IMAGE("https://mitra.stanford.edu/kundaje/oak/projects/neuro-variants/variant_position/credible/roussos_2024/variant_figures/roussos_2024.childhood.GABA/rs800524_count_position.png",4,220,900)</f>
        <v/>
      </c>
      <c r="T3989">
        <f>IMAGE("https://mitra.stanford.edu/kundaje/oak/projects/neuro-variants/variant_position/credible/roussos_2024/variant_figures/roussos_2024.childhood.GABA/rs800524_profile_position.png",4,220,900)</f>
        <v/>
      </c>
    </row>
    <row r="3990">
      <c r="A3990" t="inlineStr">
        <is>
          <t>chr8</t>
        </is>
      </c>
      <c r="B3990" t="n">
        <v>115852305</v>
      </c>
      <c r="C3990" t="inlineStr">
        <is>
          <t>C</t>
        </is>
      </c>
      <c r="D3990" t="inlineStr">
        <is>
          <t>G</t>
        </is>
      </c>
      <c r="E3990" t="inlineStr">
        <is>
          <t>rs800582</t>
        </is>
      </c>
      <c r="F3990" t="n">
        <v>0.1360758676</v>
      </c>
      <c r="G3990" t="n">
        <v>0.0204668349001398</v>
      </c>
      <c r="H3990" t="n">
        <v>0.0255664071493724</v>
      </c>
      <c r="I3990" t="n">
        <v>0.0300850485920541</v>
      </c>
      <c r="J3990" t="n">
        <v>0.004552784234885</v>
      </c>
      <c r="K3990" t="n">
        <v>0.825733995581731</v>
      </c>
      <c r="L3990" t="b">
        <v>0</v>
      </c>
      <c r="M3990" t="b">
        <v>0</v>
      </c>
      <c r="N3990" t="inlineStr">
        <is>
          <t>alt</t>
        </is>
      </c>
      <c r="O3990" t="n">
        <v>75</v>
      </c>
      <c r="P3990" t="n">
        <v>0.02074</v>
      </c>
      <c r="Q3990" t="n">
        <v>-70</v>
      </c>
      <c r="R3990" t="n">
        <v>0.0195</v>
      </c>
      <c r="S3990">
        <f>IMAGE("https://mitra.stanford.edu/kundaje/oak/projects/neuro-variants/variant_position/credible/roussos_2024/variant_figures/roussos_2024.childhood.GABA/rs800582_count_position.png",4,220,900)</f>
        <v/>
      </c>
      <c r="T3990">
        <f>IMAGE("https://mitra.stanford.edu/kundaje/oak/projects/neuro-variants/variant_position/credible/roussos_2024/variant_figures/roussos_2024.childhood.GABA/rs800582_profile_position.png",4,220,900)</f>
        <v/>
      </c>
    </row>
    <row r="3991">
      <c r="A3991" t="inlineStr">
        <is>
          <t>chr8</t>
        </is>
      </c>
      <c r="B3991" t="n">
        <v>116058513</v>
      </c>
      <c r="C3991" t="inlineStr">
        <is>
          <t>G</t>
        </is>
      </c>
      <c r="D3991" t="inlineStr">
        <is>
          <t>T</t>
        </is>
      </c>
      <c r="E3991" t="inlineStr">
        <is>
          <t>rs4876349</t>
        </is>
      </c>
      <c r="F3991" t="n">
        <v>0.0214096662</v>
      </c>
      <c r="G3991" t="n">
        <v>0.3962605585244492</v>
      </c>
      <c r="H3991" t="n">
        <v>0.0191653302503861</v>
      </c>
      <c r="I3991" t="n">
        <v>0.08858574646842091</v>
      </c>
      <c r="J3991" t="n">
        <v>0.1040763544218968</v>
      </c>
      <c r="K3991" t="n">
        <v>0.3472677177101959</v>
      </c>
      <c r="L3991" t="b">
        <v>0</v>
      </c>
      <c r="M3991" t="b">
        <v>0</v>
      </c>
      <c r="N3991" t="inlineStr">
        <is>
          <t>alt</t>
        </is>
      </c>
      <c r="O3991" t="n">
        <v>75</v>
      </c>
      <c r="P3991" t="n">
        <v>0.005173</v>
      </c>
      <c r="Q3991" t="n">
        <v>-30</v>
      </c>
      <c r="R3991" t="n">
        <v>0.04614</v>
      </c>
      <c r="S3991">
        <f>IMAGE("https://mitra.stanford.edu/kundaje/oak/projects/neuro-variants/variant_position/credible/roussos_2024/variant_figures/roussos_2024.childhood.GABA/rs4876349_count_position.png",4,220,900)</f>
        <v/>
      </c>
      <c r="T3991">
        <f>IMAGE("https://mitra.stanford.edu/kundaje/oak/projects/neuro-variants/variant_position/credible/roussos_2024/variant_figures/roussos_2024.childhood.GABA/rs4876349_profile_position.png",4,220,900)</f>
        <v/>
      </c>
    </row>
    <row r="3992">
      <c r="A3992" t="inlineStr">
        <is>
          <t>chr8</t>
        </is>
      </c>
      <c r="B3992" t="n">
        <v>116320147</v>
      </c>
      <c r="C3992" t="inlineStr">
        <is>
          <t>C</t>
        </is>
      </c>
      <c r="D3992" t="inlineStr">
        <is>
          <t>T</t>
        </is>
      </c>
      <c r="E3992" t="inlineStr">
        <is>
          <t>rs76032162</t>
        </is>
      </c>
      <c r="F3992" t="n">
        <v>-0.09376105799999999</v>
      </c>
      <c r="G3992" t="n">
        <v>0.0365111474529658</v>
      </c>
      <c r="H3992" t="n">
        <v>0.0167653988737829</v>
      </c>
      <c r="I3992" t="n">
        <v>0.1544071821219937</v>
      </c>
      <c r="J3992" t="n">
        <v>0.07798056585202399</v>
      </c>
      <c r="K3992" t="n">
        <v>0.4014563486968445</v>
      </c>
      <c r="L3992" t="b">
        <v>0</v>
      </c>
      <c r="M3992" t="b">
        <v>0</v>
      </c>
      <c r="N3992" t="inlineStr">
        <is>
          <t>ref</t>
        </is>
      </c>
      <c r="O3992" t="n">
        <v>-95</v>
      </c>
      <c r="P3992" t="n">
        <v>0.02661</v>
      </c>
      <c r="Q3992" t="n">
        <v>-20</v>
      </c>
      <c r="R3992" t="n">
        <v>0.00873</v>
      </c>
      <c r="S3992">
        <f>IMAGE("https://mitra.stanford.edu/kundaje/oak/projects/neuro-variants/variant_position/credible/roussos_2024/variant_figures/roussos_2024.childhood.GABA/rs76032162_count_position.png",4,220,900)</f>
        <v/>
      </c>
      <c r="T3992">
        <f>IMAGE("https://mitra.stanford.edu/kundaje/oak/projects/neuro-variants/variant_position/credible/roussos_2024/variant_figures/roussos_2024.childhood.GABA/rs76032162_profile_position.png",4,220,900)</f>
        <v/>
      </c>
    </row>
    <row r="3993">
      <c r="A3993" t="inlineStr">
        <is>
          <t>chr8</t>
        </is>
      </c>
      <c r="B3993" t="n">
        <v>134793233</v>
      </c>
      <c r="C3993" t="inlineStr">
        <is>
          <t>T</t>
        </is>
      </c>
      <c r="D3993" t="inlineStr">
        <is>
          <t>G</t>
        </is>
      </c>
      <c r="E3993" t="inlineStr">
        <is>
          <t>rs10099070</t>
        </is>
      </c>
      <c r="F3993" t="n">
        <v>0.002060221932</v>
      </c>
      <c r="G3993" t="n">
        <v>0.8049631894529115</v>
      </c>
      <c r="H3993" t="n">
        <v>0.0101580759108061</v>
      </c>
      <c r="I3993" t="n">
        <v>0.6174301029411886</v>
      </c>
      <c r="J3993" t="n">
        <v>0.0313270926263323</v>
      </c>
      <c r="K3993" t="n">
        <v>0.5891335009506928</v>
      </c>
      <c r="L3993" t="b">
        <v>0</v>
      </c>
      <c r="M3993" t="b">
        <v>0</v>
      </c>
      <c r="N3993" t="inlineStr">
        <is>
          <t>alt</t>
        </is>
      </c>
      <c r="O3993" t="n">
        <v>40</v>
      </c>
      <c r="P3993" t="n">
        <v>0.0042</v>
      </c>
      <c r="Q3993" t="n">
        <v>100</v>
      </c>
      <c r="R3993" t="n">
        <v>0.10803</v>
      </c>
      <c r="S3993">
        <f>IMAGE("https://mitra.stanford.edu/kundaje/oak/projects/neuro-variants/variant_position/credible/roussos_2024/variant_figures/roussos_2024.childhood.GABA/rs10099070_count_position.png",4,220,900)</f>
        <v/>
      </c>
      <c r="T3993">
        <f>IMAGE("https://mitra.stanford.edu/kundaje/oak/projects/neuro-variants/variant_position/credible/roussos_2024/variant_figures/roussos_2024.childhood.GABA/rs10099070_profile_position.png",4,220,900)</f>
        <v/>
      </c>
    </row>
    <row r="3994">
      <c r="A3994" t="inlineStr">
        <is>
          <t>chr8</t>
        </is>
      </c>
      <c r="B3994" t="n">
        <v>134797509</v>
      </c>
      <c r="C3994" t="inlineStr">
        <is>
          <t>A</t>
        </is>
      </c>
      <c r="D3994" t="inlineStr">
        <is>
          <t>C</t>
        </is>
      </c>
      <c r="E3994" t="inlineStr">
        <is>
          <t>rs10111734</t>
        </is>
      </c>
      <c r="F3994" t="n">
        <v>0.00054143808</v>
      </c>
      <c r="G3994" t="n">
        <v>0.7940043132150343</v>
      </c>
      <c r="H3994" t="n">
        <v>0.0304343969337411</v>
      </c>
      <c r="I3994" t="n">
        <v>0.0120426429189944</v>
      </c>
      <c r="J3994" t="n">
        <v>3.874264413310716e-05</v>
      </c>
      <c r="K3994" t="n">
        <v>0.9914873923531996</v>
      </c>
      <c r="L3994" t="b">
        <v>0</v>
      </c>
      <c r="M3994" t="b">
        <v>0</v>
      </c>
      <c r="N3994" t="inlineStr">
        <is>
          <t>alt</t>
        </is>
      </c>
      <c r="O3994" t="n">
        <v>70</v>
      </c>
      <c r="P3994" t="n">
        <v>0.000351</v>
      </c>
      <c r="Q3994" t="n">
        <v>-80</v>
      </c>
      <c r="R3994" t="n">
        <v>0.05148</v>
      </c>
      <c r="S3994">
        <f>IMAGE("https://mitra.stanford.edu/kundaje/oak/projects/neuro-variants/variant_position/credible/roussos_2024/variant_figures/roussos_2024.childhood.GABA/rs10111734_count_position.png",4,220,900)</f>
        <v/>
      </c>
      <c r="T3994">
        <f>IMAGE("https://mitra.stanford.edu/kundaje/oak/projects/neuro-variants/variant_position/credible/roussos_2024/variant_figures/roussos_2024.childhood.GABA/rs10111734_profile_position.png",4,220,900)</f>
        <v/>
      </c>
    </row>
    <row r="3995">
      <c r="A3995" t="inlineStr">
        <is>
          <t>chr8</t>
        </is>
      </c>
      <c r="B3995" t="n">
        <v>134799373</v>
      </c>
      <c r="C3995" t="inlineStr">
        <is>
          <t>C</t>
        </is>
      </c>
      <c r="D3995" t="inlineStr">
        <is>
          <t>T</t>
        </is>
      </c>
      <c r="E3995" t="inlineStr">
        <is>
          <t>rs6577846</t>
        </is>
      </c>
      <c r="F3995" t="n">
        <v>0.1854051877999999</v>
      </c>
      <c r="G3995" t="n">
        <v>0.006168197664123</v>
      </c>
      <c r="H3995" t="n">
        <v>0.0410415636673968</v>
      </c>
      <c r="I3995" t="n">
        <v>0.003470984849274</v>
      </c>
      <c r="J3995" t="n">
        <v>0.0385447425184812</v>
      </c>
      <c r="K3995" t="n">
        <v>0.5332406081671719</v>
      </c>
      <c r="L3995" t="b">
        <v>1</v>
      </c>
      <c r="M3995" t="b">
        <v>1</v>
      </c>
      <c r="N3995" t="inlineStr">
        <is>
          <t>alt</t>
        </is>
      </c>
      <c r="O3995" t="n">
        <v>15</v>
      </c>
      <c r="P3995" t="n">
        <v>0.000824</v>
      </c>
      <c r="Q3995" t="n">
        <v>-5</v>
      </c>
      <c r="R3995" t="n">
        <v>0.009520000000000001</v>
      </c>
      <c r="S3995">
        <f>IMAGE("https://mitra.stanford.edu/kundaje/oak/projects/neuro-variants/variant_position/credible/roussos_2024/variant_figures/roussos_2024.childhood.GABA/rs6577846_count_position.png",4,220,900)</f>
        <v/>
      </c>
      <c r="T3995">
        <f>IMAGE("https://mitra.stanford.edu/kundaje/oak/projects/neuro-variants/variant_position/credible/roussos_2024/variant_figures/roussos_2024.childhood.GABA/rs6577846_profile_position.png",4,220,900)</f>
        <v/>
      </c>
    </row>
    <row r="3996">
      <c r="A3996" t="inlineStr">
        <is>
          <t>chr8</t>
        </is>
      </c>
      <c r="B3996" t="n">
        <v>134800305</v>
      </c>
      <c r="C3996" t="inlineStr">
        <is>
          <t>A</t>
        </is>
      </c>
      <c r="D3996" t="inlineStr">
        <is>
          <t>C</t>
        </is>
      </c>
      <c r="E3996" t="inlineStr">
        <is>
          <t>rs10095483</t>
        </is>
      </c>
      <c r="F3996" t="n">
        <v>0.02857747487</v>
      </c>
      <c r="G3996" t="n">
        <v>0.3190481292974067</v>
      </c>
      <c r="H3996" t="n">
        <v>0.0159854823193543</v>
      </c>
      <c r="I3996" t="n">
        <v>0.1820149334452377</v>
      </c>
      <c r="J3996" t="n">
        <v>0.1004691001235575</v>
      </c>
      <c r="K3996" t="n">
        <v>0.3616089649597675</v>
      </c>
      <c r="L3996" t="b">
        <v>0</v>
      </c>
      <c r="M3996" t="b">
        <v>0</v>
      </c>
      <c r="N3996" t="inlineStr">
        <is>
          <t>alt</t>
        </is>
      </c>
      <c r="O3996" t="n">
        <v>-25</v>
      </c>
      <c r="P3996" t="n">
        <v>0.00203</v>
      </c>
      <c r="Q3996" t="n">
        <v>95</v>
      </c>
      <c r="R3996" t="n">
        <v>0.04437</v>
      </c>
      <c r="S3996">
        <f>IMAGE("https://mitra.stanford.edu/kundaje/oak/projects/neuro-variants/variant_position/credible/roussos_2024/variant_figures/roussos_2024.childhood.GABA/rs10095483_count_position.png",4,220,900)</f>
        <v/>
      </c>
      <c r="T3996">
        <f>IMAGE("https://mitra.stanford.edu/kundaje/oak/projects/neuro-variants/variant_position/credible/roussos_2024/variant_figures/roussos_2024.childhood.GABA/rs10095483_profile_position.png",4,220,900)</f>
        <v/>
      </c>
    </row>
    <row r="3997">
      <c r="A3997" t="inlineStr">
        <is>
          <t>chr8</t>
        </is>
      </c>
      <c r="B3997" t="n">
        <v>134830526</v>
      </c>
      <c r="C3997" t="inlineStr">
        <is>
          <t>T</t>
        </is>
      </c>
      <c r="D3997" t="inlineStr">
        <is>
          <t>C</t>
        </is>
      </c>
      <c r="E3997" t="inlineStr">
        <is>
          <t>rs7844406</t>
        </is>
      </c>
      <c r="F3997" t="n">
        <v>0.0185755832</v>
      </c>
      <c r="G3997" t="n">
        <v>0.4219444801157391</v>
      </c>
      <c r="H3997" t="n">
        <v>0.0071522385219251</v>
      </c>
      <c r="I3997" t="n">
        <v>0.92360310911188</v>
      </c>
      <c r="J3997" t="n">
        <v>0.0166897028334484</v>
      </c>
      <c r="K3997" t="n">
        <v>0.6867932510855407</v>
      </c>
      <c r="L3997" t="b">
        <v>0</v>
      </c>
      <c r="M3997" t="b">
        <v>0</v>
      </c>
      <c r="N3997" t="inlineStr">
        <is>
          <t>alt</t>
        </is>
      </c>
      <c r="O3997" t="n">
        <v>50</v>
      </c>
      <c r="P3997" t="n">
        <v>0.007378</v>
      </c>
      <c r="Q3997" t="n">
        <v>-25</v>
      </c>
      <c r="R3997" t="n">
        <v>0.01877</v>
      </c>
      <c r="S3997">
        <f>IMAGE("https://mitra.stanford.edu/kundaje/oak/projects/neuro-variants/variant_position/credible/roussos_2024/variant_figures/roussos_2024.childhood.GABA/rs7844406_count_position.png",4,220,900)</f>
        <v/>
      </c>
      <c r="T3997">
        <f>IMAGE("https://mitra.stanford.edu/kundaje/oak/projects/neuro-variants/variant_position/credible/roussos_2024/variant_figures/roussos_2024.childhood.GABA/rs7844406_profile_position.png",4,220,900)</f>
        <v/>
      </c>
    </row>
    <row r="3998">
      <c r="A3998" t="inlineStr">
        <is>
          <t>chr8</t>
        </is>
      </c>
      <c r="B3998" t="n">
        <v>134830700</v>
      </c>
      <c r="C3998" t="inlineStr">
        <is>
          <t>A</t>
        </is>
      </c>
      <c r="D3998" t="inlineStr">
        <is>
          <t>G</t>
        </is>
      </c>
      <c r="E3998" t="inlineStr">
        <is>
          <t>rs7840432</t>
        </is>
      </c>
      <c r="F3998" t="n">
        <v>-0.0198603704</v>
      </c>
      <c r="G3998" t="n">
        <v>0.4550482017589362</v>
      </c>
      <c r="H3998" t="n">
        <v>0.0273298764907602</v>
      </c>
      <c r="I3998" t="n">
        <v>0.0191958699894897</v>
      </c>
      <c r="J3998" t="n">
        <v>0.0378798349772779</v>
      </c>
      <c r="K3998" t="n">
        <v>0.5604923421543674</v>
      </c>
      <c r="L3998" t="b">
        <v>1</v>
      </c>
      <c r="M3998" t="b">
        <v>0</v>
      </c>
      <c r="N3998" t="inlineStr">
        <is>
          <t>ref</t>
        </is>
      </c>
      <c r="O3998" t="n">
        <v>-25</v>
      </c>
      <c r="P3998" t="n">
        <v>0.001075</v>
      </c>
      <c r="Q3998" t="n">
        <v>-50</v>
      </c>
      <c r="R3998" t="n">
        <v>0.01941</v>
      </c>
      <c r="S3998">
        <f>IMAGE("https://mitra.stanford.edu/kundaje/oak/projects/neuro-variants/variant_position/credible/roussos_2024/variant_figures/roussos_2024.childhood.GABA/rs7840432_count_position.png",4,220,900)</f>
        <v/>
      </c>
      <c r="T3998">
        <f>IMAGE("https://mitra.stanford.edu/kundaje/oak/projects/neuro-variants/variant_position/credible/roussos_2024/variant_figures/roussos_2024.childhood.GABA/rs7840432_profile_position.png",4,220,900)</f>
        <v/>
      </c>
    </row>
    <row r="3999">
      <c r="A3999" t="inlineStr">
        <is>
          <t>chr8</t>
        </is>
      </c>
      <c r="B3999" t="n">
        <v>139680130</v>
      </c>
      <c r="C3999" t="inlineStr">
        <is>
          <t>C</t>
        </is>
      </c>
      <c r="D3999" t="inlineStr">
        <is>
          <t>T</t>
        </is>
      </c>
      <c r="E3999" t="inlineStr">
        <is>
          <t>rs13274282</t>
        </is>
      </c>
      <c r="F3999" t="n">
        <v>-0.0226563766</v>
      </c>
      <c r="G3999" t="n">
        <v>0.3849984631503336</v>
      </c>
      <c r="H3999" t="n">
        <v>0.0110774667527206</v>
      </c>
      <c r="I3999" t="n">
        <v>0.5276684675836847</v>
      </c>
      <c r="J3999" t="n">
        <v>0.4228623484324935</v>
      </c>
      <c r="K3999" t="n">
        <v>0.0752583776740053</v>
      </c>
      <c r="L3999" t="b">
        <v>0</v>
      </c>
      <c r="M3999" t="b">
        <v>0</v>
      </c>
      <c r="N3999" t="inlineStr">
        <is>
          <t>ref</t>
        </is>
      </c>
      <c r="O3999" t="n">
        <v>40</v>
      </c>
      <c r="P3999" t="n">
        <v>0.0007896</v>
      </c>
      <c r="Q3999" t="n">
        <v>95</v>
      </c>
      <c r="R3999" t="n">
        <v>0.03345</v>
      </c>
      <c r="S3999">
        <f>IMAGE("https://mitra.stanford.edu/kundaje/oak/projects/neuro-variants/variant_position/credible/roussos_2024/variant_figures/roussos_2024.childhood.GABA/rs13274282_count_position.png",4,220,900)</f>
        <v/>
      </c>
      <c r="T3999">
        <f>IMAGE("https://mitra.stanford.edu/kundaje/oak/projects/neuro-variants/variant_position/credible/roussos_2024/variant_figures/roussos_2024.childhood.GABA/rs13274282_profile_position.png",4,220,900)</f>
        <v/>
      </c>
    </row>
    <row r="4000">
      <c r="A4000" t="inlineStr">
        <is>
          <t>chr8</t>
        </is>
      </c>
      <c r="B4000" t="n">
        <v>139680274</v>
      </c>
      <c r="C4000" t="inlineStr">
        <is>
          <t>G</t>
        </is>
      </c>
      <c r="D4000" t="inlineStr">
        <is>
          <t>A</t>
        </is>
      </c>
      <c r="E4000" t="inlineStr">
        <is>
          <t>rs62520201</t>
        </is>
      </c>
      <c r="F4000" t="n">
        <v>-0.0331602924</v>
      </c>
      <c r="G4000" t="n">
        <v>0.2674725992456109</v>
      </c>
      <c r="H4000" t="n">
        <v>0.0124126296555802</v>
      </c>
      <c r="I4000" t="n">
        <v>0.3981496800606389</v>
      </c>
      <c r="J4000" t="n">
        <v>0.4053485790873489</v>
      </c>
      <c r="K4000" t="n">
        <v>0.0822593946804141</v>
      </c>
      <c r="L4000" t="b">
        <v>0</v>
      </c>
      <c r="M4000" t="b">
        <v>0</v>
      </c>
      <c r="N4000" t="inlineStr">
        <is>
          <t>ref</t>
        </is>
      </c>
      <c r="O4000" t="n">
        <v>-10</v>
      </c>
      <c r="P4000" t="n">
        <v>0.001202</v>
      </c>
      <c r="Q4000" t="n">
        <v>-10</v>
      </c>
      <c r="R4000" t="n">
        <v>0.04297</v>
      </c>
      <c r="S4000">
        <f>IMAGE("https://mitra.stanford.edu/kundaje/oak/projects/neuro-variants/variant_position/credible/roussos_2024/variant_figures/roussos_2024.childhood.GABA/rs62520201_count_position.png",4,220,900)</f>
        <v/>
      </c>
      <c r="T4000">
        <f>IMAGE("https://mitra.stanford.edu/kundaje/oak/projects/neuro-variants/variant_position/credible/roussos_2024/variant_figures/roussos_2024.childhood.GABA/rs62520201_profile_position.png",4,220,900)</f>
        <v/>
      </c>
    </row>
    <row r="4001">
      <c r="A4001" t="inlineStr">
        <is>
          <t>chr8</t>
        </is>
      </c>
      <c r="B4001" t="n">
        <v>139683304</v>
      </c>
      <c r="C4001" t="inlineStr">
        <is>
          <t>A</t>
        </is>
      </c>
      <c r="D4001" t="inlineStr">
        <is>
          <t>G</t>
        </is>
      </c>
      <c r="E4001" t="inlineStr">
        <is>
          <t>rs2319423</t>
        </is>
      </c>
      <c r="F4001" t="n">
        <v>0.181737999</v>
      </c>
      <c r="G4001" t="n">
        <v>0.0060472950842586</v>
      </c>
      <c r="H4001" t="n">
        <v>0.0241972786854482</v>
      </c>
      <c r="I4001" t="n">
        <v>0.03924166660922</v>
      </c>
      <c r="J4001" t="n">
        <v>0.4426022491675566</v>
      </c>
      <c r="K4001" t="n">
        <v>0.06995497052294961</v>
      </c>
      <c r="L4001" t="b">
        <v>1</v>
      </c>
      <c r="M4001" t="b">
        <v>1</v>
      </c>
      <c r="N4001" t="inlineStr">
        <is>
          <t>alt</t>
        </is>
      </c>
      <c r="O4001" t="n">
        <v>40</v>
      </c>
      <c r="P4001" t="n">
        <v>0.001053</v>
      </c>
      <c r="Q4001" t="n">
        <v>50</v>
      </c>
      <c r="R4001" t="n">
        <v>0.03027</v>
      </c>
      <c r="S4001">
        <f>IMAGE("https://mitra.stanford.edu/kundaje/oak/projects/neuro-variants/variant_position/credible/roussos_2024/variant_figures/roussos_2024.childhood.GABA/rs2319423_count_position.png",4,220,900)</f>
        <v/>
      </c>
      <c r="T4001">
        <f>IMAGE("https://mitra.stanford.edu/kundaje/oak/projects/neuro-variants/variant_position/credible/roussos_2024/variant_figures/roussos_2024.childhood.GABA/rs2319423_profile_position.png",4,220,900)</f>
        <v/>
      </c>
    </row>
    <row r="4002">
      <c r="A4002" t="inlineStr">
        <is>
          <t>chr8</t>
        </is>
      </c>
      <c r="B4002" t="n">
        <v>139683481</v>
      </c>
      <c r="C4002" t="inlineStr">
        <is>
          <t>C</t>
        </is>
      </c>
      <c r="D4002" t="inlineStr">
        <is>
          <t>T</t>
        </is>
      </c>
      <c r="E4002" t="inlineStr">
        <is>
          <t>rs10101804</t>
        </is>
      </c>
      <c r="F4002" t="n">
        <v>-0.0070599892599999</v>
      </c>
      <c r="G4002" t="n">
        <v>0.6613984886416794</v>
      </c>
      <c r="H4002" t="n">
        <v>0.0078130474564512</v>
      </c>
      <c r="I4002" t="n">
        <v>0.8647610340978662</v>
      </c>
      <c r="J4002" t="n">
        <v>0.2754162216498083</v>
      </c>
      <c r="K4002" t="n">
        <v>0.1557862732190847</v>
      </c>
      <c r="L4002" t="b">
        <v>0</v>
      </c>
      <c r="M4002" t="b">
        <v>0</v>
      </c>
      <c r="N4002" t="inlineStr">
        <is>
          <t>ref</t>
        </is>
      </c>
      <c r="O4002" t="n">
        <v>-95</v>
      </c>
      <c r="P4002" t="n">
        <v>0.03087</v>
      </c>
      <c r="Q4002" t="n">
        <v>-95</v>
      </c>
      <c r="R4002" t="n">
        <v>0.2932</v>
      </c>
      <c r="S4002">
        <f>IMAGE("https://mitra.stanford.edu/kundaje/oak/projects/neuro-variants/variant_position/credible/roussos_2024/variant_figures/roussos_2024.childhood.GABA/rs10101804_count_position.png",4,220,900)</f>
        <v/>
      </c>
      <c r="T4002">
        <f>IMAGE("https://mitra.stanford.edu/kundaje/oak/projects/neuro-variants/variant_position/credible/roussos_2024/variant_figures/roussos_2024.childhood.GABA/rs10101804_profile_position.png",4,220,900)</f>
        <v/>
      </c>
    </row>
    <row r="4003">
      <c r="A4003" t="inlineStr">
        <is>
          <t>chr8</t>
        </is>
      </c>
      <c r="B4003" t="n">
        <v>139686423</v>
      </c>
      <c r="C4003" t="inlineStr">
        <is>
          <t>A</t>
        </is>
      </c>
      <c r="D4003" t="inlineStr">
        <is>
          <t>G</t>
        </is>
      </c>
      <c r="E4003" t="inlineStr">
        <is>
          <t>rs9693845</t>
        </is>
      </c>
      <c r="F4003" t="n">
        <v>-0.00438402274</v>
      </c>
      <c r="G4003" t="n">
        <v>0.8019911048355407</v>
      </c>
      <c r="H4003" t="n">
        <v>0.0269800169061315</v>
      </c>
      <c r="I4003" t="n">
        <v>0.0201727412959912</v>
      </c>
      <c r="J4003" t="n">
        <v>0.0005570563967246</v>
      </c>
      <c r="K4003" t="n">
        <v>0.9321149915870812</v>
      </c>
      <c r="L4003" t="b">
        <v>0</v>
      </c>
      <c r="M4003" t="b">
        <v>0</v>
      </c>
      <c r="N4003" t="inlineStr">
        <is>
          <t>ref</t>
        </is>
      </c>
      <c r="O4003" t="n">
        <v>-15</v>
      </c>
      <c r="P4003" t="n">
        <v>0.000977</v>
      </c>
      <c r="Q4003" t="n">
        <v>-10</v>
      </c>
      <c r="R4003" t="n">
        <v>0.02066</v>
      </c>
      <c r="S4003">
        <f>IMAGE("https://mitra.stanford.edu/kundaje/oak/projects/neuro-variants/variant_position/credible/roussos_2024/variant_figures/roussos_2024.childhood.GABA/rs9693845_count_position.png",4,220,900)</f>
        <v/>
      </c>
      <c r="T4003">
        <f>IMAGE("https://mitra.stanford.edu/kundaje/oak/projects/neuro-variants/variant_position/credible/roussos_2024/variant_figures/roussos_2024.childhood.GABA/rs9693845_profile_position.png",4,220,900)</f>
        <v/>
      </c>
    </row>
    <row r="4004">
      <c r="A4004" t="inlineStr">
        <is>
          <t>chr8</t>
        </is>
      </c>
      <c r="B4004" t="n">
        <v>139688714</v>
      </c>
      <c r="C4004" t="inlineStr">
        <is>
          <t>A</t>
        </is>
      </c>
      <c r="D4004" t="inlineStr">
        <is>
          <t>G</t>
        </is>
      </c>
      <c r="E4004" t="inlineStr">
        <is>
          <t>rs16893602</t>
        </is>
      </c>
      <c r="F4004" t="n">
        <v>0.00873509054</v>
      </c>
      <c r="G4004" t="n">
        <v>0.6677386407270163</v>
      </c>
      <c r="H4004" t="n">
        <v>0.0106356612705968</v>
      </c>
      <c r="I4004" t="n">
        <v>0.5764086734846302</v>
      </c>
      <c r="J4004" t="n">
        <v>0.063267784967854</v>
      </c>
      <c r="K4004" t="n">
        <v>0.4650086846962474</v>
      </c>
      <c r="L4004" t="b">
        <v>0</v>
      </c>
      <c r="M4004" t="b">
        <v>0</v>
      </c>
      <c r="N4004" t="inlineStr">
        <is>
          <t>alt</t>
        </is>
      </c>
      <c r="O4004" t="n">
        <v>-100</v>
      </c>
      <c r="P4004" t="n">
        <v>0.002224</v>
      </c>
      <c r="Q4004" t="n">
        <v>-100</v>
      </c>
      <c r="R4004" t="n">
        <v>0.05286</v>
      </c>
      <c r="S4004">
        <f>IMAGE("https://mitra.stanford.edu/kundaje/oak/projects/neuro-variants/variant_position/credible/roussos_2024/variant_figures/roussos_2024.childhood.GABA/rs16893602_count_position.png",4,220,900)</f>
        <v/>
      </c>
      <c r="T4004">
        <f>IMAGE("https://mitra.stanford.edu/kundaje/oak/projects/neuro-variants/variant_position/credible/roussos_2024/variant_figures/roussos_2024.childhood.GABA/rs16893602_profile_position.png",4,220,900)</f>
        <v/>
      </c>
    </row>
    <row r="4005">
      <c r="A4005" t="inlineStr">
        <is>
          <t>chr8</t>
        </is>
      </c>
      <c r="B4005" t="n">
        <v>139692798</v>
      </c>
      <c r="C4005" t="inlineStr">
        <is>
          <t>T</t>
        </is>
      </c>
      <c r="D4005" t="inlineStr">
        <is>
          <t>C</t>
        </is>
      </c>
      <c r="E4005" t="inlineStr">
        <is>
          <t>rs741469</t>
        </is>
      </c>
      <c r="F4005" t="n">
        <v>0.0404251762</v>
      </c>
      <c r="G4005" t="n">
        <v>0.1910969806690038</v>
      </c>
      <c r="H4005" t="n">
        <v>0.0119960448675848</v>
      </c>
      <c r="I4005" t="n">
        <v>0.4390167838633851</v>
      </c>
      <c r="J4005" t="n">
        <v>0.1915363029046512</v>
      </c>
      <c r="K4005" t="n">
        <v>0.2317678717062911</v>
      </c>
      <c r="L4005" t="b">
        <v>0</v>
      </c>
      <c r="M4005" t="b">
        <v>0</v>
      </c>
      <c r="N4005" t="inlineStr">
        <is>
          <t>alt</t>
        </is>
      </c>
      <c r="O4005" t="n">
        <v>-95</v>
      </c>
      <c r="P4005" t="n">
        <v>0.002785</v>
      </c>
      <c r="Q4005" t="n">
        <v>-95</v>
      </c>
      <c r="R4005" t="n">
        <v>0.0526</v>
      </c>
      <c r="S4005">
        <f>IMAGE("https://mitra.stanford.edu/kundaje/oak/projects/neuro-variants/variant_position/credible/roussos_2024/variant_figures/roussos_2024.childhood.GABA/rs741469_count_position.png",4,220,900)</f>
        <v/>
      </c>
      <c r="T4005">
        <f>IMAGE("https://mitra.stanford.edu/kundaje/oak/projects/neuro-variants/variant_position/credible/roussos_2024/variant_figures/roussos_2024.childhood.GABA/rs741469_profile_position.png",4,220,900)</f>
        <v/>
      </c>
    </row>
    <row r="4006">
      <c r="A4006" t="inlineStr">
        <is>
          <t>chr8</t>
        </is>
      </c>
      <c r="B4006" t="n">
        <v>139700268</v>
      </c>
      <c r="C4006" t="inlineStr">
        <is>
          <t>G</t>
        </is>
      </c>
      <c r="D4006" t="inlineStr">
        <is>
          <t>C</t>
        </is>
      </c>
      <c r="E4006" t="inlineStr">
        <is>
          <t>rs199211</t>
        </is>
      </c>
      <c r="F4006" t="n">
        <v>-0.0637702811999999</v>
      </c>
      <c r="G4006" t="n">
        <v>0.092204539501132</v>
      </c>
      <c r="H4006" t="n">
        <v>0.0234726302527089</v>
      </c>
      <c r="I4006" t="n">
        <v>0.0383587752958812</v>
      </c>
      <c r="J4006" t="n">
        <v>0.5782381520805846</v>
      </c>
      <c r="K4006" t="n">
        <v>0.0333547304058362</v>
      </c>
      <c r="L4006" t="b">
        <v>0</v>
      </c>
      <c r="M4006" t="b">
        <v>0</v>
      </c>
      <c r="N4006" t="inlineStr">
        <is>
          <t>ref</t>
        </is>
      </c>
      <c r="O4006" t="n">
        <v>-75</v>
      </c>
      <c r="P4006" t="n">
        <v>0.03293</v>
      </c>
      <c r="Q4006" t="n">
        <v>10</v>
      </c>
      <c r="R4006" t="n">
        <v>0.00647</v>
      </c>
      <c r="S4006">
        <f>IMAGE("https://mitra.stanford.edu/kundaje/oak/projects/neuro-variants/variant_position/credible/roussos_2024/variant_figures/roussos_2024.childhood.GABA/rs199211_count_position.png",4,220,900)</f>
        <v/>
      </c>
      <c r="T4006">
        <f>IMAGE("https://mitra.stanford.edu/kundaje/oak/projects/neuro-variants/variant_position/credible/roussos_2024/variant_figures/roussos_2024.childhood.GABA/rs199211_profile_position.png",4,220,900)</f>
        <v/>
      </c>
    </row>
    <row r="4007">
      <c r="A4007" t="inlineStr">
        <is>
          <t>chr8</t>
        </is>
      </c>
      <c r="B4007" t="n">
        <v>142221528</v>
      </c>
      <c r="C4007" t="inlineStr">
        <is>
          <t>T</t>
        </is>
      </c>
      <c r="D4007" t="inlineStr">
        <is>
          <t>C</t>
        </is>
      </c>
      <c r="E4007" t="inlineStr">
        <is>
          <t>rs11786405</t>
        </is>
      </c>
      <c r="F4007" t="n">
        <v>-0.004713736214</v>
      </c>
      <c r="G4007" t="n">
        <v>0.8160487191891862</v>
      </c>
      <c r="H4007" t="n">
        <v>0.0115435948968636</v>
      </c>
      <c r="I4007" t="n">
        <v>0.4811824160142306</v>
      </c>
      <c r="J4007" t="n">
        <v>0.2943613746308977</v>
      </c>
      <c r="K4007" t="n">
        <v>0.142191665072414</v>
      </c>
      <c r="L4007" t="b">
        <v>0</v>
      </c>
      <c r="M4007" t="b">
        <v>0</v>
      </c>
      <c r="N4007" t="inlineStr">
        <is>
          <t>ref</t>
        </is>
      </c>
      <c r="O4007" t="n">
        <v>100</v>
      </c>
      <c r="P4007" t="n">
        <v>0.01651</v>
      </c>
      <c r="Q4007" t="n">
        <v>-100</v>
      </c>
      <c r="R4007" t="n">
        <v>0.0564</v>
      </c>
      <c r="S4007">
        <f>IMAGE("https://mitra.stanford.edu/kundaje/oak/projects/neuro-variants/variant_position/credible/roussos_2024/variant_figures/roussos_2024.childhood.GABA/rs11786405_count_position.png",4,220,900)</f>
        <v/>
      </c>
      <c r="T4007">
        <f>IMAGE("https://mitra.stanford.edu/kundaje/oak/projects/neuro-variants/variant_position/credible/roussos_2024/variant_figures/roussos_2024.childhood.GABA/rs11786405_profile_position.png",4,220,900)</f>
        <v/>
      </c>
    </row>
    <row r="4008">
      <c r="A4008" t="inlineStr">
        <is>
          <t>chr8</t>
        </is>
      </c>
      <c r="B4008" t="n">
        <v>142232905</v>
      </c>
      <c r="C4008" t="inlineStr">
        <is>
          <t>A</t>
        </is>
      </c>
      <c r="D4008" t="inlineStr">
        <is>
          <t>G</t>
        </is>
      </c>
      <c r="E4008" t="inlineStr">
        <is>
          <t>rs4976978</t>
        </is>
      </c>
      <c r="F4008" t="n">
        <v>0.0377369282</v>
      </c>
      <c r="G4008" t="n">
        <v>0.2175497894927118</v>
      </c>
      <c r="H4008" t="n">
        <v>0.0100577654245996</v>
      </c>
      <c r="I4008" t="n">
        <v>0.6283020812691088</v>
      </c>
      <c r="J4008" t="n">
        <v>0.6813564113840547</v>
      </c>
      <c r="K4008" t="n">
        <v>0.016810218626081</v>
      </c>
      <c r="L4008" t="b">
        <v>0</v>
      </c>
      <c r="M4008" t="b">
        <v>0</v>
      </c>
      <c r="N4008" t="inlineStr">
        <is>
          <t>alt</t>
        </is>
      </c>
      <c r="O4008" t="n">
        <v>-55</v>
      </c>
      <c r="P4008" t="n">
        <v>0.00865</v>
      </c>
      <c r="Q4008" t="n">
        <v>-100</v>
      </c>
      <c r="R4008" t="n">
        <v>0.1516</v>
      </c>
      <c r="S4008">
        <f>IMAGE("https://mitra.stanford.edu/kundaje/oak/projects/neuro-variants/variant_position/credible/roussos_2024/variant_figures/roussos_2024.childhood.GABA/rs4976978_count_position.png",4,220,900)</f>
        <v/>
      </c>
      <c r="T4008">
        <f>IMAGE("https://mitra.stanford.edu/kundaje/oak/projects/neuro-variants/variant_position/credible/roussos_2024/variant_figures/roussos_2024.childhood.GABA/rs4976978_profile_position.png",4,220,900)</f>
        <v/>
      </c>
    </row>
    <row r="4009">
      <c r="A4009" t="inlineStr">
        <is>
          <t>chr8</t>
        </is>
      </c>
      <c r="B4009" t="n">
        <v>142234411</v>
      </c>
      <c r="C4009" t="inlineStr">
        <is>
          <t>A</t>
        </is>
      </c>
      <c r="D4009" t="inlineStr">
        <is>
          <t>G</t>
        </is>
      </c>
      <c r="E4009" t="inlineStr">
        <is>
          <t>rs4976981</t>
        </is>
      </c>
      <c r="F4009" t="n">
        <v>0.08524536099999989</v>
      </c>
      <c r="G4009" t="n">
        <v>0.0515865451981064</v>
      </c>
      <c r="H4009" t="n">
        <v>0.0170567249299715</v>
      </c>
      <c r="I4009" t="n">
        <v>0.1424142384249379</v>
      </c>
      <c r="J4009" t="n">
        <v>0.3542847270214236</v>
      </c>
      <c r="K4009" t="n">
        <v>0.1094098852955816</v>
      </c>
      <c r="L4009" t="b">
        <v>0</v>
      </c>
      <c r="M4009" t="b">
        <v>0</v>
      </c>
      <c r="N4009" t="inlineStr">
        <is>
          <t>alt</t>
        </is>
      </c>
      <c r="O4009" t="n">
        <v>25</v>
      </c>
      <c r="P4009" t="n">
        <v>0.0004387</v>
      </c>
      <c r="Q4009" t="n">
        <v>5</v>
      </c>
      <c r="R4009" t="n">
        <v>0.01029</v>
      </c>
      <c r="S4009">
        <f>IMAGE("https://mitra.stanford.edu/kundaje/oak/projects/neuro-variants/variant_position/credible/roussos_2024/variant_figures/roussos_2024.childhood.GABA/rs4976981_count_position.png",4,220,900)</f>
        <v/>
      </c>
      <c r="T4009">
        <f>IMAGE("https://mitra.stanford.edu/kundaje/oak/projects/neuro-variants/variant_position/credible/roussos_2024/variant_figures/roussos_2024.childhood.GABA/rs4976981_profile_position.png",4,220,900)</f>
        <v/>
      </c>
    </row>
    <row r="4010">
      <c r="A4010" t="inlineStr">
        <is>
          <t>chr8</t>
        </is>
      </c>
      <c r="B4010" t="n">
        <v>142241656</v>
      </c>
      <c r="C4010" t="inlineStr">
        <is>
          <t>G</t>
        </is>
      </c>
      <c r="D4010" t="inlineStr">
        <is>
          <t>A</t>
        </is>
      </c>
      <c r="E4010" t="inlineStr">
        <is>
          <t>rs7832212</t>
        </is>
      </c>
      <c r="F4010" t="n">
        <v>-0.08200816359999991</v>
      </c>
      <c r="G4010" t="n">
        <v>0.0544474962016687</v>
      </c>
      <c r="H4010" t="n">
        <v>0.0110478844801052</v>
      </c>
      <c r="I4010" t="n">
        <v>0.5144176611031234</v>
      </c>
      <c r="J4010" t="n">
        <v>0.0457194613725366</v>
      </c>
      <c r="K4010" t="n">
        <v>0.5411339387874841</v>
      </c>
      <c r="L4010" t="b">
        <v>0</v>
      </c>
      <c r="M4010" t="b">
        <v>0</v>
      </c>
      <c r="N4010" t="inlineStr">
        <is>
          <t>ref</t>
        </is>
      </c>
      <c r="O4010" t="n">
        <v>-65</v>
      </c>
      <c r="P4010" t="n">
        <v>0.04156</v>
      </c>
      <c r="Q4010" t="n">
        <v>85</v>
      </c>
      <c r="R4010" t="n">
        <v>0.1777</v>
      </c>
      <c r="S4010">
        <f>IMAGE("https://mitra.stanford.edu/kundaje/oak/projects/neuro-variants/variant_position/credible/roussos_2024/variant_figures/roussos_2024.childhood.GABA/rs7832212_count_position.png",4,220,900)</f>
        <v/>
      </c>
      <c r="T4010">
        <f>IMAGE("https://mitra.stanford.edu/kundaje/oak/projects/neuro-variants/variant_position/credible/roussos_2024/variant_figures/roussos_2024.childhood.GABA/rs7832212_profile_position.png",4,220,900)</f>
        <v/>
      </c>
    </row>
    <row r="4011">
      <c r="A4011" t="inlineStr">
        <is>
          <t>chr8</t>
        </is>
      </c>
      <c r="B4011" t="n">
        <v>142241748</v>
      </c>
      <c r="C4011" t="inlineStr">
        <is>
          <t>T</t>
        </is>
      </c>
      <c r="D4011" t="inlineStr">
        <is>
          <t>C</t>
        </is>
      </c>
      <c r="E4011" t="inlineStr">
        <is>
          <t>rs7822538</t>
        </is>
      </c>
      <c r="F4011" t="n">
        <v>0.1441829086</v>
      </c>
      <c r="G4011" t="n">
        <v>0.0128874979714359</v>
      </c>
      <c r="H4011" t="n">
        <v>0.01667864325239</v>
      </c>
      <c r="I4011" t="n">
        <v>0.1521522237428522</v>
      </c>
      <c r="J4011" t="n">
        <v>0.0768130510355803</v>
      </c>
      <c r="K4011" t="n">
        <v>0.4400679799029933</v>
      </c>
      <c r="L4011" t="b">
        <v>1</v>
      </c>
      <c r="M4011" t="b">
        <v>0</v>
      </c>
      <c r="N4011" t="inlineStr">
        <is>
          <t>alt</t>
        </is>
      </c>
      <c r="O4011" t="n">
        <v>-100</v>
      </c>
      <c r="P4011" t="n">
        <v>0.001346</v>
      </c>
      <c r="Q4011" t="n">
        <v>-10</v>
      </c>
      <c r="R4011" t="n">
        <v>0.006836</v>
      </c>
      <c r="S4011">
        <f>IMAGE("https://mitra.stanford.edu/kundaje/oak/projects/neuro-variants/variant_position/credible/roussos_2024/variant_figures/roussos_2024.childhood.GABA/rs7822538_count_position.png",4,220,900)</f>
        <v/>
      </c>
      <c r="T4011">
        <f>IMAGE("https://mitra.stanford.edu/kundaje/oak/projects/neuro-variants/variant_position/credible/roussos_2024/variant_figures/roussos_2024.childhood.GABA/rs7822538_profile_position.png",4,220,900)</f>
        <v/>
      </c>
    </row>
    <row r="4012">
      <c r="A4012" t="inlineStr">
        <is>
          <t>chr8</t>
        </is>
      </c>
      <c r="B4012" t="n">
        <v>143158840</v>
      </c>
      <c r="C4012" t="inlineStr">
        <is>
          <t>C</t>
        </is>
      </c>
      <c r="D4012" t="inlineStr">
        <is>
          <t>G</t>
        </is>
      </c>
      <c r="E4012" t="inlineStr">
        <is>
          <t>rs9694368</t>
        </is>
      </c>
      <c r="F4012" t="n">
        <v>0.0078416586799999</v>
      </c>
      <c r="G4012" t="n">
        <v>0.6720326397083346</v>
      </c>
      <c r="H4012" t="n">
        <v>0.0128180376788943</v>
      </c>
      <c r="I4012" t="n">
        <v>0.3611250601429062</v>
      </c>
      <c r="J4012" t="n">
        <v>0.6190404389436871</v>
      </c>
      <c r="K4012" t="n">
        <v>0.0256013330769992</v>
      </c>
      <c r="L4012" t="b">
        <v>0</v>
      </c>
      <c r="M4012" t="b">
        <v>0</v>
      </c>
      <c r="N4012" t="inlineStr">
        <is>
          <t>alt</t>
        </is>
      </c>
      <c r="O4012" t="n">
        <v>-85</v>
      </c>
      <c r="P4012" t="n">
        <v>0.00434</v>
      </c>
      <c r="Q4012" t="n">
        <v>100</v>
      </c>
      <c r="R4012" t="n">
        <v>0.05798</v>
      </c>
      <c r="S4012">
        <f>IMAGE("https://mitra.stanford.edu/kundaje/oak/projects/neuro-variants/variant_position/credible/roussos_2024/variant_figures/roussos_2024.childhood.GABA/rs9694368_count_position.png",4,220,900)</f>
        <v/>
      </c>
      <c r="T4012">
        <f>IMAGE("https://mitra.stanford.edu/kundaje/oak/projects/neuro-variants/variant_position/credible/roussos_2024/variant_figures/roussos_2024.childhood.GABA/rs9694368_profile_position.png",4,220,900)</f>
        <v/>
      </c>
    </row>
    <row r="4013">
      <c r="A4013" t="inlineStr">
        <is>
          <t>chr8</t>
        </is>
      </c>
      <c r="B4013" t="n">
        <v>143169111</v>
      </c>
      <c r="C4013" t="inlineStr">
        <is>
          <t>G</t>
        </is>
      </c>
      <c r="D4013" t="inlineStr">
        <is>
          <t>A</t>
        </is>
      </c>
      <c r="E4013" t="inlineStr">
        <is>
          <t>rs7830479</t>
        </is>
      </c>
      <c r="F4013" t="n">
        <v>0.00122990566</v>
      </c>
      <c r="G4013" t="n">
        <v>0.8459290071704589</v>
      </c>
      <c r="H4013" t="n">
        <v>0.0112503920281371</v>
      </c>
      <c r="I4013" t="n">
        <v>0.5128961655662613</v>
      </c>
      <c r="J4013" t="n">
        <v>0.4527611987183514</v>
      </c>
      <c r="K4013" t="n">
        <v>0.0654136563543309</v>
      </c>
      <c r="L4013" t="b">
        <v>0</v>
      </c>
      <c r="M4013" t="b">
        <v>0</v>
      </c>
      <c r="N4013" t="inlineStr">
        <is>
          <t>alt</t>
        </is>
      </c>
      <c r="O4013" t="n">
        <v>100</v>
      </c>
      <c r="P4013" t="n">
        <v>0.002892</v>
      </c>
      <c r="Q4013" t="n">
        <v>100</v>
      </c>
      <c r="R4013" t="n">
        <v>0.1049</v>
      </c>
      <c r="S4013">
        <f>IMAGE("https://mitra.stanford.edu/kundaje/oak/projects/neuro-variants/variant_position/credible/roussos_2024/variant_figures/roussos_2024.childhood.GABA/rs7830479_count_position.png",4,220,900)</f>
        <v/>
      </c>
      <c r="T4013">
        <f>IMAGE("https://mitra.stanford.edu/kundaje/oak/projects/neuro-variants/variant_position/credible/roussos_2024/variant_figures/roussos_2024.childhood.GABA/rs7830479_profile_position.png",4,220,900)</f>
        <v/>
      </c>
    </row>
    <row r="4014">
      <c r="A4014" t="inlineStr">
        <is>
          <t>chr8</t>
        </is>
      </c>
      <c r="B4014" t="n">
        <v>143169632</v>
      </c>
      <c r="C4014" t="inlineStr">
        <is>
          <t>T</t>
        </is>
      </c>
      <c r="D4014" t="inlineStr">
        <is>
          <t>C</t>
        </is>
      </c>
      <c r="E4014" t="inlineStr">
        <is>
          <t>rs7824786</t>
        </is>
      </c>
      <c r="F4014" t="n">
        <v>0.0564636194</v>
      </c>
      <c r="G4014" t="n">
        <v>0.1228180517239724</v>
      </c>
      <c r="H4014" t="n">
        <v>0.0153431052474228</v>
      </c>
      <c r="I4014" t="n">
        <v>0.2020366254614151</v>
      </c>
      <c r="J4014" t="n">
        <v>0.4996555045967623</v>
      </c>
      <c r="K4014" t="n">
        <v>0.0510372793683671</v>
      </c>
      <c r="L4014" t="b">
        <v>0</v>
      </c>
      <c r="M4014" t="b">
        <v>0</v>
      </c>
      <c r="N4014" t="inlineStr">
        <is>
          <t>alt</t>
        </is>
      </c>
      <c r="O4014" t="n">
        <v>90</v>
      </c>
      <c r="P4014" t="n">
        <v>0.002485</v>
      </c>
      <c r="Q4014" t="n">
        <v>-10</v>
      </c>
      <c r="R4014" t="n">
        <v>0.005127</v>
      </c>
      <c r="S4014">
        <f>IMAGE("https://mitra.stanford.edu/kundaje/oak/projects/neuro-variants/variant_position/credible/roussos_2024/variant_figures/roussos_2024.childhood.GABA/rs7824786_count_position.png",4,220,900)</f>
        <v/>
      </c>
      <c r="T4014">
        <f>IMAGE("https://mitra.stanford.edu/kundaje/oak/projects/neuro-variants/variant_position/credible/roussos_2024/variant_figures/roussos_2024.childhood.GABA/rs7824786_profile_position.png",4,220,900)</f>
        <v/>
      </c>
    </row>
    <row r="4015">
      <c r="A4015" t="inlineStr">
        <is>
          <t>chr8</t>
        </is>
      </c>
      <c r="B4015" t="n">
        <v>143193560</v>
      </c>
      <c r="C4015" t="inlineStr">
        <is>
          <t>C</t>
        </is>
      </c>
      <c r="D4015" t="inlineStr">
        <is>
          <t>T</t>
        </is>
      </c>
      <c r="E4015" t="inlineStr">
        <is>
          <t>rs11996840</t>
        </is>
      </c>
      <c r="F4015" t="n">
        <v>-0.0376731918</v>
      </c>
      <c r="G4015" t="n">
        <v>0.2308010124537115</v>
      </c>
      <c r="H4015" t="n">
        <v>0.008655887038673701</v>
      </c>
      <c r="I4015" t="n">
        <v>0.7850205585850737</v>
      </c>
      <c r="J4015" t="n">
        <v>0.4329281062176708</v>
      </c>
      <c r="K4015" t="n">
        <v>0.0735247335800132</v>
      </c>
      <c r="L4015" t="b">
        <v>0</v>
      </c>
      <c r="M4015" t="b">
        <v>0</v>
      </c>
      <c r="N4015" t="inlineStr">
        <is>
          <t>ref</t>
        </is>
      </c>
      <c r="O4015" t="n">
        <v>85</v>
      </c>
      <c r="P4015" t="n">
        <v>0.007557</v>
      </c>
      <c r="Q4015" t="n">
        <v>95</v>
      </c>
      <c r="R4015" t="n">
        <v>0.1771</v>
      </c>
      <c r="S4015">
        <f>IMAGE("https://mitra.stanford.edu/kundaje/oak/projects/neuro-variants/variant_position/credible/roussos_2024/variant_figures/roussos_2024.childhood.GABA/rs11996840_count_position.png",4,220,900)</f>
        <v/>
      </c>
      <c r="T4015">
        <f>IMAGE("https://mitra.stanford.edu/kundaje/oak/projects/neuro-variants/variant_position/credible/roussos_2024/variant_figures/roussos_2024.childhood.GABA/rs11996840_profile_position.png",4,220,900)</f>
        <v/>
      </c>
    </row>
    <row r="4016">
      <c r="A4016" t="inlineStr">
        <is>
          <t>chr8</t>
        </is>
      </c>
      <c r="B4016" t="n">
        <v>143668507</v>
      </c>
      <c r="C4016" t="inlineStr">
        <is>
          <t>T</t>
        </is>
      </c>
      <c r="D4016" t="inlineStr">
        <is>
          <t>C</t>
        </is>
      </c>
      <c r="E4016" t="inlineStr">
        <is>
          <t>rs117423761</t>
        </is>
      </c>
      <c r="F4016" t="n">
        <v>0.0282023026</v>
      </c>
      <c r="G4016" t="n">
        <v>0.3006011470232444</v>
      </c>
      <c r="H4016" t="n">
        <v>0.0109895778283693</v>
      </c>
      <c r="I4016" t="n">
        <v>0.5377976793076947</v>
      </c>
      <c r="J4016" t="n">
        <v>0.1665588155221879</v>
      </c>
      <c r="K4016" t="n">
        <v>0.2626922662094169</v>
      </c>
      <c r="L4016" t="b">
        <v>0</v>
      </c>
      <c r="M4016" t="b">
        <v>0</v>
      </c>
      <c r="N4016" t="inlineStr">
        <is>
          <t>alt</t>
        </is>
      </c>
      <c r="O4016" t="n">
        <v>-85</v>
      </c>
      <c r="P4016" t="n">
        <v>0.01042</v>
      </c>
      <c r="Q4016" t="n">
        <v>40</v>
      </c>
      <c r="R4016" t="n">
        <v>0.05743</v>
      </c>
      <c r="S4016">
        <f>IMAGE("https://mitra.stanford.edu/kundaje/oak/projects/neuro-variants/variant_position/credible/roussos_2024/variant_figures/roussos_2024.childhood.GABA/rs117423761_count_position.png",4,220,900)</f>
        <v/>
      </c>
      <c r="T4016">
        <f>IMAGE("https://mitra.stanford.edu/kundaje/oak/projects/neuro-variants/variant_position/credible/roussos_2024/variant_figures/roussos_2024.childhood.GABA/rs117423761_profile_position.png",4,220,900)</f>
        <v/>
      </c>
    </row>
    <row r="4017">
      <c r="A4017" t="inlineStr">
        <is>
          <t>chr8</t>
        </is>
      </c>
      <c r="B4017" t="n">
        <v>143691909</v>
      </c>
      <c r="C4017" t="inlineStr">
        <is>
          <t>G</t>
        </is>
      </c>
      <c r="D4017" t="inlineStr">
        <is>
          <t>T</t>
        </is>
      </c>
      <c r="E4017" t="inlineStr">
        <is>
          <t>rs11136313</t>
        </is>
      </c>
      <c r="F4017" t="n">
        <v>-0.06329347019999999</v>
      </c>
      <c r="G4017" t="n">
        <v>0.0893284355673559</v>
      </c>
      <c r="H4017" t="n">
        <v>0.015124673052285</v>
      </c>
      <c r="I4017" t="n">
        <v>0.2199612401985766</v>
      </c>
      <c r="J4017" t="n">
        <v>0.5567914808066847</v>
      </c>
      <c r="K4017" t="n">
        <v>0.0375832810910724</v>
      </c>
      <c r="L4017" t="b">
        <v>0</v>
      </c>
      <c r="M4017" t="b">
        <v>0</v>
      </c>
      <c r="N4017" t="inlineStr">
        <is>
          <t>ref</t>
        </is>
      </c>
      <c r="O4017" t="n">
        <v>75</v>
      </c>
      <c r="P4017" t="n">
        <v>0.001829</v>
      </c>
      <c r="Q4017" t="n">
        <v>-75</v>
      </c>
      <c r="R4017" t="n">
        <v>0.08636000000000001</v>
      </c>
      <c r="S4017">
        <f>IMAGE("https://mitra.stanford.edu/kundaje/oak/projects/neuro-variants/variant_position/credible/roussos_2024/variant_figures/roussos_2024.childhood.GABA/rs11136313_count_position.png",4,220,900)</f>
        <v/>
      </c>
      <c r="T4017">
        <f>IMAGE("https://mitra.stanford.edu/kundaje/oak/projects/neuro-variants/variant_position/credible/roussos_2024/variant_figures/roussos_2024.childhood.GABA/rs11136313_profile_position.png",4,220,900)</f>
        <v/>
      </c>
    </row>
    <row r="4018">
      <c r="A4018" t="inlineStr">
        <is>
          <t>chr9</t>
        </is>
      </c>
      <c r="B4018" t="n">
        <v>10236246</v>
      </c>
      <c r="C4018" t="inlineStr">
        <is>
          <t>A</t>
        </is>
      </c>
      <c r="D4018" t="inlineStr">
        <is>
          <t>G</t>
        </is>
      </c>
      <c r="E4018" t="inlineStr">
        <is>
          <t>rs10756010</t>
        </is>
      </c>
      <c r="F4018" t="n">
        <v>0.0607557864</v>
      </c>
      <c r="G4018" t="n">
        <v>0.09124770832456</v>
      </c>
      <c r="H4018" t="n">
        <v>0.0181950484560958</v>
      </c>
      <c r="I4018" t="n">
        <v>0.1165680666225945</v>
      </c>
      <c r="J4018" t="n">
        <v>0.0849406295156121</v>
      </c>
      <c r="K4018" t="n">
        <v>0.3925347816960344</v>
      </c>
      <c r="L4018" t="b">
        <v>0</v>
      </c>
      <c r="M4018" t="b">
        <v>0</v>
      </c>
      <c r="N4018" t="inlineStr">
        <is>
          <t>alt</t>
        </is>
      </c>
      <c r="O4018" t="n">
        <v>-100</v>
      </c>
      <c r="P4018" t="n">
        <v>0.004234</v>
      </c>
      <c r="Q4018" t="n">
        <v>15</v>
      </c>
      <c r="R4018" t="n">
        <v>0.05444</v>
      </c>
      <c r="S4018">
        <f>IMAGE("https://mitra.stanford.edu/kundaje/oak/projects/neuro-variants/variant_position/credible/roussos_2024/variant_figures/roussos_2024.childhood.GABA/rs10756010_count_position.png",4,220,900)</f>
        <v/>
      </c>
      <c r="T4018">
        <f>IMAGE("https://mitra.stanford.edu/kundaje/oak/projects/neuro-variants/variant_position/credible/roussos_2024/variant_figures/roussos_2024.childhood.GABA/rs10756010_profile_position.png",4,220,900)</f>
        <v/>
      </c>
    </row>
    <row r="4019">
      <c r="A4019" t="inlineStr">
        <is>
          <t>chr9</t>
        </is>
      </c>
      <c r="B4019" t="n">
        <v>10236249</v>
      </c>
      <c r="C4019" t="inlineStr">
        <is>
          <t>G</t>
        </is>
      </c>
      <c r="D4019" t="inlineStr">
        <is>
          <t>A</t>
        </is>
      </c>
      <c r="E4019" t="inlineStr">
        <is>
          <t>rs10958968</t>
        </is>
      </c>
      <c r="F4019" t="n">
        <v>-0.0254365386</v>
      </c>
      <c r="G4019" t="n">
        <v>0.3509932503651137</v>
      </c>
      <c r="H4019" t="n">
        <v>0.0204122434071748</v>
      </c>
      <c r="I4019" t="n">
        <v>0.06941721578815301</v>
      </c>
      <c r="J4019" t="n">
        <v>0.0706267931561642</v>
      </c>
      <c r="K4019" t="n">
        <v>0.4291566165654188</v>
      </c>
      <c r="L4019" t="b">
        <v>0</v>
      </c>
      <c r="M4019" t="b">
        <v>0</v>
      </c>
      <c r="N4019" t="inlineStr">
        <is>
          <t>ref</t>
        </is>
      </c>
      <c r="O4019" t="n">
        <v>-100</v>
      </c>
      <c r="P4019" t="n">
        <v>0.004845</v>
      </c>
      <c r="Q4019" t="n">
        <v>10</v>
      </c>
      <c r="R4019" t="n">
        <v>0.03943</v>
      </c>
      <c r="S4019">
        <f>IMAGE("https://mitra.stanford.edu/kundaje/oak/projects/neuro-variants/variant_position/credible/roussos_2024/variant_figures/roussos_2024.childhood.GABA/rs10958968_count_position.png",4,220,900)</f>
        <v/>
      </c>
      <c r="T4019">
        <f>IMAGE("https://mitra.stanford.edu/kundaje/oak/projects/neuro-variants/variant_position/credible/roussos_2024/variant_figures/roussos_2024.childhood.GABA/rs10958968_profile_position.png",4,220,900)</f>
        <v/>
      </c>
    </row>
    <row r="4020">
      <c r="A4020" t="inlineStr">
        <is>
          <t>chr9</t>
        </is>
      </c>
      <c r="B4020" t="n">
        <v>10244630</v>
      </c>
      <c r="C4020" t="inlineStr">
        <is>
          <t>A</t>
        </is>
      </c>
      <c r="D4020" t="inlineStr">
        <is>
          <t>G</t>
        </is>
      </c>
      <c r="E4020" t="inlineStr">
        <is>
          <t>rs12237121</t>
        </is>
      </c>
      <c r="F4020" t="n">
        <v>-0.0388857532</v>
      </c>
      <c r="G4020" t="n">
        <v>0.2214259496401555</v>
      </c>
      <c r="H4020" t="n">
        <v>0.0260501214754345</v>
      </c>
      <c r="I4020" t="n">
        <v>0.0234407490331162</v>
      </c>
      <c r="J4020" t="n">
        <v>0.0062438482963707</v>
      </c>
      <c r="K4020" t="n">
        <v>0.7932224168811391</v>
      </c>
      <c r="L4020" t="b">
        <v>0</v>
      </c>
      <c r="M4020" t="b">
        <v>0</v>
      </c>
      <c r="N4020" t="inlineStr">
        <is>
          <t>ref</t>
        </is>
      </c>
      <c r="O4020" t="n">
        <v>-60</v>
      </c>
      <c r="P4020" t="n">
        <v>0.0029</v>
      </c>
      <c r="Q4020" t="n">
        <v>90</v>
      </c>
      <c r="R4020" t="n">
        <v>0.05725</v>
      </c>
      <c r="S4020">
        <f>IMAGE("https://mitra.stanford.edu/kundaje/oak/projects/neuro-variants/variant_position/credible/roussos_2024/variant_figures/roussos_2024.childhood.GABA/rs12237121_count_position.png",4,220,900)</f>
        <v/>
      </c>
      <c r="T4020">
        <f>IMAGE("https://mitra.stanford.edu/kundaje/oak/projects/neuro-variants/variant_position/credible/roussos_2024/variant_figures/roussos_2024.childhood.GABA/rs12237121_profile_position.png",4,220,900)</f>
        <v/>
      </c>
    </row>
    <row r="4021">
      <c r="A4021" t="inlineStr">
        <is>
          <t>chr9</t>
        </is>
      </c>
      <c r="B4021" t="n">
        <v>10246014</v>
      </c>
      <c r="C4021" t="inlineStr">
        <is>
          <t>T</t>
        </is>
      </c>
      <c r="D4021" t="inlineStr">
        <is>
          <t>G</t>
        </is>
      </c>
      <c r="E4021" t="inlineStr">
        <is>
          <t>rs7032426</t>
        </is>
      </c>
      <c r="F4021" t="n">
        <v>0.01774907788</v>
      </c>
      <c r="G4021" t="n">
        <v>0.498535042209149</v>
      </c>
      <c r="H4021" t="n">
        <v>0.0307540368043868</v>
      </c>
      <c r="I4021" t="n">
        <v>0.0112348367345705</v>
      </c>
      <c r="J4021" t="n">
        <v>0.0014554669012166</v>
      </c>
      <c r="K4021" t="n">
        <v>0.8973008647933566</v>
      </c>
      <c r="L4021" t="b">
        <v>0</v>
      </c>
      <c r="M4021" t="b">
        <v>0</v>
      </c>
      <c r="N4021" t="inlineStr">
        <is>
          <t>alt</t>
        </is>
      </c>
      <c r="O4021" t="n">
        <v>-90</v>
      </c>
      <c r="P4021" t="n">
        <v>0.004505</v>
      </c>
      <c r="Q4021" t="n">
        <v>100</v>
      </c>
      <c r="R4021" t="n">
        <v>0.0529</v>
      </c>
      <c r="S4021">
        <f>IMAGE("https://mitra.stanford.edu/kundaje/oak/projects/neuro-variants/variant_position/credible/roussos_2024/variant_figures/roussos_2024.childhood.GABA/rs7032426_count_position.png",4,220,900)</f>
        <v/>
      </c>
      <c r="T4021">
        <f>IMAGE("https://mitra.stanford.edu/kundaje/oak/projects/neuro-variants/variant_position/credible/roussos_2024/variant_figures/roussos_2024.childhood.GABA/rs7032426_profile_position.png",4,220,900)</f>
        <v/>
      </c>
    </row>
    <row r="4022">
      <c r="A4022" t="inlineStr">
        <is>
          <t>chr9</t>
        </is>
      </c>
      <c r="B4022" t="n">
        <v>10251323</v>
      </c>
      <c r="C4022" t="inlineStr">
        <is>
          <t>G</t>
        </is>
      </c>
      <c r="D4022" t="inlineStr">
        <is>
          <t>A</t>
        </is>
      </c>
      <c r="E4022" t="inlineStr">
        <is>
          <t>rs1322146</t>
        </is>
      </c>
      <c r="F4022" t="n">
        <v>-0.00753971782</v>
      </c>
      <c r="G4022" t="n">
        <v>0.7136276589794273</v>
      </c>
      <c r="H4022" t="n">
        <v>0.0187673036928568</v>
      </c>
      <c r="I4022" t="n">
        <v>0.0979660048603766</v>
      </c>
      <c r="J4022" t="n">
        <v>0.0001225105233397</v>
      </c>
      <c r="K4022" t="n">
        <v>0.9774520932889782</v>
      </c>
      <c r="L4022" t="b">
        <v>0</v>
      </c>
      <c r="M4022" t="b">
        <v>0</v>
      </c>
      <c r="N4022" t="inlineStr">
        <is>
          <t>ref</t>
        </is>
      </c>
      <c r="O4022" t="n">
        <v>-35</v>
      </c>
      <c r="P4022" t="n">
        <v>0.00296</v>
      </c>
      <c r="Q4022" t="n">
        <v>-10</v>
      </c>
      <c r="R4022" t="n">
        <v>0.02136</v>
      </c>
      <c r="S4022">
        <f>IMAGE("https://mitra.stanford.edu/kundaje/oak/projects/neuro-variants/variant_position/credible/roussos_2024/variant_figures/roussos_2024.childhood.GABA/rs1322146_count_position.png",4,220,900)</f>
        <v/>
      </c>
      <c r="T4022">
        <f>IMAGE("https://mitra.stanford.edu/kundaje/oak/projects/neuro-variants/variant_position/credible/roussos_2024/variant_figures/roussos_2024.childhood.GABA/rs1322146_profile_position.png",4,220,900)</f>
        <v/>
      </c>
    </row>
    <row r="4023">
      <c r="A4023" t="inlineStr">
        <is>
          <t>chr9</t>
        </is>
      </c>
      <c r="B4023" t="n">
        <v>22758754</v>
      </c>
      <c r="C4023" t="inlineStr">
        <is>
          <t>T</t>
        </is>
      </c>
      <c r="D4023" t="inlineStr">
        <is>
          <t>C</t>
        </is>
      </c>
      <c r="E4023" t="inlineStr">
        <is>
          <t>rs686870</t>
        </is>
      </c>
      <c r="F4023" t="n">
        <v>-0.0464739797999999</v>
      </c>
      <c r="G4023" t="n">
        <v>0.1807189229663502</v>
      </c>
      <c r="H4023" t="n">
        <v>0.0195874512357439</v>
      </c>
      <c r="I4023" t="n">
        <v>0.0834324403241777</v>
      </c>
      <c r="J4023" t="n">
        <v>0.009784088291344599</v>
      </c>
      <c r="K4023" t="n">
        <v>0.7531430277385633</v>
      </c>
      <c r="L4023" t="b">
        <v>0</v>
      </c>
      <c r="M4023" t="b">
        <v>0</v>
      </c>
      <c r="N4023" t="inlineStr">
        <is>
          <t>ref</t>
        </is>
      </c>
      <c r="O4023" t="n">
        <v>-55</v>
      </c>
      <c r="P4023" t="n">
        <v>0.004276</v>
      </c>
      <c r="Q4023" t="n">
        <v>75</v>
      </c>
      <c r="R4023" t="n">
        <v>0.1813</v>
      </c>
      <c r="S4023">
        <f>IMAGE("https://mitra.stanford.edu/kundaje/oak/projects/neuro-variants/variant_position/credible/roussos_2024/variant_figures/roussos_2024.childhood.GABA/rs686870_count_position.png",4,220,900)</f>
        <v/>
      </c>
      <c r="T4023">
        <f>IMAGE("https://mitra.stanford.edu/kundaje/oak/projects/neuro-variants/variant_position/credible/roussos_2024/variant_figures/roussos_2024.childhood.GABA/rs686870_profile_position.png",4,220,900)</f>
        <v/>
      </c>
    </row>
    <row r="4024">
      <c r="A4024" t="inlineStr">
        <is>
          <t>chr9</t>
        </is>
      </c>
      <c r="B4024" t="n">
        <v>26668919</v>
      </c>
      <c r="C4024" t="inlineStr">
        <is>
          <t>T</t>
        </is>
      </c>
      <c r="D4024" t="inlineStr">
        <is>
          <t>C</t>
        </is>
      </c>
      <c r="E4024" t="inlineStr">
        <is>
          <t>rs1434479</t>
        </is>
      </c>
      <c r="F4024" t="n">
        <v>0.03221553868</v>
      </c>
      <c r="G4024" t="n">
        <v>0.24958117368204</v>
      </c>
      <c r="H4024" t="n">
        <v>0.0104561745035982</v>
      </c>
      <c r="I4024" t="n">
        <v>0.5867327467011193</v>
      </c>
      <c r="J4024" t="n">
        <v>0.0272214194467131</v>
      </c>
      <c r="K4024" t="n">
        <v>0.6015574477035154</v>
      </c>
      <c r="L4024" t="b">
        <v>0</v>
      </c>
      <c r="M4024" t="b">
        <v>0</v>
      </c>
      <c r="N4024" t="inlineStr">
        <is>
          <t>alt</t>
        </is>
      </c>
      <c r="O4024" t="n">
        <v>85</v>
      </c>
      <c r="P4024" t="n">
        <v>0.00408</v>
      </c>
      <c r="Q4024" t="n">
        <v>-55</v>
      </c>
      <c r="R4024" t="n">
        <v>0.1063</v>
      </c>
      <c r="S4024">
        <f>IMAGE("https://mitra.stanford.edu/kundaje/oak/projects/neuro-variants/variant_position/credible/roussos_2024/variant_figures/roussos_2024.childhood.GABA/rs1434479_count_position.png",4,220,900)</f>
        <v/>
      </c>
      <c r="T4024">
        <f>IMAGE("https://mitra.stanford.edu/kundaje/oak/projects/neuro-variants/variant_position/credible/roussos_2024/variant_figures/roussos_2024.childhood.GABA/rs1434479_profile_position.png",4,220,900)</f>
        <v/>
      </c>
    </row>
    <row r="4025">
      <c r="A4025" t="inlineStr">
        <is>
          <t>chr9</t>
        </is>
      </c>
      <c r="B4025" t="n">
        <v>26676300</v>
      </c>
      <c r="C4025" t="inlineStr">
        <is>
          <t>T</t>
        </is>
      </c>
      <c r="D4025" t="inlineStr">
        <is>
          <t>C</t>
        </is>
      </c>
      <c r="E4025" t="inlineStr">
        <is>
          <t>rs10967473</t>
        </is>
      </c>
      <c r="F4025" t="n">
        <v>0.0231634584</v>
      </c>
      <c r="G4025" t="n">
        <v>0.3234286198670565</v>
      </c>
      <c r="H4025" t="n">
        <v>0.0114137424717492</v>
      </c>
      <c r="I4025" t="n">
        <v>0.4971134479641608</v>
      </c>
      <c r="J4025" t="n">
        <v>0.0171357667902242</v>
      </c>
      <c r="K4025" t="n">
        <v>0.6760129464207474</v>
      </c>
      <c r="L4025" t="b">
        <v>0</v>
      </c>
      <c r="M4025" t="b">
        <v>0</v>
      </c>
      <c r="N4025" t="inlineStr">
        <is>
          <t>alt</t>
        </is>
      </c>
      <c r="O4025" t="n">
        <v>-80</v>
      </c>
      <c r="P4025" t="n">
        <v>0.00508</v>
      </c>
      <c r="Q4025" t="n">
        <v>5</v>
      </c>
      <c r="R4025" t="n">
        <v>0.001709</v>
      </c>
      <c r="S4025">
        <f>IMAGE("https://mitra.stanford.edu/kundaje/oak/projects/neuro-variants/variant_position/credible/roussos_2024/variant_figures/roussos_2024.childhood.GABA/rs10967473_count_position.png",4,220,900)</f>
        <v/>
      </c>
      <c r="T4025">
        <f>IMAGE("https://mitra.stanford.edu/kundaje/oak/projects/neuro-variants/variant_position/credible/roussos_2024/variant_figures/roussos_2024.childhood.GABA/rs10967473_profile_position.png",4,220,900)</f>
        <v/>
      </c>
    </row>
    <row r="4026">
      <c r="A4026" t="inlineStr">
        <is>
          <t>chr9</t>
        </is>
      </c>
      <c r="B4026" t="n">
        <v>36307780</v>
      </c>
      <c r="C4026" t="inlineStr">
        <is>
          <t>T</t>
        </is>
      </c>
      <c r="D4026" t="inlineStr">
        <is>
          <t>C</t>
        </is>
      </c>
      <c r="E4026" t="inlineStr">
        <is>
          <t>rs7865569</t>
        </is>
      </c>
      <c r="F4026" t="n">
        <v>0.0678608966</v>
      </c>
      <c r="G4026" t="n">
        <v>0.072527445309086</v>
      </c>
      <c r="H4026" t="n">
        <v>0.0130306210751104</v>
      </c>
      <c r="I4026" t="n">
        <v>0.3315375052035719</v>
      </c>
      <c r="J4026" t="n">
        <v>0.1484513413331658</v>
      </c>
      <c r="K4026" t="n">
        <v>0.2822766870517503</v>
      </c>
      <c r="L4026" t="b">
        <v>0</v>
      </c>
      <c r="M4026" t="b">
        <v>0</v>
      </c>
      <c r="N4026" t="inlineStr">
        <is>
          <t>alt</t>
        </is>
      </c>
      <c r="O4026" t="n">
        <v>55</v>
      </c>
      <c r="P4026" t="n">
        <v>0.007008</v>
      </c>
      <c r="Q4026" t="n">
        <v>55</v>
      </c>
      <c r="R4026" t="n">
        <v>0.07776</v>
      </c>
      <c r="S4026">
        <f>IMAGE("https://mitra.stanford.edu/kundaje/oak/projects/neuro-variants/variant_position/credible/roussos_2024/variant_figures/roussos_2024.childhood.GABA/rs7865569_count_position.png",4,220,900)</f>
        <v/>
      </c>
      <c r="T4026">
        <f>IMAGE("https://mitra.stanford.edu/kundaje/oak/projects/neuro-variants/variant_position/credible/roussos_2024/variant_figures/roussos_2024.childhood.GABA/rs7865569_profile_position.png",4,220,900)</f>
        <v/>
      </c>
    </row>
    <row r="4027">
      <c r="A4027" t="inlineStr">
        <is>
          <t>chr9</t>
        </is>
      </c>
      <c r="B4027" t="n">
        <v>36351697</v>
      </c>
      <c r="C4027" t="inlineStr">
        <is>
          <t>G</t>
        </is>
      </c>
      <c r="D4027" t="inlineStr">
        <is>
          <t>A</t>
        </is>
      </c>
      <c r="E4027" t="inlineStr">
        <is>
          <t>rs10972866</t>
        </is>
      </c>
      <c r="F4027" t="n">
        <v>-0.1445790372</v>
      </c>
      <c r="G4027" t="n">
        <v>0.0118155181772346</v>
      </c>
      <c r="H4027" t="n">
        <v>0.0187152165109282</v>
      </c>
      <c r="I4027" t="n">
        <v>0.1122686765846585</v>
      </c>
      <c r="J4027" t="n">
        <v>0.0330097798998973</v>
      </c>
      <c r="K4027" t="n">
        <v>0.5988067482751445</v>
      </c>
      <c r="L4027" t="b">
        <v>1</v>
      </c>
      <c r="M4027" t="b">
        <v>0</v>
      </c>
      <c r="N4027" t="inlineStr">
        <is>
          <t>ref</t>
        </is>
      </c>
      <c r="O4027" t="n">
        <v>-50</v>
      </c>
      <c r="P4027" t="n">
        <v>0.01024</v>
      </c>
      <c r="Q4027" t="n">
        <v>65</v>
      </c>
      <c r="R4027" t="n">
        <v>0.12274</v>
      </c>
      <c r="S4027">
        <f>IMAGE("https://mitra.stanford.edu/kundaje/oak/projects/neuro-variants/variant_position/credible/roussos_2024/variant_figures/roussos_2024.childhood.GABA/rs10972866_count_position.png",4,220,900)</f>
        <v/>
      </c>
      <c r="T4027">
        <f>IMAGE("https://mitra.stanford.edu/kundaje/oak/projects/neuro-variants/variant_position/credible/roussos_2024/variant_figures/roussos_2024.childhood.GABA/rs10972866_profile_position.png",4,220,900)</f>
        <v/>
      </c>
    </row>
    <row r="4028">
      <c r="A4028" t="inlineStr">
        <is>
          <t>chr9</t>
        </is>
      </c>
      <c r="B4028" t="n">
        <v>36399023</v>
      </c>
      <c r="C4028" t="inlineStr">
        <is>
          <t>T</t>
        </is>
      </c>
      <c r="D4028" t="inlineStr">
        <is>
          <t>C</t>
        </is>
      </c>
      <c r="E4028" t="inlineStr">
        <is>
          <t>rs4144593</t>
        </is>
      </c>
      <c r="F4028" t="n">
        <v>-0.10292018</v>
      </c>
      <c r="G4028" t="n">
        <v>0.0412548391142293</v>
      </c>
      <c r="H4028" t="n">
        <v>0.0360745160251806</v>
      </c>
      <c r="I4028" t="n">
        <v>0.0059087678226772</v>
      </c>
      <c r="J4028" t="n">
        <v>0.0640070365018533</v>
      </c>
      <c r="K4028" t="n">
        <v>0.4377653591169776</v>
      </c>
      <c r="L4028" t="b">
        <v>1</v>
      </c>
      <c r="M4028" t="b">
        <v>1</v>
      </c>
      <c r="N4028" t="inlineStr">
        <is>
          <t>ref</t>
        </is>
      </c>
      <c r="O4028" t="n">
        <v>5</v>
      </c>
      <c r="P4028" t="n">
        <v>0.000641</v>
      </c>
      <c r="Q4028" t="n">
        <v>5</v>
      </c>
      <c r="R4028" t="n">
        <v>0.0007324</v>
      </c>
      <c r="S4028">
        <f>IMAGE("https://mitra.stanford.edu/kundaje/oak/projects/neuro-variants/variant_position/credible/roussos_2024/variant_figures/roussos_2024.childhood.GABA/rs4144593_count_position.png",4,220,900)</f>
        <v/>
      </c>
      <c r="T4028">
        <f>IMAGE("https://mitra.stanford.edu/kundaje/oak/projects/neuro-variants/variant_position/credible/roussos_2024/variant_figures/roussos_2024.childhood.GABA/rs4144593_profile_position.png",4,220,900)</f>
        <v/>
      </c>
    </row>
    <row r="4029">
      <c r="A4029" t="inlineStr">
        <is>
          <t>chr9</t>
        </is>
      </c>
      <c r="B4029" t="n">
        <v>36409392</v>
      </c>
      <c r="C4029" t="inlineStr">
        <is>
          <t>T</t>
        </is>
      </c>
      <c r="D4029" t="inlineStr">
        <is>
          <t>C</t>
        </is>
      </c>
      <c r="E4029" t="inlineStr">
        <is>
          <t>rs10814385</t>
        </is>
      </c>
      <c r="F4029" t="n">
        <v>-0.076906747</v>
      </c>
      <c r="G4029" t="n">
        <v>0.0596831333356889</v>
      </c>
      <c r="H4029" t="n">
        <v>0.0161860002235922</v>
      </c>
      <c r="I4029" t="n">
        <v>0.1929231941056177</v>
      </c>
      <c r="J4029" t="n">
        <v>0.0129086301857552</v>
      </c>
      <c r="K4029" t="n">
        <v>0.750234792548631</v>
      </c>
      <c r="L4029" t="b">
        <v>0</v>
      </c>
      <c r="M4029" t="b">
        <v>0</v>
      </c>
      <c r="N4029" t="inlineStr">
        <is>
          <t>ref</t>
        </is>
      </c>
      <c r="O4029" t="n">
        <v>10</v>
      </c>
      <c r="P4029" t="n">
        <v>0.000595</v>
      </c>
      <c r="Q4029" t="n">
        <v>100</v>
      </c>
      <c r="R4029" t="n">
        <v>0.1305</v>
      </c>
      <c r="S4029">
        <f>IMAGE("https://mitra.stanford.edu/kundaje/oak/projects/neuro-variants/variant_position/credible/roussos_2024/variant_figures/roussos_2024.childhood.GABA/rs10814385_count_position.png",4,220,900)</f>
        <v/>
      </c>
      <c r="T4029">
        <f>IMAGE("https://mitra.stanford.edu/kundaje/oak/projects/neuro-variants/variant_position/credible/roussos_2024/variant_figures/roussos_2024.childhood.GABA/rs10814385_profile_position.png",4,220,900)</f>
        <v/>
      </c>
    </row>
    <row r="4030">
      <c r="A4030" t="inlineStr">
        <is>
          <t>chr9</t>
        </is>
      </c>
      <c r="B4030" t="n">
        <v>36415389</v>
      </c>
      <c r="C4030" t="inlineStr">
        <is>
          <t>T</t>
        </is>
      </c>
      <c r="D4030" t="inlineStr">
        <is>
          <t>C</t>
        </is>
      </c>
      <c r="E4030" t="inlineStr">
        <is>
          <t>rs2483657</t>
        </is>
      </c>
      <c r="F4030" t="n">
        <v>0.0043438959599999</v>
      </c>
      <c r="G4030" t="n">
        <v>0.7309546422043051</v>
      </c>
      <c r="H4030" t="n">
        <v>0.0213657093735746</v>
      </c>
      <c r="I4030" t="n">
        <v>0.0574323821560951</v>
      </c>
      <c r="J4030" t="n">
        <v>0.09543150928776351</v>
      </c>
      <c r="K4030" t="n">
        <v>0.3639059269439968</v>
      </c>
      <c r="L4030" t="b">
        <v>0</v>
      </c>
      <c r="M4030" t="b">
        <v>0</v>
      </c>
      <c r="N4030" t="inlineStr">
        <is>
          <t>alt</t>
        </is>
      </c>
      <c r="O4030" t="n">
        <v>95</v>
      </c>
      <c r="P4030" t="n">
        <v>0.00145</v>
      </c>
      <c r="Q4030" t="n">
        <v>100</v>
      </c>
      <c r="R4030" t="n">
        <v>0.07983</v>
      </c>
      <c r="S4030">
        <f>IMAGE("https://mitra.stanford.edu/kundaje/oak/projects/neuro-variants/variant_position/credible/roussos_2024/variant_figures/roussos_2024.childhood.GABA/rs2483657_count_position.png",4,220,900)</f>
        <v/>
      </c>
      <c r="T4030">
        <f>IMAGE("https://mitra.stanford.edu/kundaje/oak/projects/neuro-variants/variant_position/credible/roussos_2024/variant_figures/roussos_2024.childhood.GABA/rs2483657_profile_position.png",4,220,900)</f>
        <v/>
      </c>
    </row>
    <row r="4031">
      <c r="A4031" t="inlineStr">
        <is>
          <t>chr9</t>
        </is>
      </c>
      <c r="B4031" t="n">
        <v>36422433</v>
      </c>
      <c r="C4031" t="inlineStr">
        <is>
          <t>A</t>
        </is>
      </c>
      <c r="D4031" t="inlineStr">
        <is>
          <t>C</t>
        </is>
      </c>
      <c r="E4031" t="inlineStr">
        <is>
          <t>rs4446808</t>
        </is>
      </c>
      <c r="F4031" t="n">
        <v>-0.01093654562</v>
      </c>
      <c r="G4031" t="n">
        <v>0.6182380467440409</v>
      </c>
      <c r="H4031" t="n">
        <v>0.0369071064958612</v>
      </c>
      <c r="I4031" t="n">
        <v>0.005207063605162</v>
      </c>
      <c r="J4031" t="n">
        <v>0.0037643190718518</v>
      </c>
      <c r="K4031" t="n">
        <v>0.8334949311969929</v>
      </c>
      <c r="L4031" t="b">
        <v>0</v>
      </c>
      <c r="M4031" t="b">
        <v>0</v>
      </c>
      <c r="N4031" t="inlineStr">
        <is>
          <t>ref</t>
        </is>
      </c>
      <c r="O4031" t="n">
        <v>-80</v>
      </c>
      <c r="P4031" t="n">
        <v>0.01743</v>
      </c>
      <c r="Q4031" t="n">
        <v>-100</v>
      </c>
      <c r="R4031" t="n">
        <v>0.01434</v>
      </c>
      <c r="S4031">
        <f>IMAGE("https://mitra.stanford.edu/kundaje/oak/projects/neuro-variants/variant_position/credible/roussos_2024/variant_figures/roussos_2024.childhood.GABA/rs4446808_count_position.png",4,220,900)</f>
        <v/>
      </c>
      <c r="T4031">
        <f>IMAGE("https://mitra.stanford.edu/kundaje/oak/projects/neuro-variants/variant_position/credible/roussos_2024/variant_figures/roussos_2024.childhood.GABA/rs4446808_profile_position.png",4,220,900)</f>
        <v/>
      </c>
    </row>
    <row r="4032">
      <c r="A4032" t="inlineStr">
        <is>
          <t>chr9</t>
        </is>
      </c>
      <c r="B4032" t="n">
        <v>36435008</v>
      </c>
      <c r="C4032" t="inlineStr">
        <is>
          <t>C</t>
        </is>
      </c>
      <c r="D4032" t="inlineStr">
        <is>
          <t>T</t>
        </is>
      </c>
      <c r="E4032" t="inlineStr">
        <is>
          <t>rs6476556</t>
        </is>
      </c>
      <c r="F4032" t="n">
        <v>-0.04564217274</v>
      </c>
      <c r="G4032" t="n">
        <v>0.1844333418418774</v>
      </c>
      <c r="H4032" t="n">
        <v>0.0103494544949368</v>
      </c>
      <c r="I4032" t="n">
        <v>0.5974120455806659</v>
      </c>
      <c r="J4032" t="n">
        <v>0.1006984146928859</v>
      </c>
      <c r="K4032" t="n">
        <v>0.3806468379283955</v>
      </c>
      <c r="L4032" t="b">
        <v>0</v>
      </c>
      <c r="M4032" t="b">
        <v>0</v>
      </c>
      <c r="N4032" t="inlineStr">
        <is>
          <t>ref</t>
        </is>
      </c>
      <c r="O4032" t="n">
        <v>100</v>
      </c>
      <c r="P4032" t="n">
        <v>0.003452</v>
      </c>
      <c r="Q4032" t="n">
        <v>85</v>
      </c>
      <c r="R4032" t="n">
        <v>0.06464</v>
      </c>
      <c r="S4032">
        <f>IMAGE("https://mitra.stanford.edu/kundaje/oak/projects/neuro-variants/variant_position/credible/roussos_2024/variant_figures/roussos_2024.childhood.GABA/rs6476556_count_position.png",4,220,900)</f>
        <v/>
      </c>
      <c r="T4032">
        <f>IMAGE("https://mitra.stanford.edu/kundaje/oak/projects/neuro-variants/variant_position/credible/roussos_2024/variant_figures/roussos_2024.childhood.GABA/rs6476556_profile_position.png",4,220,900)</f>
        <v/>
      </c>
    </row>
    <row r="4033">
      <c r="A4033" t="inlineStr">
        <is>
          <t>chr9</t>
        </is>
      </c>
      <c r="B4033" t="n">
        <v>36442935</v>
      </c>
      <c r="C4033" t="inlineStr">
        <is>
          <t>G</t>
        </is>
      </c>
      <c r="D4033" t="inlineStr">
        <is>
          <t>C</t>
        </is>
      </c>
      <c r="E4033" t="inlineStr">
        <is>
          <t>rs7856743</t>
        </is>
      </c>
      <c r="F4033" t="n">
        <v>0.00246705472</v>
      </c>
      <c r="G4033" t="n">
        <v>0.5768425209521211</v>
      </c>
      <c r="H4033" t="n">
        <v>0.0100533945137923</v>
      </c>
      <c r="I4033" t="n">
        <v>0.6334824943758633</v>
      </c>
      <c r="J4033" t="n">
        <v>0.2443058784109232</v>
      </c>
      <c r="K4033" t="n">
        <v>0.1726889523134503</v>
      </c>
      <c r="L4033" t="b">
        <v>0</v>
      </c>
      <c r="M4033" t="b">
        <v>0</v>
      </c>
      <c r="N4033" t="inlineStr">
        <is>
          <t>alt</t>
        </is>
      </c>
      <c r="O4033" t="n">
        <v>-80</v>
      </c>
      <c r="P4033" t="n">
        <v>0.01788</v>
      </c>
      <c r="Q4033" t="n">
        <v>-80</v>
      </c>
      <c r="R4033" t="n">
        <v>0.1648</v>
      </c>
      <c r="S4033">
        <f>IMAGE("https://mitra.stanford.edu/kundaje/oak/projects/neuro-variants/variant_position/credible/roussos_2024/variant_figures/roussos_2024.childhood.GABA/rs7856743_count_position.png",4,220,900)</f>
        <v/>
      </c>
      <c r="T4033">
        <f>IMAGE("https://mitra.stanford.edu/kundaje/oak/projects/neuro-variants/variant_position/credible/roussos_2024/variant_figures/roussos_2024.childhood.GABA/rs7856743_profile_position.png",4,220,900)</f>
        <v/>
      </c>
    </row>
    <row r="4034">
      <c r="A4034" t="inlineStr">
        <is>
          <t>chr9</t>
        </is>
      </c>
      <c r="B4034" t="n">
        <v>80492272</v>
      </c>
      <c r="C4034" t="inlineStr">
        <is>
          <t>A</t>
        </is>
      </c>
      <c r="D4034" t="inlineStr">
        <is>
          <t>G</t>
        </is>
      </c>
      <c r="E4034" t="inlineStr">
        <is>
          <t>rs11138693</t>
        </is>
      </c>
      <c r="F4034" t="n">
        <v>-0.0362813374</v>
      </c>
      <c r="G4034" t="n">
        <v>0.2482812819826018</v>
      </c>
      <c r="H4034" t="n">
        <v>0.0249272598913775</v>
      </c>
      <c r="I4034" t="n">
        <v>0.0288415500194808</v>
      </c>
      <c r="J4034" t="n">
        <v>0.0646667085506062</v>
      </c>
      <c r="K4034" t="n">
        <v>0.4663469921173055</v>
      </c>
      <c r="L4034" t="b">
        <v>0</v>
      </c>
      <c r="M4034" t="b">
        <v>0</v>
      </c>
      <c r="N4034" t="inlineStr">
        <is>
          <t>ref</t>
        </is>
      </c>
      <c r="O4034" t="n">
        <v>-55</v>
      </c>
      <c r="P4034" t="n">
        <v>0.01032</v>
      </c>
      <c r="Q4034" t="n">
        <v>95</v>
      </c>
      <c r="R4034" t="n">
        <v>0.06696000000000001</v>
      </c>
      <c r="S4034">
        <f>IMAGE("https://mitra.stanford.edu/kundaje/oak/projects/neuro-variants/variant_position/credible/roussos_2024/variant_figures/roussos_2024.childhood.GABA/rs11138693_count_position.png",4,220,900)</f>
        <v/>
      </c>
      <c r="T4034">
        <f>IMAGE("https://mitra.stanford.edu/kundaje/oak/projects/neuro-variants/variant_position/credible/roussos_2024/variant_figures/roussos_2024.childhood.GABA/rs11138693_profile_position.png",4,220,900)</f>
        <v/>
      </c>
    </row>
    <row r="4035">
      <c r="A4035" t="inlineStr">
        <is>
          <t>chr9</t>
        </is>
      </c>
      <c r="B4035" t="n">
        <v>80492929</v>
      </c>
      <c r="C4035" t="inlineStr">
        <is>
          <t>C</t>
        </is>
      </c>
      <c r="D4035" t="inlineStr">
        <is>
          <t>T</t>
        </is>
      </c>
      <c r="E4035" t="inlineStr">
        <is>
          <t>rs10867555</t>
        </is>
      </c>
      <c r="F4035" t="n">
        <v>-0.00325281266</v>
      </c>
      <c r="G4035" t="n">
        <v>0.8712229596691987</v>
      </c>
      <c r="H4035" t="n">
        <v>0.0206342063510027</v>
      </c>
      <c r="I4035" t="n">
        <v>0.066098616190051</v>
      </c>
      <c r="J4035" t="n">
        <v>0.0598217838369876</v>
      </c>
      <c r="K4035" t="n">
        <v>0.4671608760708312</v>
      </c>
      <c r="L4035" t="b">
        <v>0</v>
      </c>
      <c r="M4035" t="b">
        <v>0</v>
      </c>
      <c r="N4035" t="inlineStr">
        <is>
          <t>ref</t>
        </is>
      </c>
      <c r="O4035" t="n">
        <v>100</v>
      </c>
      <c r="P4035" t="n">
        <v>0.00406</v>
      </c>
      <c r="Q4035" t="n">
        <v>100</v>
      </c>
      <c r="R4035" t="n">
        <v>0.1881</v>
      </c>
      <c r="S4035">
        <f>IMAGE("https://mitra.stanford.edu/kundaje/oak/projects/neuro-variants/variant_position/credible/roussos_2024/variant_figures/roussos_2024.childhood.GABA/rs10867555_count_position.png",4,220,900)</f>
        <v/>
      </c>
      <c r="T4035">
        <f>IMAGE("https://mitra.stanford.edu/kundaje/oak/projects/neuro-variants/variant_position/credible/roussos_2024/variant_figures/roussos_2024.childhood.GABA/rs10867555_profile_position.png",4,220,900)</f>
        <v/>
      </c>
    </row>
    <row r="4036">
      <c r="A4036" t="inlineStr">
        <is>
          <t>chr9</t>
        </is>
      </c>
      <c r="B4036" t="n">
        <v>80505747</v>
      </c>
      <c r="C4036" t="inlineStr">
        <is>
          <t>C</t>
        </is>
      </c>
      <c r="D4036" t="inlineStr">
        <is>
          <t>T</t>
        </is>
      </c>
      <c r="E4036" t="inlineStr">
        <is>
          <t>rs11138702</t>
        </is>
      </c>
      <c r="F4036" t="n">
        <v>-0.06557348199999991</v>
      </c>
      <c r="G4036" t="n">
        <v>0.0873153917480749</v>
      </c>
      <c r="H4036" t="n">
        <v>0.0125796828755722</v>
      </c>
      <c r="I4036" t="n">
        <v>0.3870661696640327</v>
      </c>
      <c r="J4036" t="n">
        <v>0.007934912357856301</v>
      </c>
      <c r="K4036" t="n">
        <v>0.7677397177577067</v>
      </c>
      <c r="L4036" t="b">
        <v>0</v>
      </c>
      <c r="M4036" t="b">
        <v>0</v>
      </c>
      <c r="N4036" t="inlineStr">
        <is>
          <t>ref</t>
        </is>
      </c>
      <c r="O4036" t="n">
        <v>80</v>
      </c>
      <c r="P4036" t="n">
        <v>0.002909</v>
      </c>
      <c r="Q4036" t="n">
        <v>-100</v>
      </c>
      <c r="R4036" t="n">
        <v>0.1217</v>
      </c>
      <c r="S4036">
        <f>IMAGE("https://mitra.stanford.edu/kundaje/oak/projects/neuro-variants/variant_position/credible/roussos_2024/variant_figures/roussos_2024.childhood.GABA/rs11138702_count_position.png",4,220,900)</f>
        <v/>
      </c>
      <c r="T4036">
        <f>IMAGE("https://mitra.stanford.edu/kundaje/oak/projects/neuro-variants/variant_position/credible/roussos_2024/variant_figures/roussos_2024.childhood.GABA/rs11138702_profile_position.png",4,220,900)</f>
        <v/>
      </c>
    </row>
    <row r="4037">
      <c r="A4037" t="inlineStr">
        <is>
          <t>chr9</t>
        </is>
      </c>
      <c r="B4037" t="n">
        <v>80564618</v>
      </c>
      <c r="C4037" t="inlineStr">
        <is>
          <t>C</t>
        </is>
      </c>
      <c r="D4037" t="inlineStr">
        <is>
          <t>A</t>
        </is>
      </c>
      <c r="E4037" t="inlineStr">
        <is>
          <t>rs145585805</t>
        </is>
      </c>
      <c r="F4037" t="n">
        <v>-0.0392830901999999</v>
      </c>
      <c r="G4037" t="n">
        <v>0.2170573498851522</v>
      </c>
      <c r="H4037" t="n">
        <v>0.0117747654990063</v>
      </c>
      <c r="I4037" t="n">
        <v>0.460138512620565</v>
      </c>
      <c r="J4037" t="n">
        <v>0.3441603317208016</v>
      </c>
      <c r="K4037" t="n">
        <v>0.1112641415688412</v>
      </c>
      <c r="L4037" t="b">
        <v>0</v>
      </c>
      <c r="M4037" t="b">
        <v>0</v>
      </c>
      <c r="N4037" t="inlineStr">
        <is>
          <t>ref</t>
        </is>
      </c>
      <c r="O4037" t="n">
        <v>-100</v>
      </c>
      <c r="P4037" t="n">
        <v>0.02304</v>
      </c>
      <c r="Q4037" t="n">
        <v>-100</v>
      </c>
      <c r="R4037" t="n">
        <v>0.2227</v>
      </c>
      <c r="S4037">
        <f>IMAGE("https://mitra.stanford.edu/kundaje/oak/projects/neuro-variants/variant_position/credible/roussos_2024/variant_figures/roussos_2024.childhood.GABA/rs145585805_count_position.png",4,220,900)</f>
        <v/>
      </c>
      <c r="T4037">
        <f>IMAGE("https://mitra.stanford.edu/kundaje/oak/projects/neuro-variants/variant_position/credible/roussos_2024/variant_figures/roussos_2024.childhood.GABA/rs145585805_profile_position.png",4,220,900)</f>
        <v/>
      </c>
    </row>
    <row r="4038">
      <c r="A4038" t="inlineStr">
        <is>
          <t>chr9</t>
        </is>
      </c>
      <c r="B4038" t="n">
        <v>82145230</v>
      </c>
      <c r="C4038" t="inlineStr">
        <is>
          <t>A</t>
        </is>
      </c>
      <c r="D4038" t="inlineStr">
        <is>
          <t>G</t>
        </is>
      </c>
      <c r="E4038" t="inlineStr">
        <is>
          <t>rs7853639</t>
        </is>
      </c>
      <c r="F4038" t="n">
        <v>0.01295825126</v>
      </c>
      <c r="G4038" t="n">
        <v>0.5587159062271857</v>
      </c>
      <c r="H4038" t="n">
        <v>0.0140869086680654</v>
      </c>
      <c r="I4038" t="n">
        <v>0.2773532224605011</v>
      </c>
      <c r="J4038" t="n">
        <v>0.0542470314757805</v>
      </c>
      <c r="K4038" t="n">
        <v>0.4953943650265027</v>
      </c>
      <c r="L4038" t="b">
        <v>0</v>
      </c>
      <c r="M4038" t="b">
        <v>0</v>
      </c>
      <c r="N4038" t="inlineStr">
        <is>
          <t>alt</t>
        </is>
      </c>
      <c r="O4038" t="n">
        <v>-65</v>
      </c>
      <c r="P4038" t="n">
        <v>0.004684</v>
      </c>
      <c r="Q4038" t="n">
        <v>-50</v>
      </c>
      <c r="R4038" t="n">
        <v>0.02722</v>
      </c>
      <c r="S4038">
        <f>IMAGE("https://mitra.stanford.edu/kundaje/oak/projects/neuro-variants/variant_position/credible/roussos_2024/variant_figures/roussos_2024.childhood.GABA/rs7853639_count_position.png",4,220,900)</f>
        <v/>
      </c>
      <c r="T4038">
        <f>IMAGE("https://mitra.stanford.edu/kundaje/oak/projects/neuro-variants/variant_position/credible/roussos_2024/variant_figures/roussos_2024.childhood.GABA/rs7853639_profile_position.png",4,220,900)</f>
        <v/>
      </c>
    </row>
    <row r="4039">
      <c r="A4039" t="inlineStr">
        <is>
          <t>chr9</t>
        </is>
      </c>
      <c r="B4039" t="n">
        <v>82148110</v>
      </c>
      <c r="C4039" t="inlineStr">
        <is>
          <t>C</t>
        </is>
      </c>
      <c r="D4039" t="inlineStr">
        <is>
          <t>T</t>
        </is>
      </c>
      <c r="E4039" t="inlineStr">
        <is>
          <t>rs11139500</t>
        </is>
      </c>
      <c r="F4039" t="n">
        <v>-0.0992285366</v>
      </c>
      <c r="G4039" t="n">
        <v>0.0315757640123857</v>
      </c>
      <c r="H4039" t="n">
        <v>0.0168760499844421</v>
      </c>
      <c r="I4039" t="n">
        <v>0.1490967393965944</v>
      </c>
      <c r="J4039" t="n">
        <v>0.2788381395154028</v>
      </c>
      <c r="K4039" t="n">
        <v>0.1465611746944216</v>
      </c>
      <c r="L4039" t="b">
        <v>0</v>
      </c>
      <c r="M4039" t="b">
        <v>0</v>
      </c>
      <c r="N4039" t="inlineStr">
        <is>
          <t>ref</t>
        </is>
      </c>
      <c r="O4039" t="n">
        <v>30</v>
      </c>
      <c r="P4039" t="n">
        <v>0.01218</v>
      </c>
      <c r="Q4039" t="n">
        <v>30</v>
      </c>
      <c r="R4039" t="n">
        <v>0.103</v>
      </c>
      <c r="S4039">
        <f>IMAGE("https://mitra.stanford.edu/kundaje/oak/projects/neuro-variants/variant_position/credible/roussos_2024/variant_figures/roussos_2024.childhood.GABA/rs11139500_count_position.png",4,220,900)</f>
        <v/>
      </c>
      <c r="T4039">
        <f>IMAGE("https://mitra.stanford.edu/kundaje/oak/projects/neuro-variants/variant_position/credible/roussos_2024/variant_figures/roussos_2024.childhood.GABA/rs11139500_profile_position.png",4,220,900)</f>
        <v/>
      </c>
    </row>
    <row r="4040">
      <c r="A4040" t="inlineStr">
        <is>
          <t>chr9</t>
        </is>
      </c>
      <c r="B4040" t="n">
        <v>82151895</v>
      </c>
      <c r="C4040" t="inlineStr">
        <is>
          <t>A</t>
        </is>
      </c>
      <c r="D4040" t="inlineStr">
        <is>
          <t>G</t>
        </is>
      </c>
      <c r="E4040" t="inlineStr">
        <is>
          <t>rs1409880</t>
        </is>
      </c>
      <c r="F4040" t="n">
        <v>0.008110216131999999</v>
      </c>
      <c r="G4040" t="n">
        <v>0.4757800543203068</v>
      </c>
      <c r="H4040" t="n">
        <v>0.0111551139169129</v>
      </c>
      <c r="I4040" t="n">
        <v>0.5103959085159969</v>
      </c>
      <c r="J4040" t="n">
        <v>0.0514826914619588</v>
      </c>
      <c r="K4040" t="n">
        <v>0.4863648624541527</v>
      </c>
      <c r="L4040" t="b">
        <v>0</v>
      </c>
      <c r="M4040" t="b">
        <v>0</v>
      </c>
      <c r="N4040" t="inlineStr">
        <is>
          <t>alt</t>
        </is>
      </c>
      <c r="O4040" t="n">
        <v>-50</v>
      </c>
      <c r="P4040" t="n">
        <v>0.006332</v>
      </c>
      <c r="Q4040" t="n">
        <v>75</v>
      </c>
      <c r="R4040" t="n">
        <v>0.1085</v>
      </c>
      <c r="S4040">
        <f>IMAGE("https://mitra.stanford.edu/kundaje/oak/projects/neuro-variants/variant_position/credible/roussos_2024/variant_figures/roussos_2024.childhood.GABA/rs1409880_count_position.png",4,220,900)</f>
        <v/>
      </c>
      <c r="T4040">
        <f>IMAGE("https://mitra.stanford.edu/kundaje/oak/projects/neuro-variants/variant_position/credible/roussos_2024/variant_figures/roussos_2024.childhood.GABA/rs1409880_profile_position.png",4,220,900)</f>
        <v/>
      </c>
    </row>
    <row r="4041">
      <c r="A4041" t="inlineStr">
        <is>
          <t>chr9</t>
        </is>
      </c>
      <c r="B4041" t="n">
        <v>82173221</v>
      </c>
      <c r="C4041" t="inlineStr">
        <is>
          <t>C</t>
        </is>
      </c>
      <c r="D4041" t="inlineStr">
        <is>
          <t>A</t>
        </is>
      </c>
      <c r="E4041" t="inlineStr">
        <is>
          <t>rs2788116</t>
        </is>
      </c>
      <c r="F4041" t="n">
        <v>-0.0435546624</v>
      </c>
      <c r="G4041" t="n">
        <v>0.1945851712561186</v>
      </c>
      <c r="H4041" t="n">
        <v>0.0097875241146958</v>
      </c>
      <c r="I4041" t="n">
        <v>0.6650840617253364</v>
      </c>
      <c r="J4041" t="n">
        <v>0.0027475864379803</v>
      </c>
      <c r="K4041" t="n">
        <v>0.8658613004104877</v>
      </c>
      <c r="L4041" t="b">
        <v>0</v>
      </c>
      <c r="M4041" t="b">
        <v>0</v>
      </c>
      <c r="N4041" t="inlineStr">
        <is>
          <t>ref</t>
        </is>
      </c>
      <c r="O4041" t="n">
        <v>45</v>
      </c>
      <c r="P4041" t="n">
        <v>0.011246</v>
      </c>
      <c r="Q4041" t="n">
        <v>95</v>
      </c>
      <c r="R4041" t="n">
        <v>0.05615</v>
      </c>
      <c r="S4041">
        <f>IMAGE("https://mitra.stanford.edu/kundaje/oak/projects/neuro-variants/variant_position/credible/roussos_2024/variant_figures/roussos_2024.childhood.GABA/rs2788116_count_position.png",4,220,900)</f>
        <v/>
      </c>
      <c r="T4041">
        <f>IMAGE("https://mitra.stanford.edu/kundaje/oak/projects/neuro-variants/variant_position/credible/roussos_2024/variant_figures/roussos_2024.childhood.GABA/rs2788116_profile_position.png",4,220,900)</f>
        <v/>
      </c>
    </row>
    <row r="4042">
      <c r="A4042" t="inlineStr">
        <is>
          <t>chr9</t>
        </is>
      </c>
      <c r="B4042" t="n">
        <v>82176422</v>
      </c>
      <c r="C4042" t="inlineStr">
        <is>
          <t>C</t>
        </is>
      </c>
      <c r="D4042" t="inlineStr">
        <is>
          <t>T</t>
        </is>
      </c>
      <c r="E4042" t="inlineStr">
        <is>
          <t>rs2767717</t>
        </is>
      </c>
      <c r="F4042" t="n">
        <v>0.00706657186</v>
      </c>
      <c r="G4042" t="n">
        <v>0.3291250492042776</v>
      </c>
      <c r="H4042" t="n">
        <v>0.0126700010390316</v>
      </c>
      <c r="I4042" t="n">
        <v>0.3725077437702581</v>
      </c>
      <c r="J4042" t="n">
        <v>0.0043349877489475</v>
      </c>
      <c r="K4042" t="n">
        <v>0.8246936667253589</v>
      </c>
      <c r="L4042" t="b">
        <v>0</v>
      </c>
      <c r="M4042" t="b">
        <v>0</v>
      </c>
      <c r="N4042" t="inlineStr">
        <is>
          <t>alt</t>
        </is>
      </c>
      <c r="O4042" t="n">
        <v>-100</v>
      </c>
      <c r="P4042" t="n">
        <v>0.008675</v>
      </c>
      <c r="Q4042" t="n">
        <v>20</v>
      </c>
      <c r="R4042" t="n">
        <v>0.01303</v>
      </c>
      <c r="S4042">
        <f>IMAGE("https://mitra.stanford.edu/kundaje/oak/projects/neuro-variants/variant_position/credible/roussos_2024/variant_figures/roussos_2024.childhood.GABA/rs2767717_count_position.png",4,220,900)</f>
        <v/>
      </c>
      <c r="T4042">
        <f>IMAGE("https://mitra.stanford.edu/kundaje/oak/projects/neuro-variants/variant_position/credible/roussos_2024/variant_figures/roussos_2024.childhood.GABA/rs2767717_profile_position.png",4,220,900)</f>
        <v/>
      </c>
    </row>
    <row r="4043">
      <c r="A4043" t="inlineStr">
        <is>
          <t>chr9</t>
        </is>
      </c>
      <c r="B4043" t="n">
        <v>82178446</v>
      </c>
      <c r="C4043" t="inlineStr">
        <is>
          <t>C</t>
        </is>
      </c>
      <c r="D4043" t="inlineStr">
        <is>
          <t>T</t>
        </is>
      </c>
      <c r="E4043" t="inlineStr">
        <is>
          <t>rs2767715</t>
        </is>
      </c>
      <c r="F4043" t="n">
        <v>-0.0131383437599999</v>
      </c>
      <c r="G4043" t="n">
        <v>0.5700897999833848</v>
      </c>
      <c r="H4043" t="n">
        <v>0.0120677150690274</v>
      </c>
      <c r="I4043" t="n">
        <v>0.4293355684959986</v>
      </c>
      <c r="J4043" t="n">
        <v>0.0001026156520282</v>
      </c>
      <c r="K4043" t="n">
        <v>0.9780986374688804</v>
      </c>
      <c r="L4043" t="b">
        <v>0</v>
      </c>
      <c r="M4043" t="b">
        <v>0</v>
      </c>
      <c r="N4043" t="inlineStr">
        <is>
          <t>ref</t>
        </is>
      </c>
      <c r="O4043" t="n">
        <v>45</v>
      </c>
      <c r="P4043" t="n">
        <v>0.003128</v>
      </c>
      <c r="Q4043" t="n">
        <v>55</v>
      </c>
      <c r="R4043" t="n">
        <v>0.0425</v>
      </c>
      <c r="S4043">
        <f>IMAGE("https://mitra.stanford.edu/kundaje/oak/projects/neuro-variants/variant_position/credible/roussos_2024/variant_figures/roussos_2024.childhood.GABA/rs2767715_count_position.png",4,220,900)</f>
        <v/>
      </c>
      <c r="T4043">
        <f>IMAGE("https://mitra.stanford.edu/kundaje/oak/projects/neuro-variants/variant_position/credible/roussos_2024/variant_figures/roussos_2024.childhood.GABA/rs2767715_profile_position.png",4,220,900)</f>
        <v/>
      </c>
    </row>
    <row r="4044">
      <c r="A4044" t="inlineStr">
        <is>
          <t>chr9</t>
        </is>
      </c>
      <c r="B4044" t="n">
        <v>82184622</v>
      </c>
      <c r="C4044" t="inlineStr">
        <is>
          <t>A</t>
        </is>
      </c>
      <c r="D4044" t="inlineStr">
        <is>
          <t>C</t>
        </is>
      </c>
      <c r="E4044" t="inlineStr">
        <is>
          <t>rs2767713</t>
        </is>
      </c>
      <c r="F4044" t="n">
        <v>-0.0403902342</v>
      </c>
      <c r="G4044" t="n">
        <v>0.2224326588057878</v>
      </c>
      <c r="H4044" t="n">
        <v>0.0156979497053204</v>
      </c>
      <c r="I4044" t="n">
        <v>0.1911096447800888</v>
      </c>
      <c r="J4044" t="n">
        <v>0.0265659357919205</v>
      </c>
      <c r="K4044" t="n">
        <v>0.6084442388097392</v>
      </c>
      <c r="L4044" t="b">
        <v>0</v>
      </c>
      <c r="M4044" t="b">
        <v>0</v>
      </c>
      <c r="N4044" t="inlineStr">
        <is>
          <t>ref</t>
        </is>
      </c>
      <c r="O4044" t="n">
        <v>-40</v>
      </c>
      <c r="P4044" t="n">
        <v>0.008070000000000001</v>
      </c>
      <c r="Q4044" t="n">
        <v>65</v>
      </c>
      <c r="R4044" t="n">
        <v>0.0575</v>
      </c>
      <c r="S4044">
        <f>IMAGE("https://mitra.stanford.edu/kundaje/oak/projects/neuro-variants/variant_position/credible/roussos_2024/variant_figures/roussos_2024.childhood.GABA/rs2767713_count_position.png",4,220,900)</f>
        <v/>
      </c>
      <c r="T4044">
        <f>IMAGE("https://mitra.stanford.edu/kundaje/oak/projects/neuro-variants/variant_position/credible/roussos_2024/variant_figures/roussos_2024.childhood.GABA/rs2767713_profile_position.png",4,220,900)</f>
        <v/>
      </c>
    </row>
    <row r="4045">
      <c r="A4045" t="inlineStr">
        <is>
          <t>chr9</t>
        </is>
      </c>
      <c r="B4045" t="n">
        <v>82336311</v>
      </c>
      <c r="C4045" t="inlineStr">
        <is>
          <t>T</t>
        </is>
      </c>
      <c r="D4045" t="inlineStr">
        <is>
          <t>C</t>
        </is>
      </c>
      <c r="E4045" t="inlineStr">
        <is>
          <t>rs1933580</t>
        </is>
      </c>
      <c r="F4045" t="n">
        <v>-0.01134758306</v>
      </c>
      <c r="G4045" t="n">
        <v>0.5681536843631467</v>
      </c>
      <c r="H4045" t="n">
        <v>0.0087982525252403</v>
      </c>
      <c r="I4045" t="n">
        <v>0.771340491997571</v>
      </c>
      <c r="J4045" t="n">
        <v>0.0013319092793867</v>
      </c>
      <c r="K4045" t="n">
        <v>0.8993350308306602</v>
      </c>
      <c r="L4045" t="b">
        <v>0</v>
      </c>
      <c r="M4045" t="b">
        <v>0</v>
      </c>
      <c r="N4045" t="inlineStr">
        <is>
          <t>ref</t>
        </is>
      </c>
      <c r="O4045" t="n">
        <v>-20</v>
      </c>
      <c r="P4045" t="n">
        <v>0.003016</v>
      </c>
      <c r="Q4045" t="n">
        <v>90</v>
      </c>
      <c r="R4045" t="n">
        <v>0.02652</v>
      </c>
      <c r="S4045">
        <f>IMAGE("https://mitra.stanford.edu/kundaje/oak/projects/neuro-variants/variant_position/credible/roussos_2024/variant_figures/roussos_2024.childhood.GABA/rs1933580_count_position.png",4,220,900)</f>
        <v/>
      </c>
      <c r="T4045">
        <f>IMAGE("https://mitra.stanford.edu/kundaje/oak/projects/neuro-variants/variant_position/credible/roussos_2024/variant_figures/roussos_2024.childhood.GABA/rs1933580_profile_position.png",4,220,900)</f>
        <v/>
      </c>
    </row>
    <row r="4046">
      <c r="A4046" t="inlineStr">
        <is>
          <t>chr9</t>
        </is>
      </c>
      <c r="B4046" t="n">
        <v>82344732</v>
      </c>
      <c r="C4046" t="inlineStr">
        <is>
          <t>A</t>
        </is>
      </c>
      <c r="D4046" t="inlineStr">
        <is>
          <t>G</t>
        </is>
      </c>
      <c r="E4046" t="inlineStr">
        <is>
          <t>rs1330834</t>
        </is>
      </c>
      <c r="F4046" t="n">
        <v>0.1489938488</v>
      </c>
      <c r="G4046" t="n">
        <v>0.0103981166189337</v>
      </c>
      <c r="H4046" t="n">
        <v>0.0274568599319136</v>
      </c>
      <c r="I4046" t="n">
        <v>0.0195769869123864</v>
      </c>
      <c r="J4046" t="n">
        <v>0.0471466566145211</v>
      </c>
      <c r="K4046" t="n">
        <v>0.5053038556631156</v>
      </c>
      <c r="L4046" t="b">
        <v>1</v>
      </c>
      <c r="M4046" t="b">
        <v>0</v>
      </c>
      <c r="N4046" t="inlineStr">
        <is>
          <t>alt</t>
        </is>
      </c>
      <c r="O4046" t="n">
        <v>-80</v>
      </c>
      <c r="P4046" t="n">
        <v>0.002151</v>
      </c>
      <c r="Q4046" t="n">
        <v>55</v>
      </c>
      <c r="R4046" t="n">
        <v>0.04297</v>
      </c>
      <c r="S4046">
        <f>IMAGE("https://mitra.stanford.edu/kundaje/oak/projects/neuro-variants/variant_position/credible/roussos_2024/variant_figures/roussos_2024.childhood.GABA/rs1330834_count_position.png",4,220,900)</f>
        <v/>
      </c>
      <c r="T4046">
        <f>IMAGE("https://mitra.stanford.edu/kundaje/oak/projects/neuro-variants/variant_position/credible/roussos_2024/variant_figures/roussos_2024.childhood.GABA/rs1330834_profile_position.png",4,220,900)</f>
        <v/>
      </c>
    </row>
    <row r="4047">
      <c r="A4047" t="inlineStr">
        <is>
          <t>chr9</t>
        </is>
      </c>
      <c r="B4047" t="n">
        <v>82365229</v>
      </c>
      <c r="C4047" t="inlineStr">
        <is>
          <t>T</t>
        </is>
      </c>
      <c r="D4047" t="inlineStr">
        <is>
          <t>C</t>
        </is>
      </c>
      <c r="E4047" t="inlineStr">
        <is>
          <t>rs4877231</t>
        </is>
      </c>
      <c r="F4047" t="n">
        <v>-0.1622148997999999</v>
      </c>
      <c r="G4047" t="n">
        <v>0.0119131883145434</v>
      </c>
      <c r="H4047" t="n">
        <v>0.0285096552551374</v>
      </c>
      <c r="I4047" t="n">
        <v>0.0179091767690362</v>
      </c>
      <c r="J4047" t="n">
        <v>0.2325134552155975</v>
      </c>
      <c r="K4047" t="n">
        <v>0.1791879983049488</v>
      </c>
      <c r="L4047" t="b">
        <v>1</v>
      </c>
      <c r="M4047" t="b">
        <v>0</v>
      </c>
      <c r="N4047" t="inlineStr">
        <is>
          <t>ref</t>
        </is>
      </c>
      <c r="O4047" t="n">
        <v>5</v>
      </c>
      <c r="P4047" t="n">
        <v>0.0006713999999999999</v>
      </c>
      <c r="Q4047" t="n">
        <v>45</v>
      </c>
      <c r="R4047" t="n">
        <v>0.03564</v>
      </c>
      <c r="S4047">
        <f>IMAGE("https://mitra.stanford.edu/kundaje/oak/projects/neuro-variants/variant_position/credible/roussos_2024/variant_figures/roussos_2024.childhood.GABA/rs4877231_count_position.png",4,220,900)</f>
        <v/>
      </c>
      <c r="T4047">
        <f>IMAGE("https://mitra.stanford.edu/kundaje/oak/projects/neuro-variants/variant_position/credible/roussos_2024/variant_figures/roussos_2024.childhood.GABA/rs4877231_profile_position.png",4,220,900)</f>
        <v/>
      </c>
    </row>
    <row r="4048">
      <c r="A4048" t="inlineStr">
        <is>
          <t>chr9</t>
        </is>
      </c>
      <c r="B4048" t="n">
        <v>82379894</v>
      </c>
      <c r="C4048" t="inlineStr">
        <is>
          <t>A</t>
        </is>
      </c>
      <c r="D4048" t="inlineStr">
        <is>
          <t>T</t>
        </is>
      </c>
      <c r="E4048" t="inlineStr">
        <is>
          <t>rs7848263</t>
        </is>
      </c>
      <c r="F4048" t="n">
        <v>-0.0586931924</v>
      </c>
      <c r="G4048" t="n">
        <v>0.1054072802813504</v>
      </c>
      <c r="H4048" t="n">
        <v>0.0140252289120848</v>
      </c>
      <c r="I4048" t="n">
        <v>0.2778143977669029</v>
      </c>
      <c r="J4048" t="n">
        <v>0.0214581893572908</v>
      </c>
      <c r="K4048" t="n">
        <v>0.645732861474816</v>
      </c>
      <c r="L4048" t="b">
        <v>0</v>
      </c>
      <c r="M4048" t="b">
        <v>0</v>
      </c>
      <c r="N4048" t="inlineStr">
        <is>
          <t>ref</t>
        </is>
      </c>
      <c r="O4048" t="n">
        <v>0</v>
      </c>
      <c r="P4048" t="n">
        <v>0</v>
      </c>
      <c r="Q4048" t="n">
        <v>-95</v>
      </c>
      <c r="R4048" t="n">
        <v>0.1085</v>
      </c>
      <c r="S4048">
        <f>IMAGE("https://mitra.stanford.edu/kundaje/oak/projects/neuro-variants/variant_position/credible/roussos_2024/variant_figures/roussos_2024.childhood.GABA/rs7848263_count_position.png",4,220,900)</f>
        <v/>
      </c>
      <c r="T4048">
        <f>IMAGE("https://mitra.stanford.edu/kundaje/oak/projects/neuro-variants/variant_position/credible/roussos_2024/variant_figures/roussos_2024.childhood.GABA/rs7848263_profile_position.png",4,220,900)</f>
        <v/>
      </c>
    </row>
    <row r="4049">
      <c r="A4049" t="inlineStr">
        <is>
          <t>chr9</t>
        </is>
      </c>
      <c r="B4049" t="n">
        <v>82380322</v>
      </c>
      <c r="C4049" t="inlineStr">
        <is>
          <t>A</t>
        </is>
      </c>
      <c r="D4049" t="inlineStr">
        <is>
          <t>C</t>
        </is>
      </c>
      <c r="E4049" t="inlineStr">
        <is>
          <t>rs7020546</t>
        </is>
      </c>
      <c r="F4049" t="n">
        <v>-0.0836433299999999</v>
      </c>
      <c r="G4049" t="n">
        <v>0.0552807663093798</v>
      </c>
      <c r="H4049" t="n">
        <v>0.0253899489635437</v>
      </c>
      <c r="I4049" t="n">
        <v>0.0273833915694041</v>
      </c>
      <c r="J4049" t="n">
        <v>0.0182708215534752</v>
      </c>
      <c r="K4049" t="n">
        <v>0.6796344180434818</v>
      </c>
      <c r="L4049" t="b">
        <v>0</v>
      </c>
      <c r="M4049" t="b">
        <v>0</v>
      </c>
      <c r="N4049" t="inlineStr">
        <is>
          <t>ref</t>
        </is>
      </c>
      <c r="O4049" t="n">
        <v>70</v>
      </c>
      <c r="P4049" t="n">
        <v>0.009636</v>
      </c>
      <c r="Q4049" t="n">
        <v>80</v>
      </c>
      <c r="R4049" t="n">
        <v>0.04034</v>
      </c>
      <c r="S4049">
        <f>IMAGE("https://mitra.stanford.edu/kundaje/oak/projects/neuro-variants/variant_position/credible/roussos_2024/variant_figures/roussos_2024.childhood.GABA/rs7020546_count_position.png",4,220,900)</f>
        <v/>
      </c>
      <c r="T4049">
        <f>IMAGE("https://mitra.stanford.edu/kundaje/oak/projects/neuro-variants/variant_position/credible/roussos_2024/variant_figures/roussos_2024.childhood.GABA/rs7020546_profile_position.png",4,220,900)</f>
        <v/>
      </c>
    </row>
    <row r="4050">
      <c r="A4050" t="inlineStr">
        <is>
          <t>chr9</t>
        </is>
      </c>
      <c r="B4050" t="n">
        <v>82400432</v>
      </c>
      <c r="C4050" t="inlineStr">
        <is>
          <t>G</t>
        </is>
      </c>
      <c r="D4050" t="inlineStr">
        <is>
          <t>A</t>
        </is>
      </c>
      <c r="E4050" t="inlineStr">
        <is>
          <t>rs80020015</t>
        </is>
      </c>
      <c r="F4050" t="n">
        <v>-0.0128671739199999</v>
      </c>
      <c r="G4050" t="n">
        <v>0.5182211243960041</v>
      </c>
      <c r="H4050" t="n">
        <v>0.0144120282084342</v>
      </c>
      <c r="I4050" t="n">
        <v>0.2470152931284375</v>
      </c>
      <c r="J4050" t="n">
        <v>0.015637368850914</v>
      </c>
      <c r="K4050" t="n">
        <v>0.6975280329125548</v>
      </c>
      <c r="L4050" t="b">
        <v>0</v>
      </c>
      <c r="M4050" t="b">
        <v>0</v>
      </c>
      <c r="N4050" t="inlineStr">
        <is>
          <t>ref</t>
        </is>
      </c>
      <c r="O4050" t="n">
        <v>80</v>
      </c>
      <c r="P4050" t="n">
        <v>0.01254</v>
      </c>
      <c r="Q4050" t="n">
        <v>50</v>
      </c>
      <c r="R4050" t="n">
        <v>0.04932</v>
      </c>
      <c r="S4050">
        <f>IMAGE("https://mitra.stanford.edu/kundaje/oak/projects/neuro-variants/variant_position/credible/roussos_2024/variant_figures/roussos_2024.childhood.GABA/rs80020015_count_position.png",4,220,900)</f>
        <v/>
      </c>
      <c r="T4050">
        <f>IMAGE("https://mitra.stanford.edu/kundaje/oak/projects/neuro-variants/variant_position/credible/roussos_2024/variant_figures/roussos_2024.childhood.GABA/rs80020015_profile_position.png",4,220,900)</f>
        <v/>
      </c>
    </row>
    <row r="4051">
      <c r="A4051" t="inlineStr">
        <is>
          <t>chr9</t>
        </is>
      </c>
      <c r="B4051" t="n">
        <v>82404112</v>
      </c>
      <c r="C4051" t="inlineStr">
        <is>
          <t>G</t>
        </is>
      </c>
      <c r="D4051" t="inlineStr">
        <is>
          <t>A</t>
        </is>
      </c>
      <c r="E4051" t="inlineStr">
        <is>
          <t>rs10113923</t>
        </is>
      </c>
      <c r="F4051" t="n">
        <v>-0.1583227639999999</v>
      </c>
      <c r="G4051" t="n">
        <v>0.008637958761400499</v>
      </c>
      <c r="H4051" t="n">
        <v>0.0200621882147904</v>
      </c>
      <c r="I4051" t="n">
        <v>0.07429710013307191</v>
      </c>
      <c r="J4051" t="n">
        <v>0.0121473895834641</v>
      </c>
      <c r="K4051" t="n">
        <v>0.7158096560027825</v>
      </c>
      <c r="L4051" t="b">
        <v>1</v>
      </c>
      <c r="M4051" t="b">
        <v>1</v>
      </c>
      <c r="N4051" t="inlineStr">
        <is>
          <t>ref</t>
        </is>
      </c>
      <c r="O4051" t="n">
        <v>-40</v>
      </c>
      <c r="P4051" t="n">
        <v>0.002075</v>
      </c>
      <c r="Q4051" t="n">
        <v>-50</v>
      </c>
      <c r="R4051" t="n">
        <v>0.001221</v>
      </c>
      <c r="S4051">
        <f>IMAGE("https://mitra.stanford.edu/kundaje/oak/projects/neuro-variants/variant_position/credible/roussos_2024/variant_figures/roussos_2024.childhood.GABA/rs10113923_count_position.png",4,220,900)</f>
        <v/>
      </c>
      <c r="T4051">
        <f>IMAGE("https://mitra.stanford.edu/kundaje/oak/projects/neuro-variants/variant_position/credible/roussos_2024/variant_figures/roussos_2024.childhood.GABA/rs10113923_profile_position.png",4,220,900)</f>
        <v/>
      </c>
    </row>
    <row r="4052">
      <c r="A4052" t="inlineStr">
        <is>
          <t>chr9</t>
        </is>
      </c>
      <c r="B4052" t="n">
        <v>93426142</v>
      </c>
      <c r="C4052" t="inlineStr">
        <is>
          <t>G</t>
        </is>
      </c>
      <c r="D4052" t="inlineStr">
        <is>
          <t>A</t>
        </is>
      </c>
      <c r="E4052" t="inlineStr">
        <is>
          <t>rs10116211</t>
        </is>
      </c>
      <c r="F4052" t="n">
        <v>-0.06796871</v>
      </c>
      <c r="G4052" t="n">
        <v>0.0734483411818887</v>
      </c>
      <c r="H4052" t="n">
        <v>0.0132260722761956</v>
      </c>
      <c r="I4052" t="n">
        <v>0.3313095410533436</v>
      </c>
      <c r="J4052" t="n">
        <v>0.005275282193043</v>
      </c>
      <c r="K4052" t="n">
        <v>0.8062840017924342</v>
      </c>
      <c r="L4052" t="b">
        <v>0</v>
      </c>
      <c r="M4052" t="b">
        <v>0</v>
      </c>
      <c r="N4052" t="inlineStr">
        <is>
          <t>ref</t>
        </is>
      </c>
      <c r="O4052" t="n">
        <v>-30</v>
      </c>
      <c r="P4052" t="n">
        <v>0.00415</v>
      </c>
      <c r="Q4052" t="n">
        <v>-40</v>
      </c>
      <c r="R4052" t="n">
        <v>0.06510000000000001</v>
      </c>
      <c r="S4052">
        <f>IMAGE("https://mitra.stanford.edu/kundaje/oak/projects/neuro-variants/variant_position/credible/roussos_2024/variant_figures/roussos_2024.childhood.GABA/rs10116211_count_position.png",4,220,900)</f>
        <v/>
      </c>
      <c r="T4052">
        <f>IMAGE("https://mitra.stanford.edu/kundaje/oak/projects/neuro-variants/variant_position/credible/roussos_2024/variant_figures/roussos_2024.childhood.GABA/rs10116211_profile_position.png",4,220,900)</f>
        <v/>
      </c>
    </row>
    <row r="4053">
      <c r="A4053" t="inlineStr">
        <is>
          <t>chr9</t>
        </is>
      </c>
      <c r="B4053" t="n">
        <v>93435814</v>
      </c>
      <c r="C4053" t="inlineStr">
        <is>
          <t>T</t>
        </is>
      </c>
      <c r="D4053" t="inlineStr">
        <is>
          <t>C</t>
        </is>
      </c>
      <c r="E4053" t="inlineStr">
        <is>
          <t>rs6479482</t>
        </is>
      </c>
      <c r="F4053" t="n">
        <v>-0.1260057212</v>
      </c>
      <c r="G4053" t="n">
        <v>0.03029297975608</v>
      </c>
      <c r="H4053" t="n">
        <v>0.0376105291739939</v>
      </c>
      <c r="I4053" t="n">
        <v>0.0054702085270254</v>
      </c>
      <c r="J4053" t="n">
        <v>0.4189964608071035</v>
      </c>
      <c r="K4053" t="n">
        <v>0.078553545443256</v>
      </c>
      <c r="L4053" t="b">
        <v>1</v>
      </c>
      <c r="M4053" t="b">
        <v>1</v>
      </c>
      <c r="N4053" t="inlineStr">
        <is>
          <t>ref</t>
        </is>
      </c>
      <c r="O4053" t="n">
        <v>100</v>
      </c>
      <c r="P4053" t="n">
        <v>0.01131</v>
      </c>
      <c r="Q4053" t="n">
        <v>-75</v>
      </c>
      <c r="R4053" t="n">
        <v>0.06335</v>
      </c>
      <c r="S4053">
        <f>IMAGE("https://mitra.stanford.edu/kundaje/oak/projects/neuro-variants/variant_position/credible/roussos_2024/variant_figures/roussos_2024.childhood.GABA/rs6479482_count_position.png",4,220,900)</f>
        <v/>
      </c>
      <c r="T4053">
        <f>IMAGE("https://mitra.stanford.edu/kundaje/oak/projects/neuro-variants/variant_position/credible/roussos_2024/variant_figures/roussos_2024.childhood.GABA/rs6479482_profile_position.png",4,220,900)</f>
        <v/>
      </c>
    </row>
    <row r="4054">
      <c r="A4054" t="inlineStr">
        <is>
          <t>chr9</t>
        </is>
      </c>
      <c r="B4054" t="n">
        <v>93457832</v>
      </c>
      <c r="C4054" t="inlineStr">
        <is>
          <t>C</t>
        </is>
      </c>
      <c r="D4054" t="inlineStr">
        <is>
          <t>T</t>
        </is>
      </c>
      <c r="E4054" t="inlineStr">
        <is>
          <t>rs12344021</t>
        </is>
      </c>
      <c r="F4054" t="n">
        <v>0.00390158398</v>
      </c>
      <c r="G4054" t="n">
        <v>0.7288088850437929</v>
      </c>
      <c r="H4054" t="n">
        <v>0.0191407414425099</v>
      </c>
      <c r="I4054" t="n">
        <v>0.0911160687139641</v>
      </c>
      <c r="J4054" t="n">
        <v>0.0199451320391195</v>
      </c>
      <c r="K4054" t="n">
        <v>0.6477393108184418</v>
      </c>
      <c r="L4054" t="b">
        <v>0</v>
      </c>
      <c r="M4054" t="b">
        <v>0</v>
      </c>
      <c r="N4054" t="inlineStr">
        <is>
          <t>alt</t>
        </is>
      </c>
      <c r="O4054" t="n">
        <v>-60</v>
      </c>
      <c r="P4054" t="n">
        <v>0.0434</v>
      </c>
      <c r="Q4054" t="n">
        <v>-50</v>
      </c>
      <c r="R4054" t="n">
        <v>0.0343</v>
      </c>
      <c r="S4054">
        <f>IMAGE("https://mitra.stanford.edu/kundaje/oak/projects/neuro-variants/variant_position/credible/roussos_2024/variant_figures/roussos_2024.childhood.GABA/rs12344021_count_position.png",4,220,900)</f>
        <v/>
      </c>
      <c r="T4054">
        <f>IMAGE("https://mitra.stanford.edu/kundaje/oak/projects/neuro-variants/variant_position/credible/roussos_2024/variant_figures/roussos_2024.childhood.GABA/rs12344021_profile_position.png",4,220,900)</f>
        <v/>
      </c>
    </row>
    <row r="4055">
      <c r="A4055" t="inlineStr">
        <is>
          <t>chr9</t>
        </is>
      </c>
      <c r="B4055" t="n">
        <v>93462293</v>
      </c>
      <c r="C4055" t="inlineStr">
        <is>
          <t>T</t>
        </is>
      </c>
      <c r="D4055" t="inlineStr">
        <is>
          <t>A</t>
        </is>
      </c>
      <c r="E4055" t="inlineStr">
        <is>
          <t>rs12336645</t>
        </is>
      </c>
      <c r="F4055" t="n">
        <v>-1.770051999999992e-05</v>
      </c>
      <c r="G4055" t="n">
        <v>0.8584348154120446</v>
      </c>
      <c r="H4055" t="n">
        <v>0.0191796767268229</v>
      </c>
      <c r="I4055" t="n">
        <v>0.0892026082022455</v>
      </c>
      <c r="J4055" t="n">
        <v>0.0409677284245355</v>
      </c>
      <c r="K4055" t="n">
        <v>0.5361338555657651</v>
      </c>
      <c r="L4055" t="b">
        <v>0</v>
      </c>
      <c r="M4055" t="b">
        <v>0</v>
      </c>
      <c r="N4055" t="inlineStr">
        <is>
          <t>ref</t>
        </is>
      </c>
      <c r="O4055" t="n">
        <v>-60</v>
      </c>
      <c r="P4055" t="n">
        <v>0.00169</v>
      </c>
      <c r="Q4055" t="n">
        <v>100</v>
      </c>
      <c r="R4055" t="n">
        <v>0.02847</v>
      </c>
      <c r="S4055">
        <f>IMAGE("https://mitra.stanford.edu/kundaje/oak/projects/neuro-variants/variant_position/credible/roussos_2024/variant_figures/roussos_2024.childhood.GABA/rs12336645_count_position.png",4,220,900)</f>
        <v/>
      </c>
      <c r="T4055">
        <f>IMAGE("https://mitra.stanford.edu/kundaje/oak/projects/neuro-variants/variant_position/credible/roussos_2024/variant_figures/roussos_2024.childhood.GABA/rs12336645_profile_position.png",4,220,900)</f>
        <v/>
      </c>
    </row>
    <row r="4056">
      <c r="A4056" t="inlineStr">
        <is>
          <t>chr9</t>
        </is>
      </c>
      <c r="B4056" t="n">
        <v>93463196</v>
      </c>
      <c r="C4056" t="inlineStr">
        <is>
          <t>A</t>
        </is>
      </c>
      <c r="D4056" t="inlineStr">
        <is>
          <t>T</t>
        </is>
      </c>
      <c r="E4056" t="inlineStr">
        <is>
          <t>rs7023933</t>
        </is>
      </c>
      <c r="F4056" t="n">
        <v>-0.0018538900868</v>
      </c>
      <c r="G4056" t="n">
        <v>0.924499553000195</v>
      </c>
      <c r="H4056" t="n">
        <v>0.0230278171968765</v>
      </c>
      <c r="I4056" t="n">
        <v>0.0427249737055621</v>
      </c>
      <c r="J4056" t="n">
        <v>0.0196194844087034</v>
      </c>
      <c r="K4056" t="n">
        <v>0.6534729611529618</v>
      </c>
      <c r="L4056" t="b">
        <v>0</v>
      </c>
      <c r="M4056" t="b">
        <v>0</v>
      </c>
      <c r="N4056" t="inlineStr">
        <is>
          <t>ref</t>
        </is>
      </c>
      <c r="O4056" t="n">
        <v>80</v>
      </c>
      <c r="P4056" t="n">
        <v>0.005463</v>
      </c>
      <c r="Q4056" t="n">
        <v>-90</v>
      </c>
      <c r="R4056" t="n">
        <v>0.0672</v>
      </c>
      <c r="S4056">
        <f>IMAGE("https://mitra.stanford.edu/kundaje/oak/projects/neuro-variants/variant_position/credible/roussos_2024/variant_figures/roussos_2024.childhood.GABA/rs7023933_count_position.png",4,220,900)</f>
        <v/>
      </c>
      <c r="T4056">
        <f>IMAGE("https://mitra.stanford.edu/kundaje/oak/projects/neuro-variants/variant_position/credible/roussos_2024/variant_figures/roussos_2024.childhood.GABA/rs7023933_profile_position.png",4,220,900)</f>
        <v/>
      </c>
    </row>
    <row r="4057">
      <c r="A4057" t="inlineStr">
        <is>
          <t>chr9</t>
        </is>
      </c>
      <c r="B4057" t="n">
        <v>93485602</v>
      </c>
      <c r="C4057" t="inlineStr">
        <is>
          <t>A</t>
        </is>
      </c>
      <c r="D4057" t="inlineStr">
        <is>
          <t>G</t>
        </is>
      </c>
      <c r="E4057" t="inlineStr">
        <is>
          <t>rs10125504</t>
        </is>
      </c>
      <c r="F4057" t="n">
        <v>0.01926044888</v>
      </c>
      <c r="G4057" t="n">
        <v>0.425205583164635</v>
      </c>
      <c r="H4057" t="n">
        <v>0.0196654530832432</v>
      </c>
      <c r="I4057" t="n">
        <v>0.08241832237636269</v>
      </c>
      <c r="J4057" t="n">
        <v>0.0516460388264119</v>
      </c>
      <c r="K4057" t="n">
        <v>0.517876930145043</v>
      </c>
      <c r="L4057" t="b">
        <v>0</v>
      </c>
      <c r="M4057" t="b">
        <v>0</v>
      </c>
      <c r="N4057" t="inlineStr">
        <is>
          <t>alt</t>
        </is>
      </c>
      <c r="O4057" t="n">
        <v>-100</v>
      </c>
      <c r="P4057" t="n">
        <v>0.02316</v>
      </c>
      <c r="Q4057" t="n">
        <v>65</v>
      </c>
      <c r="R4057" t="n">
        <v>0.1158</v>
      </c>
      <c r="S4057">
        <f>IMAGE("https://mitra.stanford.edu/kundaje/oak/projects/neuro-variants/variant_position/credible/roussos_2024/variant_figures/roussos_2024.childhood.GABA/rs10125504_count_position.png",4,220,900)</f>
        <v/>
      </c>
      <c r="T4057">
        <f>IMAGE("https://mitra.stanford.edu/kundaje/oak/projects/neuro-variants/variant_position/credible/roussos_2024/variant_figures/roussos_2024.childhood.GABA/rs10125504_profile_position.png",4,220,900)</f>
        <v/>
      </c>
    </row>
    <row r="4058">
      <c r="A4058" t="inlineStr">
        <is>
          <t>chr9</t>
        </is>
      </c>
      <c r="B4058" t="n">
        <v>93507955</v>
      </c>
      <c r="C4058" t="inlineStr">
        <is>
          <t>G</t>
        </is>
      </c>
      <c r="D4058" t="inlineStr">
        <is>
          <t>C</t>
        </is>
      </c>
      <c r="E4058" t="inlineStr">
        <is>
          <t>rs12554020</t>
        </is>
      </c>
      <c r="F4058" t="n">
        <v>0.1201997307999999</v>
      </c>
      <c r="G4058" t="n">
        <v>0.0192198949382284</v>
      </c>
      <c r="H4058" t="n">
        <v>0.0213750196390229</v>
      </c>
      <c r="I4058" t="n">
        <v>0.0575500075148615</v>
      </c>
      <c r="J4058" t="n">
        <v>0.2811490858830181</v>
      </c>
      <c r="K4058" t="n">
        <v>0.1497711907474133</v>
      </c>
      <c r="L4058" t="b">
        <v>1</v>
      </c>
      <c r="M4058" t="b">
        <v>0</v>
      </c>
      <c r="N4058" t="inlineStr">
        <is>
          <t>alt</t>
        </is>
      </c>
      <c r="O4058" t="n">
        <v>-5</v>
      </c>
      <c r="P4058" t="n">
        <v>0.0001678</v>
      </c>
      <c r="Q4058" t="n">
        <v>-75</v>
      </c>
      <c r="R4058" t="n">
        <v>0.0354</v>
      </c>
      <c r="S4058">
        <f>IMAGE("https://mitra.stanford.edu/kundaje/oak/projects/neuro-variants/variant_position/credible/roussos_2024/variant_figures/roussos_2024.childhood.GABA/rs12554020_count_position.png",4,220,900)</f>
        <v/>
      </c>
      <c r="T4058">
        <f>IMAGE("https://mitra.stanford.edu/kundaje/oak/projects/neuro-variants/variant_position/credible/roussos_2024/variant_figures/roussos_2024.childhood.GABA/rs12554020_profile_position.png",4,220,900)</f>
        <v/>
      </c>
    </row>
    <row r="4059">
      <c r="A4059" t="inlineStr">
        <is>
          <t>chr9</t>
        </is>
      </c>
      <c r="B4059" t="n">
        <v>93541696</v>
      </c>
      <c r="C4059" t="inlineStr">
        <is>
          <t>A</t>
        </is>
      </c>
      <c r="D4059" t="inlineStr">
        <is>
          <t>G</t>
        </is>
      </c>
      <c r="E4059" t="inlineStr">
        <is>
          <t>rs28464341</t>
        </is>
      </c>
      <c r="F4059" t="n">
        <v>-0.018718856</v>
      </c>
      <c r="G4059" t="n">
        <v>0.4526068615646455</v>
      </c>
      <c r="H4059" t="n">
        <v>0.0302690236367715</v>
      </c>
      <c r="I4059" t="n">
        <v>0.0121076884687519</v>
      </c>
      <c r="J4059" t="n">
        <v>0.1333846411593474</v>
      </c>
      <c r="K4059" t="n">
        <v>0.2999339792391495</v>
      </c>
      <c r="L4059" t="b">
        <v>1</v>
      </c>
      <c r="M4059" t="b">
        <v>0</v>
      </c>
      <c r="N4059" t="inlineStr">
        <is>
          <t>ref</t>
        </is>
      </c>
      <c r="O4059" t="n">
        <v>70</v>
      </c>
      <c r="P4059" t="n">
        <v>0.005142</v>
      </c>
      <c r="Q4059" t="n">
        <v>75</v>
      </c>
      <c r="R4059" t="n">
        <v>0.0406</v>
      </c>
      <c r="S4059">
        <f>IMAGE("https://mitra.stanford.edu/kundaje/oak/projects/neuro-variants/variant_position/credible/roussos_2024/variant_figures/roussos_2024.childhood.GABA/rs28464341_count_position.png",4,220,900)</f>
        <v/>
      </c>
      <c r="T4059">
        <f>IMAGE("https://mitra.stanford.edu/kundaje/oak/projects/neuro-variants/variant_position/credible/roussos_2024/variant_figures/roussos_2024.childhood.GABA/rs28464341_profile_position.png",4,220,900)</f>
        <v/>
      </c>
    </row>
    <row r="4060">
      <c r="A4060" t="inlineStr">
        <is>
          <t>chr9</t>
        </is>
      </c>
      <c r="B4060" t="n">
        <v>98302833</v>
      </c>
      <c r="C4060" t="inlineStr">
        <is>
          <t>T</t>
        </is>
      </c>
      <c r="D4060" t="inlineStr">
        <is>
          <t>G</t>
        </is>
      </c>
      <c r="E4060" t="inlineStr">
        <is>
          <t>rs7869257</t>
        </is>
      </c>
      <c r="F4060" t="n">
        <v>0.0297408184</v>
      </c>
      <c r="G4060" t="n">
        <v>0.2849953466069529</v>
      </c>
      <c r="H4060" t="n">
        <v>0.0112628036927877</v>
      </c>
      <c r="I4060" t="n">
        <v>0.4995813955502034</v>
      </c>
      <c r="J4060" t="n">
        <v>0.3095757156918179</v>
      </c>
      <c r="K4060" t="n">
        <v>0.1320994312249075</v>
      </c>
      <c r="L4060" t="b">
        <v>0</v>
      </c>
      <c r="M4060" t="b">
        <v>0</v>
      </c>
      <c r="N4060" t="inlineStr">
        <is>
          <t>alt</t>
        </is>
      </c>
      <c r="O4060" t="n">
        <v>25</v>
      </c>
      <c r="P4060" t="n">
        <v>0.001362</v>
      </c>
      <c r="Q4060" t="n">
        <v>-20</v>
      </c>
      <c r="R4060" t="n">
        <v>0.00775</v>
      </c>
      <c r="S4060">
        <f>IMAGE("https://mitra.stanford.edu/kundaje/oak/projects/neuro-variants/variant_position/credible/roussos_2024/variant_figures/roussos_2024.childhood.GABA/rs7869257_count_position.png",4,220,900)</f>
        <v/>
      </c>
      <c r="T4060">
        <f>IMAGE("https://mitra.stanford.edu/kundaje/oak/projects/neuro-variants/variant_position/credible/roussos_2024/variant_figures/roussos_2024.childhood.GABA/rs7869257_profile_position.png",4,220,900)</f>
        <v/>
      </c>
    </row>
    <row r="4061">
      <c r="A4061" t="inlineStr">
        <is>
          <t>chr9</t>
        </is>
      </c>
      <c r="B4061" t="n">
        <v>98307051</v>
      </c>
      <c r="C4061" t="inlineStr">
        <is>
          <t>C</t>
        </is>
      </c>
      <c r="D4061" t="inlineStr">
        <is>
          <t>T</t>
        </is>
      </c>
      <c r="E4061" t="inlineStr">
        <is>
          <t>rs7867834</t>
        </is>
      </c>
      <c r="F4061" t="n">
        <v>-0.1368282592</v>
      </c>
      <c r="G4061" t="n">
        <v>0.0156458014999563</v>
      </c>
      <c r="H4061" t="n">
        <v>0.0196850468111372</v>
      </c>
      <c r="I4061" t="n">
        <v>0.0903461040731129</v>
      </c>
      <c r="J4061" t="n">
        <v>0.4688477728215116</v>
      </c>
      <c r="K4061" t="n">
        <v>0.0616027571220365</v>
      </c>
      <c r="L4061" t="b">
        <v>1</v>
      </c>
      <c r="M4061" t="b">
        <v>0</v>
      </c>
      <c r="N4061" t="inlineStr">
        <is>
          <t>ref</t>
        </is>
      </c>
      <c r="O4061" t="n">
        <v>-80</v>
      </c>
      <c r="P4061" t="n">
        <v>0.002373</v>
      </c>
      <c r="Q4061" t="n">
        <v>-90</v>
      </c>
      <c r="R4061" t="n">
        <v>0.1555</v>
      </c>
      <c r="S4061">
        <f>IMAGE("https://mitra.stanford.edu/kundaje/oak/projects/neuro-variants/variant_position/credible/roussos_2024/variant_figures/roussos_2024.childhood.GABA/rs7867834_count_position.png",4,220,900)</f>
        <v/>
      </c>
      <c r="T4061">
        <f>IMAGE("https://mitra.stanford.edu/kundaje/oak/projects/neuro-variants/variant_position/credible/roussos_2024/variant_figures/roussos_2024.childhood.GABA/rs7867834_profile_position.png",4,220,900)</f>
        <v/>
      </c>
    </row>
    <row r="4062">
      <c r="A4062" t="inlineStr">
        <is>
          <t>chr9</t>
        </is>
      </c>
      <c r="B4062" t="n">
        <v>98308808</v>
      </c>
      <c r="C4062" t="inlineStr">
        <is>
          <t>T</t>
        </is>
      </c>
      <c r="D4062" t="inlineStr">
        <is>
          <t>C</t>
        </is>
      </c>
      <c r="E4062" t="inlineStr">
        <is>
          <t>rs10985817</t>
        </is>
      </c>
      <c r="F4062" t="n">
        <v>0.0037002567</v>
      </c>
      <c r="G4062" t="n">
        <v>0.690529792468924</v>
      </c>
      <c r="H4062" t="n">
        <v>0.0131503651677892</v>
      </c>
      <c r="I4062" t="n">
        <v>0.3358675662464792</v>
      </c>
      <c r="J4062" t="n">
        <v>0.1183001403111976</v>
      </c>
      <c r="K4062" t="n">
        <v>0.3275941720530457</v>
      </c>
      <c r="L4062" t="b">
        <v>0</v>
      </c>
      <c r="M4062" t="b">
        <v>0</v>
      </c>
      <c r="N4062" t="inlineStr">
        <is>
          <t>alt</t>
        </is>
      </c>
      <c r="O4062" t="n">
        <v>-95</v>
      </c>
      <c r="P4062" t="n">
        <v>0.00752</v>
      </c>
      <c r="Q4062" t="n">
        <v>-25</v>
      </c>
      <c r="R4062" t="n">
        <v>0.02838</v>
      </c>
      <c r="S4062">
        <f>IMAGE("https://mitra.stanford.edu/kundaje/oak/projects/neuro-variants/variant_position/credible/roussos_2024/variant_figures/roussos_2024.childhood.GABA/rs10985817_count_position.png",4,220,900)</f>
        <v/>
      </c>
      <c r="T4062">
        <f>IMAGE("https://mitra.stanford.edu/kundaje/oak/projects/neuro-variants/variant_position/credible/roussos_2024/variant_figures/roussos_2024.childhood.GABA/rs10985817_profile_position.png",4,220,900)</f>
        <v/>
      </c>
    </row>
    <row r="4063">
      <c r="A4063" t="inlineStr">
        <is>
          <t>chr9</t>
        </is>
      </c>
      <c r="B4063" t="n">
        <v>98309453</v>
      </c>
      <c r="C4063" t="inlineStr">
        <is>
          <t>G</t>
        </is>
      </c>
      <c r="D4063" t="inlineStr">
        <is>
          <t>A</t>
        </is>
      </c>
      <c r="E4063" t="inlineStr">
        <is>
          <t>rs3780444</t>
        </is>
      </c>
      <c r="F4063" t="n">
        <v>0.00333525698</v>
      </c>
      <c r="G4063" t="n">
        <v>0.7660252941447495</v>
      </c>
      <c r="H4063" t="n">
        <v>0.0077717217026838</v>
      </c>
      <c r="I4063" t="n">
        <v>0.8730154794600316</v>
      </c>
      <c r="J4063" t="n">
        <v>0.1354809323364955</v>
      </c>
      <c r="K4063" t="n">
        <v>0.2991100675936773</v>
      </c>
      <c r="L4063" t="b">
        <v>0</v>
      </c>
      <c r="M4063" t="b">
        <v>0</v>
      </c>
      <c r="N4063" t="inlineStr">
        <is>
          <t>alt</t>
        </is>
      </c>
      <c r="O4063" t="n">
        <v>-35</v>
      </c>
      <c r="P4063" t="n">
        <v>0.008670000000000001</v>
      </c>
      <c r="Q4063" t="n">
        <v>10</v>
      </c>
      <c r="R4063" t="n">
        <v>0.02798</v>
      </c>
      <c r="S4063">
        <f>IMAGE("https://mitra.stanford.edu/kundaje/oak/projects/neuro-variants/variant_position/credible/roussos_2024/variant_figures/roussos_2024.childhood.GABA/rs3780444_count_position.png",4,220,900)</f>
        <v/>
      </c>
      <c r="T4063">
        <f>IMAGE("https://mitra.stanford.edu/kundaje/oak/projects/neuro-variants/variant_position/credible/roussos_2024/variant_figures/roussos_2024.childhood.GABA/rs3780444_profile_position.png",4,220,900)</f>
        <v/>
      </c>
    </row>
    <row r="4064">
      <c r="A4064" t="inlineStr">
        <is>
          <t>chr9</t>
        </is>
      </c>
      <c r="B4064" t="n">
        <v>112194636</v>
      </c>
      <c r="C4064" t="inlineStr">
        <is>
          <t>A</t>
        </is>
      </c>
      <c r="D4064" t="inlineStr">
        <is>
          <t>C</t>
        </is>
      </c>
      <c r="E4064" t="inlineStr">
        <is>
          <t>rs10817282</t>
        </is>
      </c>
      <c r="F4064" t="n">
        <v>0.1300834639999999</v>
      </c>
      <c r="G4064" t="n">
        <v>0.0142646127590562</v>
      </c>
      <c r="H4064" t="n">
        <v>0.0220352373637965</v>
      </c>
      <c r="I4064" t="n">
        <v>0.0513298226358351</v>
      </c>
      <c r="J4064" t="n">
        <v>0.2187116500178006</v>
      </c>
      <c r="K4064" t="n">
        <v>0.1919748092302788</v>
      </c>
      <c r="L4064" t="b">
        <v>1</v>
      </c>
      <c r="M4064" t="b">
        <v>0</v>
      </c>
      <c r="N4064" t="inlineStr">
        <is>
          <t>alt</t>
        </is>
      </c>
      <c r="O4064" t="n">
        <v>65</v>
      </c>
      <c r="P4064" t="n">
        <v>0.00903</v>
      </c>
      <c r="Q4064" t="n">
        <v>65</v>
      </c>
      <c r="R4064" t="n">
        <v>0.08856</v>
      </c>
      <c r="S4064">
        <f>IMAGE("https://mitra.stanford.edu/kundaje/oak/projects/neuro-variants/variant_position/credible/roussos_2024/variant_figures/roussos_2024.childhood.GABA/rs10817282_count_position.png",4,220,900)</f>
        <v/>
      </c>
      <c r="T4064">
        <f>IMAGE("https://mitra.stanford.edu/kundaje/oak/projects/neuro-variants/variant_position/credible/roussos_2024/variant_figures/roussos_2024.childhood.GABA/rs10817282_profile_position.png",4,220,900)</f>
        <v/>
      </c>
    </row>
    <row r="4065">
      <c r="A4065" t="inlineStr">
        <is>
          <t>chr9</t>
        </is>
      </c>
      <c r="B4065" t="n">
        <v>112195177</v>
      </c>
      <c r="C4065" t="inlineStr">
        <is>
          <t>A</t>
        </is>
      </c>
      <c r="D4065" t="inlineStr">
        <is>
          <t>G</t>
        </is>
      </c>
      <c r="E4065" t="inlineStr">
        <is>
          <t>rs1887518</t>
        </is>
      </c>
      <c r="F4065" t="n">
        <v>0.058949907</v>
      </c>
      <c r="G4065" t="n">
        <v>0.09751284535465481</v>
      </c>
      <c r="H4065" t="n">
        <v>0.0158443460209348</v>
      </c>
      <c r="I4065" t="n">
        <v>0.1908683470317565</v>
      </c>
      <c r="J4065" t="n">
        <v>0.1625735586689283</v>
      </c>
      <c r="K4065" t="n">
        <v>0.2516218140104135</v>
      </c>
      <c r="L4065" t="b">
        <v>0</v>
      </c>
      <c r="M4065" t="b">
        <v>0</v>
      </c>
      <c r="N4065" t="inlineStr">
        <is>
          <t>alt</t>
        </is>
      </c>
      <c r="O4065" t="n">
        <v>-95</v>
      </c>
      <c r="P4065" t="n">
        <v>0.02112</v>
      </c>
      <c r="Q4065" t="n">
        <v>50</v>
      </c>
      <c r="R4065" t="n">
        <v>0.04858</v>
      </c>
      <c r="S4065">
        <f>IMAGE("https://mitra.stanford.edu/kundaje/oak/projects/neuro-variants/variant_position/credible/roussos_2024/variant_figures/roussos_2024.childhood.GABA/rs1887518_count_position.png",4,220,900)</f>
        <v/>
      </c>
      <c r="T4065">
        <f>IMAGE("https://mitra.stanford.edu/kundaje/oak/projects/neuro-variants/variant_position/credible/roussos_2024/variant_figures/roussos_2024.childhood.GABA/rs1887518_profile_position.png",4,220,900)</f>
        <v/>
      </c>
    </row>
    <row r="4066">
      <c r="A4066" t="inlineStr">
        <is>
          <t>chr9</t>
        </is>
      </c>
      <c r="B4066" t="n">
        <v>112204377</v>
      </c>
      <c r="C4066" t="inlineStr">
        <is>
          <t>T</t>
        </is>
      </c>
      <c r="D4066" t="inlineStr">
        <is>
          <t>C</t>
        </is>
      </c>
      <c r="E4066" t="inlineStr">
        <is>
          <t>rs10114558</t>
        </is>
      </c>
      <c r="F4066" t="n">
        <v>0.07853749439999989</v>
      </c>
      <c r="G4066" t="n">
        <v>0.0525486372818587</v>
      </c>
      <c r="H4066" t="n">
        <v>0.014047753250488</v>
      </c>
      <c r="I4066" t="n">
        <v>0.278029164533851</v>
      </c>
      <c r="J4066" t="n">
        <v>0.0250361248979078</v>
      </c>
      <c r="K4066" t="n">
        <v>0.6137274878317521</v>
      </c>
      <c r="L4066" t="b">
        <v>0</v>
      </c>
      <c r="M4066" t="b">
        <v>0</v>
      </c>
      <c r="N4066" t="inlineStr">
        <is>
          <t>alt</t>
        </is>
      </c>
      <c r="O4066" t="n">
        <v>20</v>
      </c>
      <c r="P4066" t="n">
        <v>0.002321</v>
      </c>
      <c r="Q4066" t="n">
        <v>100</v>
      </c>
      <c r="R4066" t="n">
        <v>0.08409999999999999</v>
      </c>
      <c r="S4066">
        <f>IMAGE("https://mitra.stanford.edu/kundaje/oak/projects/neuro-variants/variant_position/credible/roussos_2024/variant_figures/roussos_2024.childhood.GABA/rs10114558_count_position.png",4,220,900)</f>
        <v/>
      </c>
      <c r="T4066">
        <f>IMAGE("https://mitra.stanford.edu/kundaje/oak/projects/neuro-variants/variant_position/credible/roussos_2024/variant_figures/roussos_2024.childhood.GABA/rs10114558_profile_position.png",4,220,900)</f>
        <v/>
      </c>
    </row>
    <row r="4067">
      <c r="A4067" t="inlineStr">
        <is>
          <t>chr9</t>
        </is>
      </c>
      <c r="B4067" t="n">
        <v>112207436</v>
      </c>
      <c r="C4067" t="inlineStr">
        <is>
          <t>A</t>
        </is>
      </c>
      <c r="D4067" t="inlineStr">
        <is>
          <t>G</t>
        </is>
      </c>
      <c r="E4067" t="inlineStr">
        <is>
          <t>rs7861162</t>
        </is>
      </c>
      <c r="F4067" t="n">
        <v>-0.01079147</v>
      </c>
      <c r="G4067" t="n">
        <v>0.4603636506112309</v>
      </c>
      <c r="H4067" t="n">
        <v>0.0099817553481022</v>
      </c>
      <c r="I4067" t="n">
        <v>0.6353817784139515</v>
      </c>
      <c r="J4067" t="n">
        <v>0.0134248497413666</v>
      </c>
      <c r="K4067" t="n">
        <v>0.701590274834802</v>
      </c>
      <c r="L4067" t="b">
        <v>0</v>
      </c>
      <c r="M4067" t="b">
        <v>0</v>
      </c>
      <c r="N4067" t="inlineStr">
        <is>
          <t>ref</t>
        </is>
      </c>
      <c r="O4067" t="n">
        <v>100</v>
      </c>
      <c r="P4067" t="n">
        <v>0.03674</v>
      </c>
      <c r="Q4067" t="n">
        <v>55</v>
      </c>
      <c r="R4067" t="n">
        <v>0.1926</v>
      </c>
      <c r="S4067">
        <f>IMAGE("https://mitra.stanford.edu/kundaje/oak/projects/neuro-variants/variant_position/credible/roussos_2024/variant_figures/roussos_2024.childhood.GABA/rs7861162_count_position.png",4,220,900)</f>
        <v/>
      </c>
      <c r="T4067">
        <f>IMAGE("https://mitra.stanford.edu/kundaje/oak/projects/neuro-variants/variant_position/credible/roussos_2024/variant_figures/roussos_2024.childhood.GABA/rs7861162_profile_position.png",4,220,900)</f>
        <v/>
      </c>
    </row>
    <row r="4068">
      <c r="A4068" t="inlineStr">
        <is>
          <t>chr9</t>
        </is>
      </c>
      <c r="B4068" t="n">
        <v>112207709</v>
      </c>
      <c r="C4068" t="inlineStr">
        <is>
          <t>G</t>
        </is>
      </c>
      <c r="D4068" t="inlineStr">
        <is>
          <t>C</t>
        </is>
      </c>
      <c r="E4068" t="inlineStr">
        <is>
          <t>rs7861788</t>
        </is>
      </c>
      <c r="F4068" t="n">
        <v>0.0062954103399999</v>
      </c>
      <c r="G4068" t="n">
        <v>0.6501414685199913</v>
      </c>
      <c r="H4068" t="n">
        <v>0.009002854377990799</v>
      </c>
      <c r="I4068" t="n">
        <v>0.754359146982308</v>
      </c>
      <c r="J4068" t="n">
        <v>0.011322275973278</v>
      </c>
      <c r="K4068" t="n">
        <v>0.724905705177158</v>
      </c>
      <c r="L4068" t="b">
        <v>0</v>
      </c>
      <c r="M4068" t="b">
        <v>0</v>
      </c>
      <c r="N4068" t="inlineStr">
        <is>
          <t>alt</t>
        </is>
      </c>
      <c r="O4068" t="n">
        <v>-95</v>
      </c>
      <c r="P4068" t="n">
        <v>0.02148</v>
      </c>
      <c r="Q4068" t="n">
        <v>-45</v>
      </c>
      <c r="R4068" t="n">
        <v>0.04468</v>
      </c>
      <c r="S4068">
        <f>IMAGE("https://mitra.stanford.edu/kundaje/oak/projects/neuro-variants/variant_position/credible/roussos_2024/variant_figures/roussos_2024.childhood.GABA/rs7861788_count_position.png",4,220,900)</f>
        <v/>
      </c>
      <c r="T4068">
        <f>IMAGE("https://mitra.stanford.edu/kundaje/oak/projects/neuro-variants/variant_position/credible/roussos_2024/variant_figures/roussos_2024.childhood.GABA/rs7861788_profile_position.png",4,220,900)</f>
        <v/>
      </c>
    </row>
    <row r="4069">
      <c r="A4069" t="inlineStr">
        <is>
          <t>chr9</t>
        </is>
      </c>
      <c r="B4069" t="n">
        <v>112220269</v>
      </c>
      <c r="C4069" t="inlineStr">
        <is>
          <t>C</t>
        </is>
      </c>
      <c r="D4069" t="inlineStr">
        <is>
          <t>T</t>
        </is>
      </c>
      <c r="E4069" t="inlineStr">
        <is>
          <t>rs7869523</t>
        </is>
      </c>
      <c r="F4069" t="n">
        <v>-0.0236590281999999</v>
      </c>
      <c r="G4069" t="n">
        <v>0.3750783104100885</v>
      </c>
      <c r="H4069" t="n">
        <v>0.0099529927212535</v>
      </c>
      <c r="I4069" t="n">
        <v>0.6508806462185707</v>
      </c>
      <c r="J4069" t="n">
        <v>0.2815291826349186</v>
      </c>
      <c r="K4069" t="n">
        <v>0.1462903372139674</v>
      </c>
      <c r="L4069" t="b">
        <v>0</v>
      </c>
      <c r="M4069" t="b">
        <v>0</v>
      </c>
      <c r="N4069" t="inlineStr">
        <is>
          <t>ref</t>
        </is>
      </c>
      <c r="O4069" t="n">
        <v>-70</v>
      </c>
      <c r="P4069" t="n">
        <v>0.01405</v>
      </c>
      <c r="Q4069" t="n">
        <v>-65</v>
      </c>
      <c r="R4069" t="n">
        <v>0.2737</v>
      </c>
      <c r="S4069">
        <f>IMAGE("https://mitra.stanford.edu/kundaje/oak/projects/neuro-variants/variant_position/credible/roussos_2024/variant_figures/roussos_2024.childhood.GABA/rs7869523_count_position.png",4,220,900)</f>
        <v/>
      </c>
      <c r="T4069">
        <f>IMAGE("https://mitra.stanford.edu/kundaje/oak/projects/neuro-variants/variant_position/credible/roussos_2024/variant_figures/roussos_2024.childhood.GABA/rs7869523_profile_position.png",4,220,900)</f>
        <v/>
      </c>
    </row>
    <row r="4070">
      <c r="A4070" t="inlineStr">
        <is>
          <t>chr9</t>
        </is>
      </c>
      <c r="B4070" t="n">
        <v>112225574</v>
      </c>
      <c r="C4070" t="inlineStr">
        <is>
          <t>A</t>
        </is>
      </c>
      <c r="D4070" t="inlineStr">
        <is>
          <t>C</t>
        </is>
      </c>
      <c r="E4070" t="inlineStr">
        <is>
          <t>rs7871559</t>
        </is>
      </c>
      <c r="F4070" t="n">
        <v>-0.00351226708</v>
      </c>
      <c r="G4070" t="n">
        <v>0.8679151608960655</v>
      </c>
      <c r="H4070" t="n">
        <v>0.0224463733006069</v>
      </c>
      <c r="I4070" t="n">
        <v>0.0478194984983099</v>
      </c>
      <c r="J4070" t="n">
        <v>0.0373573328307259</v>
      </c>
      <c r="K4070" t="n">
        <v>0.5687755658243933</v>
      </c>
      <c r="L4070" t="b">
        <v>0</v>
      </c>
      <c r="M4070" t="b">
        <v>0</v>
      </c>
      <c r="N4070" t="inlineStr">
        <is>
          <t>ref</t>
        </is>
      </c>
      <c r="O4070" t="n">
        <v>90</v>
      </c>
      <c r="P4070" t="n">
        <v>0.00386</v>
      </c>
      <c r="Q4070" t="n">
        <v>90</v>
      </c>
      <c r="R4070" t="n">
        <v>0.1499</v>
      </c>
      <c r="S4070">
        <f>IMAGE("https://mitra.stanford.edu/kundaje/oak/projects/neuro-variants/variant_position/credible/roussos_2024/variant_figures/roussos_2024.childhood.GABA/rs7871559_count_position.png",4,220,900)</f>
        <v/>
      </c>
      <c r="T4070">
        <f>IMAGE("https://mitra.stanford.edu/kundaje/oak/projects/neuro-variants/variant_position/credible/roussos_2024/variant_figures/roussos_2024.childhood.GABA/rs7871559_profile_position.png",4,220,900)</f>
        <v/>
      </c>
    </row>
    <row r="4071">
      <c r="A4071" t="inlineStr">
        <is>
          <t>chr9</t>
        </is>
      </c>
      <c r="B4071" t="n">
        <v>112226051</v>
      </c>
      <c r="C4071" t="inlineStr">
        <is>
          <t>A</t>
        </is>
      </c>
      <c r="D4071" t="inlineStr">
        <is>
          <t>T</t>
        </is>
      </c>
      <c r="E4071" t="inlineStr">
        <is>
          <t>rs3780514</t>
        </is>
      </c>
      <c r="F4071" t="n">
        <v>-0.000208561348</v>
      </c>
      <c r="G4071" t="n">
        <v>0.915216904395463</v>
      </c>
      <c r="H4071" t="n">
        <v>0.0289887363638031</v>
      </c>
      <c r="I4071" t="n">
        <v>0.0153122367552407</v>
      </c>
      <c r="J4071" t="n">
        <v>0.0442566647818893</v>
      </c>
      <c r="K4071" t="n">
        <v>0.5116797358371635</v>
      </c>
      <c r="L4071" t="b">
        <v>1</v>
      </c>
      <c r="M4071" t="b">
        <v>0</v>
      </c>
      <c r="N4071" t="inlineStr">
        <is>
          <t>ref</t>
        </is>
      </c>
      <c r="O4071" t="n">
        <v>-95</v>
      </c>
      <c r="P4071" t="n">
        <v>0.009860000000000001</v>
      </c>
      <c r="Q4071" t="n">
        <v>55</v>
      </c>
      <c r="R4071" t="n">
        <v>0.0856</v>
      </c>
      <c r="S4071">
        <f>IMAGE("https://mitra.stanford.edu/kundaje/oak/projects/neuro-variants/variant_position/credible/roussos_2024/variant_figures/roussos_2024.childhood.GABA/rs3780514_count_position.png",4,220,900)</f>
        <v/>
      </c>
      <c r="T4071">
        <f>IMAGE("https://mitra.stanford.edu/kundaje/oak/projects/neuro-variants/variant_position/credible/roussos_2024/variant_figures/roussos_2024.childhood.GABA/rs3780514_profile_position.png",4,220,900)</f>
        <v/>
      </c>
    </row>
    <row r="4072">
      <c r="A4072" t="inlineStr">
        <is>
          <t>chr9</t>
        </is>
      </c>
      <c r="B4072" t="n">
        <v>112228093</v>
      </c>
      <c r="C4072" t="inlineStr">
        <is>
          <t>A</t>
        </is>
      </c>
      <c r="D4072" t="inlineStr">
        <is>
          <t>G</t>
        </is>
      </c>
      <c r="E4072" t="inlineStr">
        <is>
          <t>rs3736985</t>
        </is>
      </c>
      <c r="F4072" t="n">
        <v>-0.00762262252</v>
      </c>
      <c r="G4072" t="n">
        <v>0.7139289643334187</v>
      </c>
      <c r="H4072" t="n">
        <v>0.0323529359114159</v>
      </c>
      <c r="I4072" t="n">
        <v>0.009056346494307701</v>
      </c>
      <c r="J4072" t="n">
        <v>0.0032261104479486</v>
      </c>
      <c r="K4072" t="n">
        <v>0.8446490138779269</v>
      </c>
      <c r="L4072" t="b">
        <v>0</v>
      </c>
      <c r="M4072" t="b">
        <v>0</v>
      </c>
      <c r="N4072" t="inlineStr">
        <is>
          <t>ref</t>
        </is>
      </c>
      <c r="O4072" t="n">
        <v>-100</v>
      </c>
      <c r="P4072" t="n">
        <v>0.002449</v>
      </c>
      <c r="Q4072" t="n">
        <v>-85</v>
      </c>
      <c r="R4072" t="n">
        <v>0.01245</v>
      </c>
      <c r="S4072">
        <f>IMAGE("https://mitra.stanford.edu/kundaje/oak/projects/neuro-variants/variant_position/credible/roussos_2024/variant_figures/roussos_2024.childhood.GABA/rs3736985_count_position.png",4,220,900)</f>
        <v/>
      </c>
      <c r="T4072">
        <f>IMAGE("https://mitra.stanford.edu/kundaje/oak/projects/neuro-variants/variant_position/credible/roussos_2024/variant_figures/roussos_2024.childhood.GABA/rs3736985_profile_position.png",4,220,900)</f>
        <v/>
      </c>
    </row>
    <row r="4073">
      <c r="A4073" t="inlineStr">
        <is>
          <t>chr9</t>
        </is>
      </c>
      <c r="B4073" t="n">
        <v>112228592</v>
      </c>
      <c r="C4073" t="inlineStr">
        <is>
          <t>C</t>
        </is>
      </c>
      <c r="D4073" t="inlineStr">
        <is>
          <t>T</t>
        </is>
      </c>
      <c r="E4073" t="inlineStr">
        <is>
          <t>rs7026917</t>
        </is>
      </c>
      <c r="F4073" t="n">
        <v>0.0440025856</v>
      </c>
      <c r="G4073" t="n">
        <v>0.1789081301362028</v>
      </c>
      <c r="H4073" t="n">
        <v>0.0180463180589537</v>
      </c>
      <c r="I4073" t="n">
        <v>0.1148579670494439</v>
      </c>
      <c r="J4073" t="n">
        <v>0.0119306401960168</v>
      </c>
      <c r="K4073" t="n">
        <v>0.7196997588962272</v>
      </c>
      <c r="L4073" t="b">
        <v>0</v>
      </c>
      <c r="M4073" t="b">
        <v>0</v>
      </c>
      <c r="N4073" t="inlineStr">
        <is>
          <t>alt</t>
        </is>
      </c>
      <c r="O4073" t="n">
        <v>-75</v>
      </c>
      <c r="P4073" t="n">
        <v>0.00424</v>
      </c>
      <c r="Q4073" t="n">
        <v>45</v>
      </c>
      <c r="R4073" t="n">
        <v>0.05304</v>
      </c>
      <c r="S4073">
        <f>IMAGE("https://mitra.stanford.edu/kundaje/oak/projects/neuro-variants/variant_position/credible/roussos_2024/variant_figures/roussos_2024.childhood.GABA/rs7026917_count_position.png",4,220,900)</f>
        <v/>
      </c>
      <c r="T4073">
        <f>IMAGE("https://mitra.stanford.edu/kundaje/oak/projects/neuro-variants/variant_position/credible/roussos_2024/variant_figures/roussos_2024.childhood.GABA/rs7026917_profile_position.png",4,220,900)</f>
        <v/>
      </c>
    </row>
    <row r="4074">
      <c r="A4074" t="inlineStr">
        <is>
          <t>chr9</t>
        </is>
      </c>
      <c r="B4074" t="n">
        <v>112240034</v>
      </c>
      <c r="C4074" t="inlineStr">
        <is>
          <t>C</t>
        </is>
      </c>
      <c r="D4074" t="inlineStr">
        <is>
          <t>A</t>
        </is>
      </c>
      <c r="E4074" t="inlineStr">
        <is>
          <t>rs7021564</t>
        </is>
      </c>
      <c r="F4074" t="n">
        <v>-0.004265636586</v>
      </c>
      <c r="G4074" t="n">
        <v>0.8255076051380421</v>
      </c>
      <c r="H4074" t="n">
        <v>0.009057734400709</v>
      </c>
      <c r="I4074" t="n">
        <v>0.7425003598124531</v>
      </c>
      <c r="J4074" t="n">
        <v>0.0127075872756591</v>
      </c>
      <c r="K4074" t="n">
        <v>0.7527947407989433</v>
      </c>
      <c r="L4074" t="b">
        <v>0</v>
      </c>
      <c r="M4074" t="b">
        <v>0</v>
      </c>
      <c r="N4074" t="inlineStr">
        <is>
          <t>ref</t>
        </is>
      </c>
      <c r="O4074" t="n">
        <v>100</v>
      </c>
      <c r="P4074" t="n">
        <v>0.00636</v>
      </c>
      <c r="Q4074" t="n">
        <v>-70</v>
      </c>
      <c r="R4074" t="n">
        <v>0.1073</v>
      </c>
      <c r="S4074">
        <f>IMAGE("https://mitra.stanford.edu/kundaje/oak/projects/neuro-variants/variant_position/credible/roussos_2024/variant_figures/roussos_2024.childhood.GABA/rs7021564_count_position.png",4,220,900)</f>
        <v/>
      </c>
      <c r="T4074">
        <f>IMAGE("https://mitra.stanford.edu/kundaje/oak/projects/neuro-variants/variant_position/credible/roussos_2024/variant_figures/roussos_2024.childhood.GABA/rs7021564_profile_position.png",4,220,900)</f>
        <v/>
      </c>
    </row>
    <row r="4075">
      <c r="A4075" t="inlineStr">
        <is>
          <t>chr9</t>
        </is>
      </c>
      <c r="B4075" t="n">
        <v>112248027</v>
      </c>
      <c r="C4075" t="inlineStr">
        <is>
          <t>C</t>
        </is>
      </c>
      <c r="D4075" t="inlineStr">
        <is>
          <t>A</t>
        </is>
      </c>
      <c r="E4075" t="inlineStr">
        <is>
          <t>rs7033486</t>
        </is>
      </c>
      <c r="F4075" t="n">
        <v>0.0079531642</v>
      </c>
      <c r="G4075" t="n">
        <v>0.6323347593091867</v>
      </c>
      <c r="H4075" t="n">
        <v>0.0070185842653546</v>
      </c>
      <c r="I4075" t="n">
        <v>0.9412248103919996</v>
      </c>
      <c r="J4075" t="n">
        <v>0.0002094196980167</v>
      </c>
      <c r="K4075" t="n">
        <v>0.9627370940348906</v>
      </c>
      <c r="L4075" t="b">
        <v>0</v>
      </c>
      <c r="M4075" t="b">
        <v>0</v>
      </c>
      <c r="N4075" t="inlineStr">
        <is>
          <t>alt</t>
        </is>
      </c>
      <c r="O4075" t="n">
        <v>25</v>
      </c>
      <c r="P4075" t="n">
        <v>0.0005493</v>
      </c>
      <c r="Q4075" t="n">
        <v>-95</v>
      </c>
      <c r="R4075" t="n">
        <v>0.02777</v>
      </c>
      <c r="S4075">
        <f>IMAGE("https://mitra.stanford.edu/kundaje/oak/projects/neuro-variants/variant_position/credible/roussos_2024/variant_figures/roussos_2024.childhood.GABA/rs7033486_count_position.png",4,220,900)</f>
        <v/>
      </c>
      <c r="T4075">
        <f>IMAGE("https://mitra.stanford.edu/kundaje/oak/projects/neuro-variants/variant_position/credible/roussos_2024/variant_figures/roussos_2024.childhood.GABA/rs7033486_profile_position.png",4,220,900)</f>
        <v/>
      </c>
    </row>
    <row r="4076">
      <c r="A4076" t="inlineStr">
        <is>
          <t>chr9</t>
        </is>
      </c>
      <c r="B4076" t="n">
        <v>112253684</v>
      </c>
      <c r="C4076" t="inlineStr">
        <is>
          <t>T</t>
        </is>
      </c>
      <c r="D4076" t="inlineStr">
        <is>
          <t>A</t>
        </is>
      </c>
      <c r="E4076" t="inlineStr">
        <is>
          <t>rs11792718</t>
        </is>
      </c>
      <c r="F4076" t="n">
        <v>-0.0015268921</v>
      </c>
      <c r="G4076" t="n">
        <v>0.7848428621492041</v>
      </c>
      <c r="H4076" t="n">
        <v>0.0132055902157704</v>
      </c>
      <c r="I4076" t="n">
        <v>0.3397467472395118</v>
      </c>
      <c r="J4076" t="n">
        <v>0.0189378232916587</v>
      </c>
      <c r="K4076" t="n">
        <v>0.6588172967561386</v>
      </c>
      <c r="L4076" t="b">
        <v>0</v>
      </c>
      <c r="M4076" t="b">
        <v>0</v>
      </c>
      <c r="N4076" t="inlineStr">
        <is>
          <t>ref</t>
        </is>
      </c>
      <c r="O4076" t="n">
        <v>100</v>
      </c>
      <c r="P4076" t="n">
        <v>0.003685</v>
      </c>
      <c r="Q4076" t="n">
        <v>100</v>
      </c>
      <c r="R4076" t="n">
        <v>0.03452</v>
      </c>
      <c r="S4076">
        <f>IMAGE("https://mitra.stanford.edu/kundaje/oak/projects/neuro-variants/variant_position/credible/roussos_2024/variant_figures/roussos_2024.childhood.GABA/rs11792718_count_position.png",4,220,900)</f>
        <v/>
      </c>
      <c r="T4076">
        <f>IMAGE("https://mitra.stanford.edu/kundaje/oak/projects/neuro-variants/variant_position/credible/roussos_2024/variant_figures/roussos_2024.childhood.GABA/rs11792718_profile_position.png",4,220,900)</f>
        <v/>
      </c>
    </row>
    <row r="4077">
      <c r="A4077" t="inlineStr">
        <is>
          <t>chr9</t>
        </is>
      </c>
      <c r="B4077" t="n">
        <v>112254581</v>
      </c>
      <c r="C4077" t="inlineStr">
        <is>
          <t>T</t>
        </is>
      </c>
      <c r="D4077" t="inlineStr">
        <is>
          <t>C</t>
        </is>
      </c>
      <c r="E4077" t="inlineStr">
        <is>
          <t>rs6477903</t>
        </is>
      </c>
      <c r="F4077" t="n">
        <v>-0.0236140892</v>
      </c>
      <c r="G4077" t="n">
        <v>0.3722074043568569</v>
      </c>
      <c r="H4077" t="n">
        <v>0.0170347950523196</v>
      </c>
      <c r="I4077" t="n">
        <v>0.1412438374230535</v>
      </c>
      <c r="J4077" t="n">
        <v>0.004352788423279</v>
      </c>
      <c r="K4077" t="n">
        <v>0.8280210287692736</v>
      </c>
      <c r="L4077" t="b">
        <v>0</v>
      </c>
      <c r="M4077" t="b">
        <v>0</v>
      </c>
      <c r="N4077" t="inlineStr">
        <is>
          <t>ref</t>
        </is>
      </c>
      <c r="O4077" t="n">
        <v>30</v>
      </c>
      <c r="P4077" t="n">
        <v>0.001107</v>
      </c>
      <c r="Q4077" t="n">
        <v>75</v>
      </c>
      <c r="R4077" t="n">
        <v>0.0442</v>
      </c>
      <c r="S4077">
        <f>IMAGE("https://mitra.stanford.edu/kundaje/oak/projects/neuro-variants/variant_position/credible/roussos_2024/variant_figures/roussos_2024.childhood.GABA/rs6477903_count_position.png",4,220,900)</f>
        <v/>
      </c>
      <c r="T4077">
        <f>IMAGE("https://mitra.stanford.edu/kundaje/oak/projects/neuro-variants/variant_position/credible/roussos_2024/variant_figures/roussos_2024.childhood.GABA/rs6477903_profile_position.png",4,220,900)</f>
        <v/>
      </c>
    </row>
    <row r="4078">
      <c r="A4078" t="inlineStr">
        <is>
          <t>chr9</t>
        </is>
      </c>
      <c r="B4078" t="n">
        <v>112257991</v>
      </c>
      <c r="C4078" t="inlineStr">
        <is>
          <t>G</t>
        </is>
      </c>
      <c r="D4078" t="inlineStr">
        <is>
          <t>A</t>
        </is>
      </c>
      <c r="E4078" t="inlineStr">
        <is>
          <t>rs4979090</t>
        </is>
      </c>
      <c r="F4078" t="n">
        <v>-0.0166745057</v>
      </c>
      <c r="G4078" t="n">
        <v>0.4887661307868759</v>
      </c>
      <c r="H4078" t="n">
        <v>0.0217925346147917</v>
      </c>
      <c r="I4078" t="n">
        <v>0.0529833456804046</v>
      </c>
      <c r="J4078" t="n">
        <v>0.0136258926514627</v>
      </c>
      <c r="K4078" t="n">
        <v>0.7033636442703716</v>
      </c>
      <c r="L4078" t="b">
        <v>0</v>
      </c>
      <c r="M4078" t="b">
        <v>0</v>
      </c>
      <c r="N4078" t="inlineStr">
        <is>
          <t>ref</t>
        </is>
      </c>
      <c r="O4078" t="n">
        <v>-30</v>
      </c>
      <c r="P4078" t="n">
        <v>0.001526</v>
      </c>
      <c r="Q4078" t="n">
        <v>-100</v>
      </c>
      <c r="R4078" t="n">
        <v>0.0605</v>
      </c>
      <c r="S4078">
        <f>IMAGE("https://mitra.stanford.edu/kundaje/oak/projects/neuro-variants/variant_position/credible/roussos_2024/variant_figures/roussos_2024.childhood.GABA/rs4979090_count_position.png",4,220,900)</f>
        <v/>
      </c>
      <c r="T4078">
        <f>IMAGE("https://mitra.stanford.edu/kundaje/oak/projects/neuro-variants/variant_position/credible/roussos_2024/variant_figures/roussos_2024.childhood.GABA/rs4979090_profile_position.png",4,220,900)</f>
        <v/>
      </c>
    </row>
    <row r="4079">
      <c r="A4079" t="inlineStr">
        <is>
          <t>chr9</t>
        </is>
      </c>
      <c r="B4079" t="n">
        <v>112258733</v>
      </c>
      <c r="C4079" t="inlineStr">
        <is>
          <t>G</t>
        </is>
      </c>
      <c r="D4079" t="inlineStr">
        <is>
          <t>A</t>
        </is>
      </c>
      <c r="E4079" t="inlineStr">
        <is>
          <t>rs7027240</t>
        </is>
      </c>
      <c r="F4079" t="n">
        <v>-0.0104851748</v>
      </c>
      <c r="G4079" t="n">
        <v>0.6126619504923101</v>
      </c>
      <c r="H4079" t="n">
        <v>0.0103830612961042</v>
      </c>
      <c r="I4079" t="n">
        <v>0.5816655980375514</v>
      </c>
      <c r="J4079" t="n">
        <v>0.0265690770873907</v>
      </c>
      <c r="K4079" t="n">
        <v>0.6089009930614988</v>
      </c>
      <c r="L4079" t="b">
        <v>0</v>
      </c>
      <c r="M4079" t="b">
        <v>0</v>
      </c>
      <c r="N4079" t="inlineStr">
        <is>
          <t>ref</t>
        </is>
      </c>
      <c r="O4079" t="n">
        <v>-55</v>
      </c>
      <c r="P4079" t="n">
        <v>0.003637</v>
      </c>
      <c r="Q4079" t="n">
        <v>25</v>
      </c>
      <c r="R4079" t="n">
        <v>0.013596</v>
      </c>
      <c r="S4079">
        <f>IMAGE("https://mitra.stanford.edu/kundaje/oak/projects/neuro-variants/variant_position/credible/roussos_2024/variant_figures/roussos_2024.childhood.GABA/rs7027240_count_position.png",4,220,900)</f>
        <v/>
      </c>
      <c r="T4079">
        <f>IMAGE("https://mitra.stanford.edu/kundaje/oak/projects/neuro-variants/variant_position/credible/roussos_2024/variant_figures/roussos_2024.childhood.GABA/rs7027240_profile_position.png",4,220,900)</f>
        <v/>
      </c>
    </row>
    <row r="4080">
      <c r="A4080" t="inlineStr">
        <is>
          <t>chr9</t>
        </is>
      </c>
      <c r="B4080" t="n">
        <v>112273585</v>
      </c>
      <c r="C4080" t="inlineStr">
        <is>
          <t>C</t>
        </is>
      </c>
      <c r="D4080" t="inlineStr">
        <is>
          <t>T</t>
        </is>
      </c>
      <c r="E4080" t="inlineStr">
        <is>
          <t>rs10817308</t>
        </is>
      </c>
      <c r="F4080" t="n">
        <v>-0.0401124493999999</v>
      </c>
      <c r="G4080" t="n">
        <v>0.2156397803670435</v>
      </c>
      <c r="H4080" t="n">
        <v>0.0127515292075241</v>
      </c>
      <c r="I4080" t="n">
        <v>0.3704898450431145</v>
      </c>
      <c r="J4080" t="n">
        <v>0.0101861741115368</v>
      </c>
      <c r="K4080" t="n">
        <v>0.736568974191899</v>
      </c>
      <c r="L4080" t="b">
        <v>0</v>
      </c>
      <c r="M4080" t="b">
        <v>0</v>
      </c>
      <c r="N4080" t="inlineStr">
        <is>
          <t>ref</t>
        </is>
      </c>
      <c r="O4080" t="n">
        <v>70</v>
      </c>
      <c r="P4080" t="n">
        <v>0.001934</v>
      </c>
      <c r="Q4080" t="n">
        <v>-80</v>
      </c>
      <c r="R4080" t="n">
        <v>0.02316</v>
      </c>
      <c r="S4080">
        <f>IMAGE("https://mitra.stanford.edu/kundaje/oak/projects/neuro-variants/variant_position/credible/roussos_2024/variant_figures/roussos_2024.childhood.GABA/rs10817308_count_position.png",4,220,900)</f>
        <v/>
      </c>
      <c r="T4080">
        <f>IMAGE("https://mitra.stanford.edu/kundaje/oak/projects/neuro-variants/variant_position/credible/roussos_2024/variant_figures/roussos_2024.childhood.GABA/rs10817308_profile_position.png",4,220,900)</f>
        <v/>
      </c>
    </row>
    <row r="4081">
      <c r="A4081" t="inlineStr">
        <is>
          <t>chr9</t>
        </is>
      </c>
      <c r="B4081" t="n">
        <v>112297115</v>
      </c>
      <c r="C4081" t="inlineStr">
        <is>
          <t>C</t>
        </is>
      </c>
      <c r="D4081" t="inlineStr">
        <is>
          <t>T</t>
        </is>
      </c>
      <c r="E4081" t="inlineStr">
        <is>
          <t>rs12376681</t>
        </is>
      </c>
      <c r="F4081" t="n">
        <v>-0.0645814034</v>
      </c>
      <c r="G4081" t="n">
        <v>0.0818121502541336</v>
      </c>
      <c r="H4081" t="n">
        <v>0.0229609390081775</v>
      </c>
      <c r="I4081" t="n">
        <v>0.0427413977482785</v>
      </c>
      <c r="J4081" t="n">
        <v>0.0066249921467612</v>
      </c>
      <c r="K4081" t="n">
        <v>0.8003050151573713</v>
      </c>
      <c r="L4081" t="b">
        <v>0</v>
      </c>
      <c r="M4081" t="b">
        <v>0</v>
      </c>
      <c r="N4081" t="inlineStr">
        <is>
          <t>ref</t>
        </is>
      </c>
      <c r="O4081" t="n">
        <v>100</v>
      </c>
      <c r="P4081" t="n">
        <v>0.002289</v>
      </c>
      <c r="Q4081" t="n">
        <v>45</v>
      </c>
      <c r="R4081" t="n">
        <v>0.11145</v>
      </c>
      <c r="S4081">
        <f>IMAGE("https://mitra.stanford.edu/kundaje/oak/projects/neuro-variants/variant_position/credible/roussos_2024/variant_figures/roussos_2024.childhood.GABA/rs12376681_count_position.png",4,220,900)</f>
        <v/>
      </c>
      <c r="T4081">
        <f>IMAGE("https://mitra.stanford.edu/kundaje/oak/projects/neuro-variants/variant_position/credible/roussos_2024/variant_figures/roussos_2024.childhood.GABA/rs12376681_profile_position.png",4,220,900)</f>
        <v/>
      </c>
    </row>
    <row r="4082">
      <c r="A4082" t="inlineStr">
        <is>
          <t>chr9</t>
        </is>
      </c>
      <c r="B4082" t="n">
        <v>112336799</v>
      </c>
      <c r="C4082" t="inlineStr">
        <is>
          <t>T</t>
        </is>
      </c>
      <c r="D4082" t="inlineStr">
        <is>
          <t>C</t>
        </is>
      </c>
      <c r="E4082" t="inlineStr">
        <is>
          <t>rs4978484</t>
        </is>
      </c>
      <c r="F4082" t="n">
        <v>0.0556790847999999</v>
      </c>
      <c r="G4082" t="n">
        <v>0.1071544821074798</v>
      </c>
      <c r="H4082" t="n">
        <v>0.0107856942053429</v>
      </c>
      <c r="I4082" t="n">
        <v>0.5497055107612903</v>
      </c>
      <c r="J4082" t="n">
        <v>0.0051538187681932</v>
      </c>
      <c r="K4082" t="n">
        <v>0.8112792671571429</v>
      </c>
      <c r="L4082" t="b">
        <v>0</v>
      </c>
      <c r="M4082" t="b">
        <v>0</v>
      </c>
      <c r="N4082" t="inlineStr">
        <is>
          <t>alt</t>
        </is>
      </c>
      <c r="O4082" t="n">
        <v>-45</v>
      </c>
      <c r="P4082" t="n">
        <v>0.02733</v>
      </c>
      <c r="Q4082" t="n">
        <v>0</v>
      </c>
      <c r="R4082" t="n">
        <v>0</v>
      </c>
      <c r="S4082">
        <f>IMAGE("https://mitra.stanford.edu/kundaje/oak/projects/neuro-variants/variant_position/credible/roussos_2024/variant_figures/roussos_2024.childhood.GABA/rs4978484_count_position.png",4,220,900)</f>
        <v/>
      </c>
      <c r="T4082">
        <f>IMAGE("https://mitra.stanford.edu/kundaje/oak/projects/neuro-variants/variant_position/credible/roussos_2024/variant_figures/roussos_2024.childhood.GABA/rs4978484_profile_position.png",4,220,900)</f>
        <v/>
      </c>
    </row>
    <row r="4083">
      <c r="A4083" t="inlineStr">
        <is>
          <t>chr9</t>
        </is>
      </c>
      <c r="B4083" t="n">
        <v>112337341</v>
      </c>
      <c r="C4083" t="inlineStr">
        <is>
          <t>C</t>
        </is>
      </c>
      <c r="D4083" t="inlineStr">
        <is>
          <t>T</t>
        </is>
      </c>
      <c r="E4083" t="inlineStr">
        <is>
          <t>rs4979103</t>
        </is>
      </c>
      <c r="F4083" t="n">
        <v>0.0211868864</v>
      </c>
      <c r="G4083" t="n">
        <v>0.3851700959509549</v>
      </c>
      <c r="H4083" t="n">
        <v>0.0219856397045793</v>
      </c>
      <c r="I4083" t="n">
        <v>0.0497726463797093</v>
      </c>
      <c r="J4083" t="n">
        <v>0.0029549119390169</v>
      </c>
      <c r="K4083" t="n">
        <v>0.8660386174391422</v>
      </c>
      <c r="L4083" t="b">
        <v>0</v>
      </c>
      <c r="M4083" t="b">
        <v>0</v>
      </c>
      <c r="N4083" t="inlineStr">
        <is>
          <t>alt</t>
        </is>
      </c>
      <c r="O4083" t="n">
        <v>100</v>
      </c>
      <c r="P4083" t="n">
        <v>0.009169999999999999</v>
      </c>
      <c r="Q4083" t="n">
        <v>-65</v>
      </c>
      <c r="R4083" t="n">
        <v>0.02069</v>
      </c>
      <c r="S4083">
        <f>IMAGE("https://mitra.stanford.edu/kundaje/oak/projects/neuro-variants/variant_position/credible/roussos_2024/variant_figures/roussos_2024.childhood.GABA/rs4979103_count_position.png",4,220,900)</f>
        <v/>
      </c>
      <c r="T4083">
        <f>IMAGE("https://mitra.stanford.edu/kundaje/oak/projects/neuro-variants/variant_position/credible/roussos_2024/variant_figures/roussos_2024.childhood.GABA/rs4979103_profile_position.png",4,220,900)</f>
        <v/>
      </c>
    </row>
    <row r="4084">
      <c r="A4084" t="inlineStr">
        <is>
          <t>chr9</t>
        </is>
      </c>
      <c r="B4084" t="n">
        <v>112349429</v>
      </c>
      <c r="C4084" t="inlineStr">
        <is>
          <t>G</t>
        </is>
      </c>
      <c r="D4084" t="inlineStr">
        <is>
          <t>A</t>
        </is>
      </c>
      <c r="E4084" t="inlineStr">
        <is>
          <t>rs10817323</t>
        </is>
      </c>
      <c r="F4084" t="n">
        <v>0.000802087864</v>
      </c>
      <c r="G4084" t="n">
        <v>0.6808258868081427</v>
      </c>
      <c r="H4084" t="n">
        <v>0.0109439076947058</v>
      </c>
      <c r="I4084" t="n">
        <v>0.5287093860457489</v>
      </c>
      <c r="J4084" t="n">
        <v>0.2036491382379426</v>
      </c>
      <c r="K4084" t="n">
        <v>0.2265309788261703</v>
      </c>
      <c r="L4084" t="b">
        <v>0</v>
      </c>
      <c r="M4084" t="b">
        <v>0</v>
      </c>
      <c r="N4084" t="inlineStr">
        <is>
          <t>alt</t>
        </is>
      </c>
      <c r="O4084" t="n">
        <v>5</v>
      </c>
      <c r="P4084" t="n">
        <v>0.000977</v>
      </c>
      <c r="Q4084" t="n">
        <v>-100</v>
      </c>
      <c r="R4084" t="n">
        <v>0.1892</v>
      </c>
      <c r="S4084">
        <f>IMAGE("https://mitra.stanford.edu/kundaje/oak/projects/neuro-variants/variant_position/credible/roussos_2024/variant_figures/roussos_2024.childhood.GABA/rs10817323_count_position.png",4,220,900)</f>
        <v/>
      </c>
      <c r="T4084">
        <f>IMAGE("https://mitra.stanford.edu/kundaje/oak/projects/neuro-variants/variant_position/credible/roussos_2024/variant_figures/roussos_2024.childhood.GABA/rs10817323_profile_position.png",4,220,900)</f>
        <v/>
      </c>
    </row>
    <row r="4085">
      <c r="A4085" t="inlineStr">
        <is>
          <t>chr9</t>
        </is>
      </c>
      <c r="B4085" t="n">
        <v>126978004</v>
      </c>
      <c r="C4085" t="inlineStr">
        <is>
          <t>A</t>
        </is>
      </c>
      <c r="D4085" t="inlineStr">
        <is>
          <t>G</t>
        </is>
      </c>
      <c r="E4085" t="inlineStr">
        <is>
          <t>rs11790388</t>
        </is>
      </c>
      <c r="F4085" t="n">
        <v>0.102303267</v>
      </c>
      <c r="G4085" t="n">
        <v>0.0276918207310364</v>
      </c>
      <c r="H4085" t="n">
        <v>0.0181654202610609</v>
      </c>
      <c r="I4085" t="n">
        <v>0.1127698891089067</v>
      </c>
      <c r="J4085" t="n">
        <v>0.1645588574061275</v>
      </c>
      <c r="K4085" t="n">
        <v>0.250672648831063</v>
      </c>
      <c r="L4085" t="b">
        <v>0</v>
      </c>
      <c r="M4085" t="b">
        <v>0</v>
      </c>
      <c r="N4085" t="inlineStr">
        <is>
          <t>alt</t>
        </is>
      </c>
      <c r="O4085" t="n">
        <v>30</v>
      </c>
      <c r="P4085" t="n">
        <v>0.02032</v>
      </c>
      <c r="Q4085" t="n">
        <v>30</v>
      </c>
      <c r="R4085" t="n">
        <v>0.209</v>
      </c>
      <c r="S4085">
        <f>IMAGE("https://mitra.stanford.edu/kundaje/oak/projects/neuro-variants/variant_position/credible/roussos_2024/variant_figures/roussos_2024.childhood.GABA/rs11790388_count_position.png",4,220,900)</f>
        <v/>
      </c>
      <c r="T4085">
        <f>IMAGE("https://mitra.stanford.edu/kundaje/oak/projects/neuro-variants/variant_position/credible/roussos_2024/variant_figures/roussos_2024.childhood.GABA/rs11790388_profile_position.png",4,220,900)</f>
        <v/>
      </c>
    </row>
    <row r="4086">
      <c r="A4086" t="inlineStr">
        <is>
          <t>chr9</t>
        </is>
      </c>
      <c r="B4086" t="n">
        <v>137932059</v>
      </c>
      <c r="C4086" t="inlineStr">
        <is>
          <t>C</t>
        </is>
      </c>
      <c r="D4086" t="inlineStr">
        <is>
          <t>A</t>
        </is>
      </c>
      <c r="E4086" t="inlineStr">
        <is>
          <t>rs7868607</t>
        </is>
      </c>
      <c r="F4086" t="n">
        <v>0.0930809442</v>
      </c>
      <c r="G4086" t="n">
        <v>0.0370800288009162</v>
      </c>
      <c r="H4086" t="n">
        <v>0.0314769285798896</v>
      </c>
      <c r="I4086" t="n">
        <v>0.0110035539855335</v>
      </c>
      <c r="J4086" t="n">
        <v>0.4458524428807774</v>
      </c>
      <c r="K4086" t="n">
        <v>0.0684018615406677</v>
      </c>
      <c r="L4086" t="b">
        <v>1</v>
      </c>
      <c r="M4086" t="b">
        <v>0</v>
      </c>
      <c r="N4086" t="inlineStr">
        <is>
          <t>alt</t>
        </is>
      </c>
      <c r="O4086" t="n">
        <v>-100</v>
      </c>
      <c r="P4086" t="n">
        <v>0.001131</v>
      </c>
      <c r="Q4086" t="n">
        <v>-45</v>
      </c>
      <c r="R4086" t="n">
        <v>0.02856</v>
      </c>
      <c r="S4086">
        <f>IMAGE("https://mitra.stanford.edu/kundaje/oak/projects/neuro-variants/variant_position/credible/roussos_2024/variant_figures/roussos_2024.childhood.GABA/rs7868607_count_position.png",4,220,900)</f>
        <v/>
      </c>
      <c r="T4086">
        <f>IMAGE("https://mitra.stanford.edu/kundaje/oak/projects/neuro-variants/variant_position/credible/roussos_2024/variant_figures/roussos_2024.childhood.GABA/rs7868607_profile_position.png",4,220,900)</f>
        <v/>
      </c>
    </row>
    <row r="4087">
      <c r="A4087" t="inlineStr">
        <is>
          <t>chr9</t>
        </is>
      </c>
      <c r="B4087" t="n">
        <v>137950872</v>
      </c>
      <c r="C4087" t="inlineStr">
        <is>
          <t>C</t>
        </is>
      </c>
      <c r="D4087" t="inlineStr">
        <is>
          <t>T</t>
        </is>
      </c>
      <c r="E4087" t="inlineStr">
        <is>
          <t>rs56199530</t>
        </is>
      </c>
      <c r="F4087" t="n">
        <v>-0.5003333139999999</v>
      </c>
      <c r="G4087" t="n">
        <v>0.0002868574282753</v>
      </c>
      <c r="H4087" t="n">
        <v>0.135769807440525</v>
      </c>
      <c r="I4087" t="n">
        <v>0.0001106057019682</v>
      </c>
      <c r="J4087" t="n">
        <v>0.4746110029109338</v>
      </c>
      <c r="K4087" t="n">
        <v>0.0586382975051534</v>
      </c>
      <c r="L4087" t="b">
        <v>1</v>
      </c>
      <c r="M4087" t="b">
        <v>1</v>
      </c>
      <c r="N4087" t="inlineStr">
        <is>
          <t>ref</t>
        </is>
      </c>
      <c r="O4087" t="n">
        <v>50</v>
      </c>
      <c r="P4087" t="n">
        <v>0.004272</v>
      </c>
      <c r="Q4087" t="n">
        <v>-100</v>
      </c>
      <c r="R4087" t="n">
        <v>0.03052</v>
      </c>
      <c r="S4087">
        <f>IMAGE("https://mitra.stanford.edu/kundaje/oak/projects/neuro-variants/variant_position/credible/roussos_2024/variant_figures/roussos_2024.childhood.GABA/rs56199530_count_position.png",4,220,900)</f>
        <v/>
      </c>
      <c r="T4087">
        <f>IMAGE("https://mitra.stanford.edu/kundaje/oak/projects/neuro-variants/variant_position/credible/roussos_2024/variant_figures/roussos_2024.childhood.GABA/rs56199530_profile_position.png",4,220,900)</f>
        <v/>
      </c>
    </row>
    <row r="4088">
      <c r="A4088" t="inlineStr">
        <is>
          <t>chr9</t>
        </is>
      </c>
      <c r="B4088" t="n">
        <v>137953733</v>
      </c>
      <c r="C4088" t="inlineStr">
        <is>
          <t>T</t>
        </is>
      </c>
      <c r="D4088" t="inlineStr">
        <is>
          <t>G</t>
        </is>
      </c>
      <c r="E4088" t="inlineStr">
        <is>
          <t>rs10867090</t>
        </is>
      </c>
      <c r="F4088" t="n">
        <v>0.0280052202</v>
      </c>
      <c r="G4088" t="n">
        <v>0.3030237669740221</v>
      </c>
      <c r="H4088" t="n">
        <v>0.0101779270606961</v>
      </c>
      <c r="I4088" t="n">
        <v>0.6176173400319021</v>
      </c>
      <c r="J4088" t="n">
        <v>0.5392997005298319</v>
      </c>
      <c r="K4088" t="n">
        <v>0.0417415737298939</v>
      </c>
      <c r="L4088" t="b">
        <v>0</v>
      </c>
      <c r="M4088" t="b">
        <v>0</v>
      </c>
      <c r="N4088" t="inlineStr">
        <is>
          <t>alt</t>
        </is>
      </c>
      <c r="O4088" t="n">
        <v>-70</v>
      </c>
      <c r="P4088" t="n">
        <v>0.001312</v>
      </c>
      <c r="Q4088" t="n">
        <v>-50</v>
      </c>
      <c r="R4088" t="n">
        <v>0.0892</v>
      </c>
      <c r="S4088">
        <f>IMAGE("https://mitra.stanford.edu/kundaje/oak/projects/neuro-variants/variant_position/credible/roussos_2024/variant_figures/roussos_2024.childhood.GABA/rs10867090_count_position.png",4,220,900)</f>
        <v/>
      </c>
      <c r="T4088">
        <f>IMAGE("https://mitra.stanford.edu/kundaje/oak/projects/neuro-variants/variant_position/credible/roussos_2024/variant_figures/roussos_2024.childhood.GABA/rs10867090_profile_position.png",4,220,900)</f>
        <v/>
      </c>
    </row>
    <row r="4089">
      <c r="A4089" t="inlineStr">
        <is>
          <t>chr9</t>
        </is>
      </c>
      <c r="B4089" t="n">
        <v>137990281</v>
      </c>
      <c r="C4089" t="inlineStr">
        <is>
          <t>C</t>
        </is>
      </c>
      <c r="D4089" t="inlineStr">
        <is>
          <t>T</t>
        </is>
      </c>
      <c r="E4089" t="inlineStr">
        <is>
          <t>rs7042228</t>
        </is>
      </c>
      <c r="F4089" t="n">
        <v>-0.00775899962</v>
      </c>
      <c r="G4089" t="n">
        <v>0.6699036188881242</v>
      </c>
      <c r="H4089" t="n">
        <v>0.0114704067862012</v>
      </c>
      <c r="I4089" t="n">
        <v>0.4678118608427753</v>
      </c>
      <c r="J4089" t="n">
        <v>0.3595757156918179</v>
      </c>
      <c r="K4089" t="n">
        <v>0.1038693575427947</v>
      </c>
      <c r="L4089" t="b">
        <v>0</v>
      </c>
      <c r="M4089" t="b">
        <v>0</v>
      </c>
      <c r="N4089" t="inlineStr">
        <is>
          <t>ref</t>
        </is>
      </c>
      <c r="O4089" t="n">
        <v>60</v>
      </c>
      <c r="P4089" t="n">
        <v>0.001843</v>
      </c>
      <c r="Q4089" t="n">
        <v>-70</v>
      </c>
      <c r="R4089" t="n">
        <v>0.06976</v>
      </c>
      <c r="S4089">
        <f>IMAGE("https://mitra.stanford.edu/kundaje/oak/projects/neuro-variants/variant_position/credible/roussos_2024/variant_figures/roussos_2024.childhood.GABA/rs7042228_count_position.png",4,220,900)</f>
        <v/>
      </c>
      <c r="T4089">
        <f>IMAGE("https://mitra.stanford.edu/kundaje/oak/projects/neuro-variants/variant_position/credible/roussos_2024/variant_figures/roussos_2024.childhood.GABA/rs7042228_profile_position.png",4,220,900)</f>
        <v/>
      </c>
    </row>
    <row r="4090">
      <c r="A4090" t="inlineStr">
        <is>
          <t>chr9</t>
        </is>
      </c>
      <c r="B4090" t="n">
        <v>138034437</v>
      </c>
      <c r="C4090" t="inlineStr">
        <is>
          <t>A</t>
        </is>
      </c>
      <c r="D4090" t="inlineStr">
        <is>
          <t>G</t>
        </is>
      </c>
      <c r="E4090" t="inlineStr">
        <is>
          <t>rs7855572</t>
        </is>
      </c>
      <c r="F4090" t="n">
        <v>0.00851270522</v>
      </c>
      <c r="G4090" t="n">
        <v>0.6515013280711887</v>
      </c>
      <c r="H4090" t="n">
        <v>0.0123107844780785</v>
      </c>
      <c r="I4090" t="n">
        <v>0.4101873608788421</v>
      </c>
      <c r="J4090" t="n">
        <v>0.0576082176289501</v>
      </c>
      <c r="K4090" t="n">
        <v>0.4976114848483995</v>
      </c>
      <c r="L4090" t="b">
        <v>0</v>
      </c>
      <c r="M4090" t="b">
        <v>0</v>
      </c>
      <c r="N4090" t="inlineStr">
        <is>
          <t>alt</t>
        </is>
      </c>
      <c r="O4090" t="n">
        <v>40</v>
      </c>
      <c r="P4090" t="n">
        <v>0.004173</v>
      </c>
      <c r="Q4090" t="n">
        <v>-90</v>
      </c>
      <c r="R4090" t="n">
        <v>0.0509</v>
      </c>
      <c r="S4090">
        <f>IMAGE("https://mitra.stanford.edu/kundaje/oak/projects/neuro-variants/variant_position/credible/roussos_2024/variant_figures/roussos_2024.childhood.GABA/rs7855572_count_position.png",4,220,900)</f>
        <v/>
      </c>
      <c r="T4090">
        <f>IMAGE("https://mitra.stanford.edu/kundaje/oak/projects/neuro-variants/variant_position/credible/roussos_2024/variant_figures/roussos_2024.childhood.GABA/rs7855572_profile_position.png",4,220,900)</f>
        <v/>
      </c>
    </row>
    <row r="4091">
      <c r="A4091" t="inlineStr">
        <is>
          <t>chr9</t>
        </is>
      </c>
      <c r="B4091" t="n">
        <v>138061209</v>
      </c>
      <c r="C4091" t="inlineStr">
        <is>
          <t>C</t>
        </is>
      </c>
      <c r="D4091" t="inlineStr">
        <is>
          <t>T</t>
        </is>
      </c>
      <c r="E4091" t="inlineStr">
        <is>
          <t>rs62580940</t>
        </is>
      </c>
      <c r="F4091" t="n">
        <v>-0.0043854088</v>
      </c>
      <c r="G4091" t="n">
        <v>0.589621728532822</v>
      </c>
      <c r="H4091" t="n">
        <v>0.0152745291355963</v>
      </c>
      <c r="I4091" t="n">
        <v>0.2067486911538834</v>
      </c>
      <c r="J4091" t="n">
        <v>0.4139295512135871</v>
      </c>
      <c r="K4091" t="n">
        <v>0.0791892679025694</v>
      </c>
      <c r="L4091" t="b">
        <v>0</v>
      </c>
      <c r="M4091" t="b">
        <v>0</v>
      </c>
      <c r="N4091" t="inlineStr">
        <is>
          <t>ref</t>
        </is>
      </c>
      <c r="O4091" t="n">
        <v>100</v>
      </c>
      <c r="P4091" t="n">
        <v>0.003487</v>
      </c>
      <c r="Q4091" t="n">
        <v>-95</v>
      </c>
      <c r="R4091" t="n">
        <v>0.1885</v>
      </c>
      <c r="S4091">
        <f>IMAGE("https://mitra.stanford.edu/kundaje/oak/projects/neuro-variants/variant_position/credible/roussos_2024/variant_figures/roussos_2024.childhood.GABA/rs62580940_count_position.png",4,220,900)</f>
        <v/>
      </c>
      <c r="T4091">
        <f>IMAGE("https://mitra.stanford.edu/kundaje/oak/projects/neuro-variants/variant_position/credible/roussos_2024/variant_figures/roussos_2024.childhood.GABA/rs62580940_profile_position.png",4,220,900)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2025-12-18T17:44:04Z</dcterms:created>
  <dcterms:modified xmlns:dcterms="http://purl.org/dc/terms/" xmlns:xsi="http://www.w3.org/2001/XMLSchema-instance" xsi:type="dcterms:W3CDTF">2025-12-18T17:44:04Z</dcterms:modified>
</cp:coreProperties>
</file>